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240" tabRatio="650" firstSheet="27" activeTab="37"/>
  </bookViews>
  <sheets>
    <sheet name="Oct 03" sheetId="1" r:id="rId1"/>
    <sheet name="Nov 03" sheetId="2" r:id="rId2"/>
    <sheet name="Dec 03" sheetId="3" r:id="rId3"/>
    <sheet name="Jan 04" sheetId="4" r:id="rId4"/>
    <sheet name="Feb 04" sheetId="5" r:id="rId5"/>
    <sheet name="March 04" sheetId="6" r:id="rId6"/>
    <sheet name="April 04" sheetId="7" r:id="rId7"/>
    <sheet name="May 04" sheetId="8" r:id="rId8"/>
    <sheet name="June 04" sheetId="9" r:id="rId9"/>
    <sheet name="July 04" sheetId="10" r:id="rId10"/>
    <sheet name="August 04" sheetId="11" r:id="rId11"/>
    <sheet name="Sep 04" sheetId="12" r:id="rId12"/>
    <sheet name="Oct 04" sheetId="13" r:id="rId13"/>
    <sheet name="Nov 04" sheetId="14" r:id="rId14"/>
    <sheet name="Dec 04" sheetId="15" r:id="rId15"/>
    <sheet name="Jan 05" sheetId="16" r:id="rId16"/>
    <sheet name="Feb 05" sheetId="17" r:id="rId17"/>
    <sheet name="Mar 05" sheetId="18" r:id="rId18"/>
    <sheet name="Apr 05" sheetId="19" r:id="rId19"/>
    <sheet name="May 05" sheetId="20" r:id="rId20"/>
    <sheet name="Jun 05" sheetId="21" r:id="rId21"/>
    <sheet name="Jul 05" sheetId="22" r:id="rId22"/>
    <sheet name="Aug 05" sheetId="23" r:id="rId23"/>
    <sheet name="Sept 05" sheetId="24" r:id="rId24"/>
    <sheet name="Oct 05" sheetId="25" r:id="rId25"/>
    <sheet name="Nov 05" sheetId="26" r:id="rId26"/>
    <sheet name="Dec 05" sheetId="27" r:id="rId27"/>
    <sheet name="Jan 06" sheetId="28" r:id="rId28"/>
    <sheet name="Feb 06" sheetId="29" r:id="rId29"/>
    <sheet name="Mar 06" sheetId="30" r:id="rId30"/>
    <sheet name="Apr 06" sheetId="31" r:id="rId31"/>
    <sheet name="May 06" sheetId="32" r:id="rId32"/>
    <sheet name="Jun 06" sheetId="33" r:id="rId33"/>
    <sheet name="Jul 06" sheetId="34" r:id="rId34"/>
    <sheet name="Aug 06" sheetId="35" r:id="rId35"/>
    <sheet name="Sept 06" sheetId="36" r:id="rId36"/>
    <sheet name="Oct 06" sheetId="37" r:id="rId37"/>
    <sheet name="Nov 06" sheetId="38" r:id="rId38"/>
  </sheets>
  <definedNames>
    <definedName name="_xlnm.Print_Area" localSheetId="18">'Apr 05'!$A$1:$H$84</definedName>
    <definedName name="_xlnm.Print_Area" localSheetId="30">'Apr 06'!$A$1:$I$87</definedName>
    <definedName name="_xlnm.Print_Area" localSheetId="14">'Dec 04'!$A$1:$G$84</definedName>
    <definedName name="_xlnm.Print_Area" localSheetId="26">'Dec 05'!$A$1:$H$85</definedName>
    <definedName name="_xlnm.Print_Area" localSheetId="16">'Feb 05'!$A$1:$G$84</definedName>
    <definedName name="_xlnm.Print_Area" localSheetId="28">'Feb 06'!$A$1:$G$85</definedName>
    <definedName name="_xlnm.Print_Area" localSheetId="15">'Jan 05'!$A$1:$G$86</definedName>
    <definedName name="_xlnm.Print_Area" localSheetId="27">'Jan 06'!$A$1:$G$84</definedName>
    <definedName name="_xlnm.Print_Area" localSheetId="17">'Mar 05'!$A$1:$H$84</definedName>
    <definedName name="_xlnm.Print_Area" localSheetId="19">'May 05'!$A$1:$G$84</definedName>
    <definedName name="_xlnm.Print_Area" localSheetId="13">'Nov 04'!$A$1:$G$86</definedName>
    <definedName name="_xlnm.Print_Area" localSheetId="37">'Nov 06'!$A$1:$G$86</definedName>
    <definedName name="_xlnm.Print_Area" localSheetId="36">'Oct 06'!$A$1:$G$86</definedName>
    <definedName name="_xlnm.Print_Area" localSheetId="11">'Sep 04'!$A$1:$G$85</definedName>
  </definedNames>
  <calcPr fullCalcOnLoad="1"/>
</workbook>
</file>

<file path=xl/sharedStrings.xml><?xml version="1.0" encoding="utf-8"?>
<sst xmlns="http://schemas.openxmlformats.org/spreadsheetml/2006/main" count="2994" uniqueCount="268">
  <si>
    <t>Interest Payment Date Prepared :</t>
  </si>
  <si>
    <t>Notes Outstanding</t>
  </si>
  <si>
    <t>Note Class</t>
  </si>
  <si>
    <t>Outstanding FRN</t>
  </si>
  <si>
    <t>Pool Factor</t>
  </si>
  <si>
    <t>B</t>
  </si>
  <si>
    <t>Principal Deficiency Ledger Balance</t>
  </si>
  <si>
    <t>Further Advances - this period</t>
  </si>
  <si>
    <t>Arrears Band</t>
  </si>
  <si>
    <t>Outstanding Balance of Mortgages</t>
  </si>
  <si>
    <t>Number of Mortgages</t>
  </si>
  <si>
    <t>Current</t>
  </si>
  <si>
    <t>MIG Payments Received</t>
  </si>
  <si>
    <t>MIG Claims Outstanding</t>
  </si>
  <si>
    <t>Authorised Signatory</t>
  </si>
  <si>
    <t>Note Rate LIBOR</t>
  </si>
  <si>
    <t>Interest Payment</t>
  </si>
  <si>
    <t>Realised Loss</t>
  </si>
  <si>
    <t xml:space="preserve">Number </t>
  </si>
  <si>
    <t>Value</t>
  </si>
  <si>
    <t>Properties Sold (Balance At Sale)</t>
  </si>
  <si>
    <t>Sale Proceeds</t>
  </si>
  <si>
    <t>Further Recovery (Amount)</t>
  </si>
  <si>
    <t>Surplus/(Loss)</t>
  </si>
  <si>
    <t>Total Recovery as a Percentage of Balance</t>
  </si>
  <si>
    <t>Cumulative Market Value Decline</t>
  </si>
  <si>
    <t>Number</t>
  </si>
  <si>
    <t>Litigation</t>
  </si>
  <si>
    <t>Margin bps</t>
  </si>
  <si>
    <t>Principal Repayment</t>
  </si>
  <si>
    <t>A</t>
  </si>
  <si>
    <t>Redraw Facility Outstanding</t>
  </si>
  <si>
    <t xml:space="preserve">Further Advances - cumulative </t>
  </si>
  <si>
    <t>Further/Substitute Mortgages - cumulative</t>
  </si>
  <si>
    <t>Portfolio Split</t>
  </si>
  <si>
    <t>Over 1 month - 2 months</t>
  </si>
  <si>
    <t>Over 2 months - 3 months</t>
  </si>
  <si>
    <t>Over 3 months</t>
  </si>
  <si>
    <t>Possession</t>
  </si>
  <si>
    <t>Cumulative</t>
  </si>
  <si>
    <t>Cumulative Average Sale Period (months)</t>
  </si>
  <si>
    <t>Annualised Repayment Rate</t>
  </si>
  <si>
    <t>B Note Lock-Out Period :</t>
  </si>
  <si>
    <t>Yes</t>
  </si>
  <si>
    <t>Drawings / Repayments on Redraw Facility</t>
  </si>
  <si>
    <t>Liquidity Trigger Event Occurred :</t>
  </si>
  <si>
    <t>Liquidity Reserve Balance :</t>
  </si>
  <si>
    <t>Increase/Decrease to Liquidity Reserve :</t>
  </si>
  <si>
    <t>Liquidity Reserve Required Amount :</t>
  </si>
  <si>
    <t>Cumulative Loss :</t>
  </si>
  <si>
    <t>Geographical Split</t>
  </si>
  <si>
    <t>Area</t>
  </si>
  <si>
    <t>% Outstanding Balance</t>
  </si>
  <si>
    <t>% Number of Mortgages</t>
  </si>
  <si>
    <t>East Anglia</t>
  </si>
  <si>
    <t>East Midlands</t>
  </si>
  <si>
    <t>North</t>
  </si>
  <si>
    <t>North West</t>
  </si>
  <si>
    <t>South East inc London</t>
  </si>
  <si>
    <t>South West</t>
  </si>
  <si>
    <t>Wales</t>
  </si>
  <si>
    <t>West Midlands</t>
  </si>
  <si>
    <t>Yorkshire &amp; Humberside</t>
  </si>
  <si>
    <t>Total</t>
  </si>
  <si>
    <t>No</t>
  </si>
  <si>
    <t>First Flexible No.3 PLC Monthly Analysis</t>
  </si>
  <si>
    <t>Scotland</t>
  </si>
  <si>
    <t>Northern Ireland</t>
  </si>
  <si>
    <t>Additional Release from Reserves  to Margin</t>
  </si>
  <si>
    <t>Mortgage Trust Services plc</t>
  </si>
  <si>
    <t>Reserve Fund Balance as at September 2004</t>
  </si>
  <si>
    <t>Increase / Decrease to Reserve Fund on 1st October 2004</t>
  </si>
  <si>
    <t>Reserve Fund Required Amount in October 2004</t>
  </si>
  <si>
    <t>Gross Excess Spread as at September 2004</t>
  </si>
  <si>
    <t>Balances Of Mortgages Outstanding at 20th September 2004</t>
  </si>
  <si>
    <t>Reserve Fund Balance as at August 2004</t>
  </si>
  <si>
    <t>Increase / Decrease to Reserve Fund on 1st September2004</t>
  </si>
  <si>
    <t>Reserve Fund Required Amount in September 2004</t>
  </si>
  <si>
    <t>Gross Excess Spread as at August 2004</t>
  </si>
  <si>
    <t>Balances Of Mortgages Outstanding at 18th August 2004</t>
  </si>
  <si>
    <t>Reserve Fund Balance as at October 2004</t>
  </si>
  <si>
    <t>Increase / Decrease to Reserve Fund on 1st November 2004</t>
  </si>
  <si>
    <t>Reserve Fund Required Amount in November 2004</t>
  </si>
  <si>
    <t>Gross Excess Spread as at October 2004</t>
  </si>
  <si>
    <t>Balances Of Mortgages Outstanding at 19th October 2004</t>
  </si>
  <si>
    <t>Reserve Fund Balance as at March 2004</t>
  </si>
  <si>
    <t>Increase / Decrease to Reserve Fund on 1st April 2004</t>
  </si>
  <si>
    <t>Reserve Fund Required Amount in April 2004</t>
  </si>
  <si>
    <t>Gross Excess Spread as at March 2004</t>
  </si>
  <si>
    <t>Balances Of Mortgages Outstanding at 31 March 2004</t>
  </si>
  <si>
    <t>Reserve Fund Balance as at April 2004</t>
  </si>
  <si>
    <t>Increase / Decrease to Reserve Fund on 4th May 2004</t>
  </si>
  <si>
    <t>Reserve Fund Required Amount in May 2004</t>
  </si>
  <si>
    <t>Gross Excess Spread as at April 2004</t>
  </si>
  <si>
    <t>Balances Of Mortgages Outstanding at 30 April 2004</t>
  </si>
  <si>
    <t>Reserve Fund Balance as at May 2004</t>
  </si>
  <si>
    <t>Increase / Decrease to Reserve Fund on 1st June 2004</t>
  </si>
  <si>
    <t>Reserve Fund Required Amount in June 2004</t>
  </si>
  <si>
    <t>Gross Excess Spread as at May 2004</t>
  </si>
  <si>
    <t>Balances Of Mortgages Outstanding at 31st May 2004</t>
  </si>
  <si>
    <t>Reserve Fund Balance as at June 2004</t>
  </si>
  <si>
    <t>Increase / Decrease to Reserve Fund on 1st July 2004</t>
  </si>
  <si>
    <t>Reserve Fund Required Amount in July 2004</t>
  </si>
  <si>
    <t>Gross Excess Spread as at June 2004</t>
  </si>
  <si>
    <t>Balances Of Mortgages Outstanding at 18th June 2004</t>
  </si>
  <si>
    <t>Reserve Fund Balance as at July 2004</t>
  </si>
  <si>
    <t>Increase / Decrease to Reserve Fund on 2nd August 2004</t>
  </si>
  <si>
    <t>Reserve Fund Required Amount in August 2004</t>
  </si>
  <si>
    <t>Gross Excess Spread as at July 2004</t>
  </si>
  <si>
    <t>Balances Of Mortgages Outstanding at 20th July 2004</t>
  </si>
  <si>
    <t>Mortgage Trust Services Plc</t>
  </si>
  <si>
    <t>Reserve Fund Balance as at September 2003</t>
  </si>
  <si>
    <t>Increase / Decrease to Reserve Fund on 1st October 2003</t>
  </si>
  <si>
    <t>Reserve Fund Required Amount in October 2003</t>
  </si>
  <si>
    <t>Gross Excess Spread as at September 2003</t>
  </si>
  <si>
    <t>Balances Of Mortgages Outstanding at 31st September 2003</t>
  </si>
  <si>
    <t>Further/Substitute Mortgages - 1st October 2003</t>
  </si>
  <si>
    <t>Reserve Fund Balance as at October 2003</t>
  </si>
  <si>
    <t>Increase / Decrease to Reserve Fund on 3rd November 2003</t>
  </si>
  <si>
    <t>Reserve Fund Required Amount in November 2003</t>
  </si>
  <si>
    <t>Gross Excess Spread as at October 2003</t>
  </si>
  <si>
    <t>Balances Of Mortgages Outstanding at 31st Octoberr 2003</t>
  </si>
  <si>
    <t>Further/Substitute Mortgages - 3rd November 2003</t>
  </si>
  <si>
    <t>Reserve Fund Balance as at December 2003</t>
  </si>
  <si>
    <t>Increase / Decrease to Reserve Fund on 2nd January 2004</t>
  </si>
  <si>
    <t>Reserve Fund Required Amount in January 2004</t>
  </si>
  <si>
    <t>Gross Excess Spread as at December 2003</t>
  </si>
  <si>
    <t>Balances Of Mortgages Outstanding at 31 December 2003</t>
  </si>
  <si>
    <t>Reserve Fund Balance as at January 2004</t>
  </si>
  <si>
    <t>Increase / Decrease to Reserve Fund on 2nd February 2004</t>
  </si>
  <si>
    <t>Reserve Fund Required Amount in February 2004</t>
  </si>
  <si>
    <t>Gross Excess Spread as at January 2004</t>
  </si>
  <si>
    <t>Balances Of Mortgages Outstanding at 31 January 2004</t>
  </si>
  <si>
    <t>Reserve Fund Balance as at February 2004</t>
  </si>
  <si>
    <t>Increase / Decrease to Reserve Fund on 1st March 2004</t>
  </si>
  <si>
    <t>Reserve Fund Required Amount in March 2004</t>
  </si>
  <si>
    <t>Gross Excess Spread as at February 2004</t>
  </si>
  <si>
    <t>Balances Of Mortgages Outstanding at 29 February 2004</t>
  </si>
  <si>
    <t>Reserve Fund Balance as at November 2003</t>
  </si>
  <si>
    <t>Increase / Decrease to Reserve Fund on 1st December 2003</t>
  </si>
  <si>
    <t>Reserve Fund Required Amount in December 2003</t>
  </si>
  <si>
    <t>Gross Excess Spread as at November 2003</t>
  </si>
  <si>
    <t>Balances Of Mortgages Outstanding at 30 November 2003</t>
  </si>
  <si>
    <t>Further/Substitute Mortgages - 1st December 2003</t>
  </si>
  <si>
    <t>Reserve Fund Balance as at November 2004</t>
  </si>
  <si>
    <t>Increase / Decrease to Reserve Fund on 1st December 2004</t>
  </si>
  <si>
    <t>Reserve Fund Required Amount in December 2004</t>
  </si>
  <si>
    <t>Gross Excess Spread as at November 2004</t>
  </si>
  <si>
    <t>Balances Of Mortgages Outstanding at 18th November 2004</t>
  </si>
  <si>
    <t>Reserve Fund Balance as at December 2004</t>
  </si>
  <si>
    <t>Increase / Decrease to Reserve Fund on 4th January 2005</t>
  </si>
  <si>
    <t>Reserve Fund Required Amount in January 2005</t>
  </si>
  <si>
    <t>Gross Excess Spread as at December 2004</t>
  </si>
  <si>
    <t>Balances Of Mortgages Outstanding at 17th December 2004</t>
  </si>
  <si>
    <t>Reserve Fund Balance as at January 2005</t>
  </si>
  <si>
    <t>Increase / Decrease to Reserve Fund on 1st February 2005</t>
  </si>
  <si>
    <t>Reserve Fund Required Amount in February 2005</t>
  </si>
  <si>
    <t>Gross Excess Spread as at January 2005</t>
  </si>
  <si>
    <t>Balances Of Mortgages Outstanding at 19th January 2005</t>
  </si>
  <si>
    <t>Balances Of Mortgages Outstanding at 16th February 2005</t>
  </si>
  <si>
    <t>Reserve Fund Balance as at March 2005</t>
  </si>
  <si>
    <t>Increase / Decrease to Reserve Fund on 1st April 2005</t>
  </si>
  <si>
    <t>Reserve Fund Required Amount in April 2005</t>
  </si>
  <si>
    <t>Gross Excess Spread as at March 2005</t>
  </si>
  <si>
    <t>Reserve Fund Balance as at February 2005</t>
  </si>
  <si>
    <t>Increase / Decrease to Reserve Fund on 1st March 2005</t>
  </si>
  <si>
    <t>Reserve Fund Required Amount in March 2005</t>
  </si>
  <si>
    <t>Gross Excess Spread as at February 2005</t>
  </si>
  <si>
    <t>Balances Of Mortgages Outstanding at 17th March 2005</t>
  </si>
  <si>
    <t>Reserve Fund Balance as at April 2005</t>
  </si>
  <si>
    <t>Increase / Decrease to Reserve Fund on 3rd May 2005</t>
  </si>
  <si>
    <t>Reserve Fund Required Amount in May 2005</t>
  </si>
  <si>
    <t>Gross Excess Spread as at April 2005</t>
  </si>
  <si>
    <t>Balances Of Mortgages Outstanding at 19th April 2005</t>
  </si>
  <si>
    <t>Reserve Fund Balance as at May 2005</t>
  </si>
  <si>
    <t>Increase / Decrease to Reserve Fund on 1st June 2005</t>
  </si>
  <si>
    <t>Reserve Fund Required Amount in June 2005</t>
  </si>
  <si>
    <t>Gross Excess Spread as at May 2005</t>
  </si>
  <si>
    <t>Additional Release from Margin  to Reserves</t>
  </si>
  <si>
    <t>Balances Of Mortgages Outstanding at 18th May 2005</t>
  </si>
  <si>
    <t>Reserve Fund Balance as at June 2005</t>
  </si>
  <si>
    <t>Increase / Decrease to Reserve Fund on 1st July 2005</t>
  </si>
  <si>
    <t>Reserve Fund Required Amount in July 2005</t>
  </si>
  <si>
    <t>Gross Excess Spread as at June 2005</t>
  </si>
  <si>
    <t>Balances Of Mortgages Outstanding at 20th June 2005</t>
  </si>
  <si>
    <t xml:space="preserve"> </t>
  </si>
  <si>
    <t>Reserve Fund Balance as at July 2005</t>
  </si>
  <si>
    <t>Increase / Decrease to Reserve Fund on 1st August 2005</t>
  </si>
  <si>
    <t>Reserve Fund Required Amount in August 2005</t>
  </si>
  <si>
    <t>Gross Excess Spread as at July 2005</t>
  </si>
  <si>
    <t>Balances Of Mortgages Outstanding at 19th July 2005</t>
  </si>
  <si>
    <t>Reserve Fund Balance as at August 2005</t>
  </si>
  <si>
    <t>Increase / Decrease to Reserve Fund on 1st September 2005</t>
  </si>
  <si>
    <t>Reserve Fund Required Amount in September 2005</t>
  </si>
  <si>
    <t>Gross Excess Spread as at August 2005</t>
  </si>
  <si>
    <t>Balances Of Mortgages Outstanding at 18th August 2005</t>
  </si>
  <si>
    <t>Additional Release from Reserves to Margin</t>
  </si>
  <si>
    <t>Reserve Fund Balance as at September 2005</t>
  </si>
  <si>
    <t>Reserve Fund Required Amount in October 2005</t>
  </si>
  <si>
    <t>Gross Excess Spread as at September 2005</t>
  </si>
  <si>
    <t>Balances Of Mortgages Outstanding at 20th September 2005</t>
  </si>
  <si>
    <t>Increase / Decrease to Reserve Fund on 3rd October 2005</t>
  </si>
  <si>
    <t>Reserve Fund Balance as at October 2005</t>
  </si>
  <si>
    <t>Increase / Decrease to Reserve Fund on 1st November 2005</t>
  </si>
  <si>
    <t>Reserve Fund Required Amount in November 2005</t>
  </si>
  <si>
    <t>Gross Excess Spread as at October 2005</t>
  </si>
  <si>
    <t>Balances Of Mortgages Outstanding at 19th October 2005</t>
  </si>
  <si>
    <t>Reserve Fund Balance as at November 2005</t>
  </si>
  <si>
    <t>Increase / Decrease to Reserve Fund on 1st December 2005</t>
  </si>
  <si>
    <t>Reserve Fund Required Amount in December 2005</t>
  </si>
  <si>
    <t>Gross Excess Spread as at November 2005</t>
  </si>
  <si>
    <t>Balances Of Mortgages Outstanding at 18th November 2005</t>
  </si>
  <si>
    <t>Reserve Fund Balance as at December 2005</t>
  </si>
  <si>
    <t>Increase / Decrease to Reserve Fund on 3rd January 2006</t>
  </si>
  <si>
    <t>Reserve Fund Required Amount in January 2006</t>
  </si>
  <si>
    <t>Gross Excess Spread as at December 2005</t>
  </si>
  <si>
    <t>Balances Of Mortgages Outstanding at 16th December 2005</t>
  </si>
  <si>
    <t>Reserve Fund Balance as at January 2006</t>
  </si>
  <si>
    <t>Increase / Decrease to Reserve Fund on 1st February 2006</t>
  </si>
  <si>
    <t>Reserve Fund Required Amount in February 2006</t>
  </si>
  <si>
    <t>Gross Excess Spread as at January 2006</t>
  </si>
  <si>
    <t>Balances Of Mortgages Outstanding at 19th January 2006</t>
  </si>
  <si>
    <t>Receiver of Rent</t>
  </si>
  <si>
    <t>Reserve Fund Balance as at February 2006</t>
  </si>
  <si>
    <t>Increase / Decrease to Reserve Fund on 1st March 2006</t>
  </si>
  <si>
    <t>Reserve Fund Required Amount in March 2006</t>
  </si>
  <si>
    <t>Gross Excess Spread as at February 2006</t>
  </si>
  <si>
    <t>Balances Of Mortgages Outstanding at 16th February 2006</t>
  </si>
  <si>
    <t>Reserve Fund Balance as at March 2006</t>
  </si>
  <si>
    <t>Increase / Decrease to Reserve Fund on 3rd April 2006</t>
  </si>
  <si>
    <t>Reserve Fund Required Amount in April 2006</t>
  </si>
  <si>
    <t>Gross Excess Spread as at March 2006</t>
  </si>
  <si>
    <t>Balances Of Mortgages Outstanding at 21st March 2006</t>
  </si>
  <si>
    <t>Reserve Fund Balance as at April 2006</t>
  </si>
  <si>
    <t>Increase / Decrease to Reserve Fund on 2nd May 2006</t>
  </si>
  <si>
    <t>Reserve Fund Required Amount in May 2006</t>
  </si>
  <si>
    <t>Gross Excess Spread as at April 2006</t>
  </si>
  <si>
    <t>Balances Of Mortgages Outstanding at 18th April 2006</t>
  </si>
  <si>
    <t>Reserve Fund Balance as at May 2006</t>
  </si>
  <si>
    <t>Increase / Decrease to Reserve Fund on 1st June 2006</t>
  </si>
  <si>
    <t>Reserve Fund Required Amount in June 2006</t>
  </si>
  <si>
    <t>Gross Excess Spread as at May 2006</t>
  </si>
  <si>
    <t>Balances Of Mortgages Outstanding at 18th May 2006</t>
  </si>
  <si>
    <t>Reserve Fund Balance as at June 2006</t>
  </si>
  <si>
    <t>Increase / Decrease to Reserve Fund on 3rd July 2006</t>
  </si>
  <si>
    <t>Reserve Fund Required Amount in July 2006</t>
  </si>
  <si>
    <t>Gross Excess Spread as at June 2006</t>
  </si>
  <si>
    <t>Balances Of Mortgages Outstanding at 20th June 2006</t>
  </si>
  <si>
    <t>Reserve Fund Balance as at July 2006</t>
  </si>
  <si>
    <t>Increase / Decrease to Reserve Fund on 1st August 2006</t>
  </si>
  <si>
    <t>Reserve Fund Required Amount in August 2006</t>
  </si>
  <si>
    <t>Gross Excess Spread as at July 2006</t>
  </si>
  <si>
    <t>Balances Of Mortgages Outstanding at 19th July 2006</t>
  </si>
  <si>
    <t>Reserve Fund Balance as at August 2006</t>
  </si>
  <si>
    <t>Increase / Decrease to Reserve Fund on 1st September 2006</t>
  </si>
  <si>
    <t>Reserve Fund Required Amount in September 2006</t>
  </si>
  <si>
    <t>Gross Excess Spread as at August 2006</t>
  </si>
  <si>
    <t>Balances Of Mortgages Outstanding at 18th August 2006</t>
  </si>
  <si>
    <t>Reserve Fund Balance as at September 2006</t>
  </si>
  <si>
    <t>Increase / Decrease to Reserve Fund on 2nd October 2006</t>
  </si>
  <si>
    <t>Reserve Fund Required Amount in October 2006</t>
  </si>
  <si>
    <t>Gross Excess Spread as at September 2006</t>
  </si>
  <si>
    <t>Balances Of Mortgages Outstanding at 19th September 2006</t>
  </si>
  <si>
    <t>Reserve Fund Balance as at October 2006</t>
  </si>
  <si>
    <t>Increase / Decrease to Reserve Fund on 1st November 2006</t>
  </si>
  <si>
    <t>Reserve Fund Required Amount in November 2006</t>
  </si>
  <si>
    <t>Gross Excess Spread as at October 2006</t>
  </si>
  <si>
    <t>Balances Of Mortgages Outstanding at 19th October 2006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</si>
</sst>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%"/>
    <numFmt numFmtId="183" formatCode="0.0000%"/>
    <numFmt numFmtId="184" formatCode="0.00000%"/>
    <numFmt numFmtId="185" formatCode="0.000000"/>
    <numFmt numFmtId="186" formatCode="0.0000000"/>
    <numFmt numFmtId="187" formatCode="0.0000000%"/>
    <numFmt numFmtId="188" formatCode="0.0%"/>
    <numFmt numFmtId="189" formatCode="#,##0_ ;\-#,##0\ "/>
    <numFmt numFmtId="190" formatCode="#,##0;\(#,##0\)"/>
    <numFmt numFmtId="191" formatCode="&quot;£&quot;#,##0;\(&quot;£&quot;#,##0\)"/>
  </numFmts>
  <fonts count="1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u val="single"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0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2" borderId="0" xfId="0" applyFont="1" applyFill="1" applyAlignment="1" quotePrefix="1">
      <alignment horizontal="left"/>
    </xf>
    <xf numFmtId="0" fontId="5" fillId="2" borderId="0" xfId="0" applyFont="1" applyFill="1" applyAlignment="1">
      <alignment/>
    </xf>
    <xf numFmtId="15" fontId="5" fillId="2" borderId="0" xfId="0" applyNumberFormat="1" applyFont="1" applyFill="1" applyAlignment="1">
      <alignment/>
    </xf>
    <xf numFmtId="184" fontId="5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5" fontId="5" fillId="2" borderId="2" xfId="0" applyNumberFormat="1" applyFont="1" applyFill="1" applyBorder="1" applyAlignment="1">
      <alignment horizontal="center"/>
    </xf>
    <xf numFmtId="186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5" fontId="5" fillId="2" borderId="5" xfId="0" applyNumberFormat="1" applyFont="1" applyFill="1" applyBorder="1" applyAlignment="1">
      <alignment horizontal="center"/>
    </xf>
    <xf numFmtId="186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5" fontId="5" fillId="2" borderId="9" xfId="0" applyNumberFormat="1" applyFont="1" applyFill="1" applyBorder="1" applyAlignment="1">
      <alignment horizontal="center"/>
    </xf>
    <xf numFmtId="5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5" fontId="5" fillId="2" borderId="0" xfId="0" applyNumberFormat="1" applyFont="1" applyFill="1" applyAlignment="1">
      <alignment/>
    </xf>
    <xf numFmtId="0" fontId="5" fillId="2" borderId="0" xfId="0" applyFont="1" applyFill="1" applyAlignment="1" quotePrefix="1">
      <alignment horizontal="left"/>
    </xf>
    <xf numFmtId="5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0" fontId="5" fillId="2" borderId="12" xfId="0" applyFont="1" applyFill="1" applyBorder="1" applyAlignment="1">
      <alignment/>
    </xf>
    <xf numFmtId="5" fontId="5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5" fillId="2" borderId="4" xfId="0" applyFont="1" applyFill="1" applyBorder="1" applyAlignment="1" quotePrefix="1">
      <alignment horizontal="left"/>
    </xf>
    <xf numFmtId="0" fontId="5" fillId="2" borderId="0" xfId="0" applyFont="1" applyFill="1" applyBorder="1" applyAlignment="1">
      <alignment/>
    </xf>
    <xf numFmtId="5" fontId="5" fillId="2" borderId="5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5" fontId="5" fillId="2" borderId="9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5" fontId="5" fillId="2" borderId="6" xfId="0" applyNumberFormat="1" applyFont="1" applyFill="1" applyBorder="1" applyAlignment="1">
      <alignment/>
    </xf>
    <xf numFmtId="10" fontId="5" fillId="2" borderId="6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5" fontId="5" fillId="2" borderId="11" xfId="0" applyNumberFormat="1" applyFont="1" applyFill="1" applyBorder="1" applyAlignment="1">
      <alignment/>
    </xf>
    <xf numFmtId="10" fontId="5" fillId="2" borderId="11" xfId="0" applyNumberFormat="1" applyFont="1" applyFill="1" applyBorder="1" applyAlignment="1">
      <alignment/>
    </xf>
    <xf numFmtId="37" fontId="5" fillId="2" borderId="11" xfId="0" applyNumberFormat="1" applyFont="1" applyFill="1" applyBorder="1" applyAlignment="1">
      <alignment/>
    </xf>
    <xf numFmtId="189" fontId="5" fillId="2" borderId="11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5" fontId="5" fillId="2" borderId="0" xfId="0" applyNumberFormat="1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190" fontId="5" fillId="2" borderId="0" xfId="0" applyNumberFormat="1" applyFont="1" applyFill="1" applyAlignment="1">
      <alignment horizontal="right"/>
    </xf>
    <xf numFmtId="10" fontId="5" fillId="2" borderId="0" xfId="19" applyNumberFormat="1" applyFont="1" applyFill="1" applyAlignment="1">
      <alignment horizontal="right"/>
    </xf>
    <xf numFmtId="189" fontId="5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0" xfId="0" applyFont="1" applyFill="1" applyAlignment="1">
      <alignment/>
    </xf>
    <xf numFmtId="0" fontId="8" fillId="2" borderId="12" xfId="0" applyFont="1" applyFill="1" applyBorder="1" applyAlignment="1">
      <alignment/>
    </xf>
    <xf numFmtId="0" fontId="8" fillId="2" borderId="2" xfId="0" applyFont="1" applyFill="1" applyBorder="1" applyAlignment="1" quotePrefix="1">
      <alignment horizontal="left" wrapText="1"/>
    </xf>
    <xf numFmtId="5" fontId="8" fillId="2" borderId="2" xfId="0" applyNumberFormat="1" applyFont="1" applyFill="1" applyBorder="1" applyAlignment="1">
      <alignment horizontal="left" wrapText="1"/>
    </xf>
    <xf numFmtId="5" fontId="8" fillId="2" borderId="4" xfId="0" applyNumberFormat="1" applyFont="1" applyFill="1" applyBorder="1" applyAlignment="1">
      <alignment horizontal="left" wrapText="1"/>
    </xf>
    <xf numFmtId="0" fontId="8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8" fillId="2" borderId="9" xfId="0" applyFont="1" applyFill="1" applyBorder="1" applyAlignment="1" quotePrefix="1">
      <alignment horizontal="left" wrapText="1"/>
    </xf>
    <xf numFmtId="0" fontId="8" fillId="2" borderId="9" xfId="0" applyFont="1" applyFill="1" applyBorder="1" applyAlignment="1">
      <alignment wrapText="1"/>
    </xf>
    <xf numFmtId="5" fontId="8" fillId="2" borderId="9" xfId="0" applyNumberFormat="1" applyFont="1" applyFill="1" applyBorder="1" applyAlignment="1">
      <alignment horizontal="left" wrapText="1"/>
    </xf>
    <xf numFmtId="0" fontId="8" fillId="2" borderId="10" xfId="0" applyFont="1" applyFill="1" applyBorder="1" applyAlignment="1">
      <alignment wrapText="1"/>
    </xf>
    <xf numFmtId="0" fontId="8" fillId="2" borderId="7" xfId="0" applyFont="1" applyFill="1" applyBorder="1" applyAlignment="1">
      <alignment/>
    </xf>
    <xf numFmtId="184" fontId="10" fillId="2" borderId="0" xfId="0" applyNumberFormat="1" applyFont="1" applyFill="1" applyAlignment="1">
      <alignment/>
    </xf>
    <xf numFmtId="10" fontId="11" fillId="2" borderId="0" xfId="0" applyNumberFormat="1" applyFont="1" applyFill="1" applyAlignment="1">
      <alignment horizontal="right"/>
    </xf>
    <xf numFmtId="184" fontId="11" fillId="2" borderId="0" xfId="0" applyNumberFormat="1" applyFont="1" applyFill="1" applyAlignment="1">
      <alignment/>
    </xf>
    <xf numFmtId="5" fontId="11" fillId="2" borderId="0" xfId="0" applyNumberFormat="1" applyFont="1" applyFill="1" applyAlignment="1">
      <alignment/>
    </xf>
    <xf numFmtId="5" fontId="11" fillId="2" borderId="2" xfId="0" applyNumberFormat="1" applyFont="1" applyFill="1" applyBorder="1" applyAlignment="1">
      <alignment horizontal="center"/>
    </xf>
    <xf numFmtId="5" fontId="11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 quotePrefix="1">
      <alignment horizontal="left"/>
    </xf>
    <xf numFmtId="0" fontId="11" fillId="2" borderId="0" xfId="0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 applyAlignment="1">
      <alignment/>
    </xf>
    <xf numFmtId="3" fontId="11" fillId="2" borderId="2" xfId="0" applyNumberFormat="1" applyFont="1" applyFill="1" applyBorder="1" applyAlignment="1">
      <alignment/>
    </xf>
    <xf numFmtId="5" fontId="11" fillId="2" borderId="5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5" fontId="11" fillId="2" borderId="6" xfId="0" applyNumberFormat="1" applyFont="1" applyFill="1" applyBorder="1" applyAlignment="1">
      <alignment/>
    </xf>
    <xf numFmtId="5" fontId="11" fillId="2" borderId="11" xfId="0" applyNumberFormat="1" applyFont="1" applyFill="1" applyBorder="1" applyAlignment="1">
      <alignment/>
    </xf>
    <xf numFmtId="37" fontId="11" fillId="2" borderId="6" xfId="0" applyNumberFormat="1" applyFont="1" applyFill="1" applyBorder="1" applyAlignment="1">
      <alignment/>
    </xf>
    <xf numFmtId="37" fontId="11" fillId="2" borderId="11" xfId="0" applyNumberFormat="1" applyFont="1" applyFill="1" applyBorder="1" applyAlignment="1">
      <alignment/>
    </xf>
    <xf numFmtId="7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15" fontId="11" fillId="2" borderId="0" xfId="0" applyNumberFormat="1" applyFont="1" applyFill="1" applyAlignment="1">
      <alignment/>
    </xf>
    <xf numFmtId="10" fontId="13" fillId="2" borderId="0" xfId="0" applyNumberFormat="1" applyFont="1" applyFill="1" applyAlignment="1">
      <alignment horizontal="right"/>
    </xf>
    <xf numFmtId="5" fontId="1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209550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190500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</xdr:col>
      <xdr:colOff>180975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180975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161925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161925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152400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161925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161925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161925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180975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161925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161925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190500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200025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180975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190500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190500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219075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190500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200025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37895</v>
      </c>
      <c r="E4" s="3"/>
    </row>
    <row r="5" spans="1:5" ht="15.75">
      <c r="A5" s="2" t="s">
        <v>15</v>
      </c>
      <c r="D5" s="4">
        <v>0.0364875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382062890</v>
      </c>
      <c r="E9" s="8">
        <v>4068332</v>
      </c>
      <c r="F9" s="8">
        <v>1247520</v>
      </c>
      <c r="G9" s="9">
        <f>+D9/460000000</f>
        <v>0.8305715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147972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422062890</v>
      </c>
      <c r="E11" s="18">
        <f>SUM(E9:E10)</f>
        <v>4068332</v>
      </c>
      <c r="F11" s="18">
        <f>SUM(F9:F10)</f>
        <v>1395492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111</v>
      </c>
      <c r="F17" s="21">
        <v>11750000</v>
      </c>
    </row>
    <row r="18" spans="1:6" ht="15.75">
      <c r="A18" s="22" t="s">
        <v>112</v>
      </c>
      <c r="F18" s="21">
        <v>0</v>
      </c>
    </row>
    <row r="19" spans="1:6" ht="15.75">
      <c r="A19" s="22" t="s">
        <v>113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114</v>
      </c>
      <c r="F30" s="21">
        <v>341501.24</v>
      </c>
    </row>
    <row r="31" spans="1:6" ht="15.75">
      <c r="A31" s="24" t="s">
        <v>68</v>
      </c>
      <c r="F31" s="21">
        <v>11619.8</v>
      </c>
    </row>
    <row r="32" spans="1:6" ht="15.75">
      <c r="A32" s="22" t="s">
        <v>115</v>
      </c>
      <c r="F32" s="21">
        <f>D50</f>
        <v>408785802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</f>
        <v>5</v>
      </c>
      <c r="F35" s="26">
        <f>30000+0+0+21150+35000+6000+10000</f>
        <v>102150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</f>
        <v>4248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</f>
        <v>367001799.52000004</v>
      </c>
    </row>
    <row r="38" spans="1:6" ht="15.75">
      <c r="A38" s="22" t="s">
        <v>116</v>
      </c>
      <c r="E38" s="25">
        <v>56</v>
      </c>
      <c r="F38" s="26">
        <v>6003489.27</v>
      </c>
    </row>
    <row r="39" spans="5:6" ht="15.75">
      <c r="E39" s="25"/>
      <c r="F39" s="26"/>
    </row>
    <row r="40" spans="1:6" ht="15.75">
      <c r="A40" s="2" t="s">
        <v>41</v>
      </c>
      <c r="E40" s="25"/>
      <c r="F40" s="27">
        <v>0.3081</v>
      </c>
    </row>
    <row r="41" ht="15.75">
      <c r="F41" s="21"/>
    </row>
    <row r="42" spans="1:6" ht="15.75">
      <c r="A42" s="2" t="s">
        <v>34</v>
      </c>
      <c r="F42" s="21"/>
    </row>
    <row r="43" spans="1:6" s="59" customFormat="1" ht="47.25">
      <c r="A43" s="54" t="s">
        <v>8</v>
      </c>
      <c r="B43" s="60"/>
      <c r="C43" s="55"/>
      <c r="D43" s="61" t="s">
        <v>9</v>
      </c>
      <c r="E43" s="62" t="s">
        <v>10</v>
      </c>
      <c r="F43" s="63"/>
    </row>
    <row r="44" spans="1:6" ht="15.75">
      <c r="A44" s="5" t="s">
        <v>11</v>
      </c>
      <c r="B44" s="28"/>
      <c r="C44" s="6"/>
      <c r="D44" s="29">
        <f>404313758-37656</f>
        <v>404276102</v>
      </c>
      <c r="E44" s="30">
        <v>6340</v>
      </c>
      <c r="F44" s="31"/>
    </row>
    <row r="45" spans="1:6" ht="15.75">
      <c r="A45" s="32" t="s">
        <v>35</v>
      </c>
      <c r="B45" s="33"/>
      <c r="C45" s="11"/>
      <c r="D45" s="34">
        <v>2463403</v>
      </c>
      <c r="E45" s="35">
        <v>31</v>
      </c>
      <c r="F45" s="31"/>
    </row>
    <row r="46" spans="1:6" ht="15.75">
      <c r="A46" s="32" t="s">
        <v>36</v>
      </c>
      <c r="B46" s="33"/>
      <c r="C46" s="11"/>
      <c r="D46" s="34">
        <v>937628</v>
      </c>
      <c r="E46" s="35">
        <v>11</v>
      </c>
      <c r="F46" s="31"/>
    </row>
    <row r="47" spans="1:6" ht="15.75">
      <c r="A47" s="10" t="s">
        <v>37</v>
      </c>
      <c r="B47" s="33"/>
      <c r="C47" s="11"/>
      <c r="D47" s="34">
        <f>703237+143689+46221</f>
        <v>893147</v>
      </c>
      <c r="E47" s="35">
        <f>13+4+2</f>
        <v>19</v>
      </c>
      <c r="F47" s="31"/>
    </row>
    <row r="48" spans="1:6" ht="15.75">
      <c r="A48" s="10" t="s">
        <v>27</v>
      </c>
      <c r="B48" s="33"/>
      <c r="C48" s="11"/>
      <c r="D48" s="34">
        <v>215522</v>
      </c>
      <c r="E48" s="35">
        <v>5</v>
      </c>
      <c r="F48" s="31"/>
    </row>
    <row r="49" spans="1:6" ht="15.75">
      <c r="A49" s="10" t="s">
        <v>38</v>
      </c>
      <c r="B49" s="33"/>
      <c r="C49" s="11"/>
      <c r="D49" s="34">
        <v>0</v>
      </c>
      <c r="E49" s="35">
        <v>0</v>
      </c>
      <c r="F49" s="31"/>
    </row>
    <row r="50" spans="1:6" ht="15.75">
      <c r="A50" s="15"/>
      <c r="B50" s="36"/>
      <c r="C50" s="16"/>
      <c r="D50" s="37">
        <f>SUM(D44:D49)</f>
        <v>408785802</v>
      </c>
      <c r="E50" s="38">
        <f>SUM(E44:E49)</f>
        <v>6406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39">
        <v>15761587</v>
      </c>
      <c r="E54" s="40">
        <f aca="true" t="shared" si="0" ref="E54:E64">D54/D$65</f>
        <v>0.03855708031660062</v>
      </c>
      <c r="F54" s="41">
        <v>294</v>
      </c>
      <c r="G54" s="40">
        <f aca="true" t="shared" si="1" ref="G54:G64">F54/F$65</f>
        <v>0.04589447393068998</v>
      </c>
    </row>
    <row r="55" spans="1:7" ht="15.75">
      <c r="A55" s="10" t="s">
        <v>55</v>
      </c>
      <c r="D55" s="39">
        <v>33155450</v>
      </c>
      <c r="E55" s="40">
        <f t="shared" si="0"/>
        <v>0.0811071466714003</v>
      </c>
      <c r="F55" s="41">
        <v>689</v>
      </c>
      <c r="G55" s="40">
        <f t="shared" si="1"/>
        <v>0.10755541679675304</v>
      </c>
    </row>
    <row r="56" spans="1:7" ht="15.75">
      <c r="A56" s="32" t="s">
        <v>67</v>
      </c>
      <c r="D56" s="39">
        <v>20545378</v>
      </c>
      <c r="E56" s="40">
        <f t="shared" si="0"/>
        <v>0.05025951953194304</v>
      </c>
      <c r="F56" s="41">
        <v>430</v>
      </c>
      <c r="G56" s="40">
        <f t="shared" si="1"/>
        <v>0.06712457071495473</v>
      </c>
    </row>
    <row r="57" spans="1:7" ht="15.75">
      <c r="A57" s="10" t="s">
        <v>56</v>
      </c>
      <c r="D57" s="39">
        <v>11234981</v>
      </c>
      <c r="E57" s="40">
        <f t="shared" si="0"/>
        <v>0.02748378477195742</v>
      </c>
      <c r="F57" s="41">
        <v>201</v>
      </c>
      <c r="G57" s="40">
        <f t="shared" si="1"/>
        <v>0.0313768342179207</v>
      </c>
    </row>
    <row r="58" spans="1:7" ht="15.75">
      <c r="A58" s="10" t="s">
        <v>57</v>
      </c>
      <c r="D58" s="39">
        <v>44519942</v>
      </c>
      <c r="E58" s="40">
        <f t="shared" si="0"/>
        <v>0.10890775017670501</v>
      </c>
      <c r="F58" s="41">
        <v>803</v>
      </c>
      <c r="G58" s="40">
        <f t="shared" si="1"/>
        <v>0.12535123321885733</v>
      </c>
    </row>
    <row r="59" spans="1:7" ht="15.75">
      <c r="A59" s="10" t="s">
        <v>66</v>
      </c>
      <c r="D59" s="39">
        <v>1972639</v>
      </c>
      <c r="E59" s="40">
        <f t="shared" si="0"/>
        <v>0.004825605464643804</v>
      </c>
      <c r="F59" s="41">
        <v>64</v>
      </c>
      <c r="G59" s="40">
        <f t="shared" si="1"/>
        <v>0.009990633780830472</v>
      </c>
    </row>
    <row r="60" spans="1:8" ht="15.75">
      <c r="A60" s="10" t="s">
        <v>58</v>
      </c>
      <c r="D60" s="39">
        <f>70730033+90641666-37656</f>
        <v>161334043</v>
      </c>
      <c r="E60" s="40">
        <f t="shared" si="0"/>
        <v>0.39466645419353386</v>
      </c>
      <c r="F60" s="41">
        <f>689+1053</f>
        <v>1742</v>
      </c>
      <c r="G60" s="40">
        <f t="shared" si="1"/>
        <v>0.2719325632219794</v>
      </c>
      <c r="H60" s="42" t="str">
        <f>IF(E60&gt;80%,"ERROR"," ")</f>
        <v> </v>
      </c>
    </row>
    <row r="61" spans="1:7" ht="15.75">
      <c r="A61" s="10" t="s">
        <v>59</v>
      </c>
      <c r="D61" s="39">
        <v>41077087</v>
      </c>
      <c r="E61" s="40">
        <f t="shared" si="0"/>
        <v>0.10048560101409784</v>
      </c>
      <c r="F61" s="41">
        <v>614</v>
      </c>
      <c r="G61" s="40">
        <f t="shared" si="1"/>
        <v>0.09584764283484233</v>
      </c>
    </row>
    <row r="62" spans="1:7" ht="15.75">
      <c r="A62" s="10" t="s">
        <v>60</v>
      </c>
      <c r="D62" s="39">
        <v>15177531</v>
      </c>
      <c r="E62" s="40">
        <f t="shared" si="0"/>
        <v>0.03712832227964708</v>
      </c>
      <c r="F62" s="41">
        <v>237</v>
      </c>
      <c r="G62" s="40">
        <f t="shared" si="1"/>
        <v>0.03699656571963784</v>
      </c>
    </row>
    <row r="63" spans="1:7" ht="15.75">
      <c r="A63" s="10" t="s">
        <v>61</v>
      </c>
      <c r="D63" s="39">
        <v>30031985</v>
      </c>
      <c r="E63" s="40">
        <f t="shared" si="0"/>
        <v>0.0734663113373003</v>
      </c>
      <c r="F63" s="41">
        <v>554</v>
      </c>
      <c r="G63" s="40">
        <f t="shared" si="1"/>
        <v>0.08648142366531376</v>
      </c>
    </row>
    <row r="64" spans="1:7" ht="15.75">
      <c r="A64" s="15" t="s">
        <v>62</v>
      </c>
      <c r="B64" s="36"/>
      <c r="C64" s="36"/>
      <c r="D64" s="43">
        <v>33975179</v>
      </c>
      <c r="E64" s="44">
        <f t="shared" si="0"/>
        <v>0.08311242424217072</v>
      </c>
      <c r="F64" s="45">
        <v>778</v>
      </c>
      <c r="G64" s="44">
        <f t="shared" si="1"/>
        <v>0.12144864189822042</v>
      </c>
    </row>
    <row r="65" spans="1:7" ht="15.75">
      <c r="A65" s="70" t="s">
        <v>63</v>
      </c>
      <c r="B65" s="36"/>
      <c r="C65" s="36"/>
      <c r="D65" s="43">
        <f>SUM(D54:D64)</f>
        <v>408785802</v>
      </c>
      <c r="E65" s="44">
        <f>SUM(E54:E64)</f>
        <v>1</v>
      </c>
      <c r="F65" s="46">
        <f>SUM(F54:F64)</f>
        <v>6406</v>
      </c>
      <c r="G65" s="44">
        <f>SUM(G54:G64)</f>
        <v>1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110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38169</v>
      </c>
      <c r="E4" s="3"/>
    </row>
    <row r="5" spans="1:5" ht="15.75">
      <c r="A5" s="2" t="s">
        <v>15</v>
      </c>
      <c r="D5" s="4">
        <v>0.046025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299566536</v>
      </c>
      <c r="E9" s="8">
        <v>12432834</v>
      </c>
      <c r="F9" s="8">
        <v>1216654</v>
      </c>
      <c r="G9" s="9">
        <f>+D9/460000000</f>
        <v>0.6512316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174672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339566536</v>
      </c>
      <c r="E11" s="18">
        <f>SUM(E9:E10)</f>
        <v>12432834</v>
      </c>
      <c r="F11" s="18">
        <f>SUM(F9:F10)</f>
        <v>1391326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100</v>
      </c>
      <c r="F17" s="21">
        <v>11750000</v>
      </c>
    </row>
    <row r="18" spans="1:6" ht="15.75">
      <c r="A18" s="22" t="s">
        <v>101</v>
      </c>
      <c r="F18" s="21">
        <v>0</v>
      </c>
    </row>
    <row r="19" spans="1:6" ht="15.75">
      <c r="A19" s="22" t="s">
        <v>102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103</v>
      </c>
      <c r="F30" s="21">
        <v>208940</v>
      </c>
    </row>
    <row r="31" spans="1:6" ht="15.75">
      <c r="A31" s="24" t="s">
        <v>68</v>
      </c>
      <c r="F31" s="21">
        <v>3730</v>
      </c>
    </row>
    <row r="32" spans="1:6" ht="15.75">
      <c r="A32" s="22" t="s">
        <v>104</v>
      </c>
      <c r="F32" s="21">
        <f>D49</f>
        <v>339566840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</f>
        <v>36</v>
      </c>
      <c r="F35" s="26">
        <f>30000+0+0+21150+35000+6000+10000+49950+244793</f>
        <v>396893</v>
      </c>
    </row>
    <row r="36" spans="1:6" ht="15.75">
      <c r="A36" s="2" t="s">
        <v>7</v>
      </c>
      <c r="E36" s="25">
        <v>30</v>
      </c>
      <c r="F36" s="26">
        <v>244793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27">
        <f>((12018686.99+3992948.82-3054679.81)/353422498)*12</f>
        <v>0.43993654303241325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334123358</v>
      </c>
      <c r="E43" s="30">
        <v>4780</v>
      </c>
      <c r="F43" s="31"/>
    </row>
    <row r="44" spans="1:6" ht="15.75">
      <c r="A44" s="32" t="s">
        <v>35</v>
      </c>
      <c r="B44" s="33"/>
      <c r="C44" s="11"/>
      <c r="D44" s="34">
        <v>1945954</v>
      </c>
      <c r="E44" s="35">
        <v>29</v>
      </c>
      <c r="F44" s="31"/>
    </row>
    <row r="45" spans="1:6" ht="15.75">
      <c r="A45" s="32" t="s">
        <v>36</v>
      </c>
      <c r="B45" s="33"/>
      <c r="C45" s="11"/>
      <c r="D45" s="34">
        <v>1041055</v>
      </c>
      <c r="E45" s="35">
        <v>16</v>
      </c>
      <c r="F45" s="31"/>
    </row>
    <row r="46" spans="1:6" ht="15.75">
      <c r="A46" s="10" t="s">
        <v>37</v>
      </c>
      <c r="B46" s="33"/>
      <c r="C46" s="11"/>
      <c r="D46" s="34">
        <f>1516683+158484+386538-1</f>
        <v>2061704</v>
      </c>
      <c r="E46" s="35">
        <f>12+5+19</f>
        <v>36</v>
      </c>
      <c r="F46" s="31"/>
    </row>
    <row r="47" spans="1:6" ht="15.75">
      <c r="A47" s="10" t="s">
        <v>27</v>
      </c>
      <c r="B47" s="33"/>
      <c r="C47" s="11"/>
      <c r="D47" s="34">
        <v>394769</v>
      </c>
      <c r="E47" s="35">
        <v>6</v>
      </c>
      <c r="F47" s="31"/>
    </row>
    <row r="48" spans="1:6" ht="15.75">
      <c r="A48" s="10" t="s">
        <v>38</v>
      </c>
      <c r="B48" s="33"/>
      <c r="C48" s="11"/>
      <c r="D48" s="34">
        <v>0</v>
      </c>
      <c r="E48" s="35">
        <v>0</v>
      </c>
      <c r="F48" s="31"/>
    </row>
    <row r="49" spans="1:6" ht="15.75">
      <c r="A49" s="15"/>
      <c r="B49" s="36"/>
      <c r="C49" s="16"/>
      <c r="D49" s="37">
        <f>SUM(D43:D48)</f>
        <v>339566840</v>
      </c>
      <c r="E49" s="38">
        <f>SUM(E43:E48)</f>
        <v>4867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13892966.33</v>
      </c>
      <c r="E53" s="40">
        <f aca="true" t="shared" si="0" ref="E53:E63">D53/D$64</f>
        <v>0.04091378979894727</v>
      </c>
      <c r="F53" s="41">
        <v>222</v>
      </c>
      <c r="G53" s="40">
        <f aca="true" t="shared" si="1" ref="G53:G63">F53/F$64</f>
        <v>0.04561331415656462</v>
      </c>
    </row>
    <row r="54" spans="1:7" ht="15.75">
      <c r="A54" s="10" t="s">
        <v>55</v>
      </c>
      <c r="D54" s="39">
        <v>32622910.53</v>
      </c>
      <c r="E54" s="40">
        <f t="shared" si="0"/>
        <v>0.09607213264255306</v>
      </c>
      <c r="F54" s="41">
        <v>569</v>
      </c>
      <c r="G54" s="40">
        <f t="shared" si="1"/>
        <v>0.11690980069858228</v>
      </c>
    </row>
    <row r="55" spans="1:7" ht="15.75">
      <c r="A55" s="32" t="s">
        <v>67</v>
      </c>
      <c r="D55" s="39">
        <v>16874644.39</v>
      </c>
      <c r="E55" s="40">
        <f t="shared" si="0"/>
        <v>0.0496946179170971</v>
      </c>
      <c r="F55" s="41">
        <v>349</v>
      </c>
      <c r="G55" s="40">
        <f t="shared" si="1"/>
        <v>0.07170741730018491</v>
      </c>
    </row>
    <row r="56" spans="1:7" ht="15.75">
      <c r="A56" s="10" t="s">
        <v>56</v>
      </c>
      <c r="D56" s="39">
        <v>9290432.69</v>
      </c>
      <c r="E56" s="40">
        <f t="shared" si="0"/>
        <v>0.027359658203384433</v>
      </c>
      <c r="F56" s="41">
        <v>168</v>
      </c>
      <c r="G56" s="40">
        <f t="shared" si="1"/>
        <v>0.0345181836860489</v>
      </c>
    </row>
    <row r="57" spans="1:7" ht="15.75">
      <c r="A57" s="10" t="s">
        <v>57</v>
      </c>
      <c r="D57" s="39">
        <v>35980126.59</v>
      </c>
      <c r="E57" s="40">
        <f t="shared" si="0"/>
        <v>0.105958893246866</v>
      </c>
      <c r="F57" s="41">
        <v>577</v>
      </c>
      <c r="G57" s="40">
        <f t="shared" si="1"/>
        <v>0.11855352373125129</v>
      </c>
    </row>
    <row r="58" spans="1:7" ht="15.75">
      <c r="A58" s="10" t="s">
        <v>66</v>
      </c>
      <c r="D58" s="39">
        <v>1491628.18</v>
      </c>
      <c r="E58" s="40">
        <f t="shared" si="0"/>
        <v>0.004392738049247564</v>
      </c>
      <c r="F58" s="41">
        <v>47</v>
      </c>
      <c r="G58" s="40">
        <f t="shared" si="1"/>
        <v>0.009656872816930347</v>
      </c>
    </row>
    <row r="59" spans="1:8" ht="15.75">
      <c r="A59" s="10" t="s">
        <v>58</v>
      </c>
      <c r="D59" s="39">
        <f>101246492.59+33006569.96</f>
        <v>134253062.55</v>
      </c>
      <c r="E59" s="40">
        <f t="shared" si="0"/>
        <v>0.39536564406513036</v>
      </c>
      <c r="F59" s="41">
        <f>287+1097</f>
        <v>1384</v>
      </c>
      <c r="G59" s="40">
        <f t="shared" si="1"/>
        <v>0.2843640846517362</v>
      </c>
      <c r="H59" s="42" t="str">
        <f>IF(E59&gt;80%,"ERROR"," ")</f>
        <v> </v>
      </c>
    </row>
    <row r="60" spans="1:7" ht="15.75">
      <c r="A60" s="10" t="s">
        <v>59</v>
      </c>
      <c r="D60" s="39">
        <v>31817858</v>
      </c>
      <c r="E60" s="40">
        <f t="shared" si="0"/>
        <v>0.09370131065917243</v>
      </c>
      <c r="F60" s="41">
        <v>468</v>
      </c>
      <c r="G60" s="40">
        <f t="shared" si="1"/>
        <v>0.09615779741113623</v>
      </c>
    </row>
    <row r="61" spans="1:7" ht="15.75">
      <c r="A61" s="10" t="s">
        <v>60</v>
      </c>
      <c r="D61" s="39">
        <v>9161024.58</v>
      </c>
      <c r="E61" s="40">
        <f t="shared" si="0"/>
        <v>0.026978560597224827</v>
      </c>
      <c r="F61" s="41">
        <v>139</v>
      </c>
      <c r="G61" s="40">
        <f t="shared" si="1"/>
        <v>0.028559687692623792</v>
      </c>
    </row>
    <row r="62" spans="1:7" ht="15.75">
      <c r="A62" s="10" t="s">
        <v>61</v>
      </c>
      <c r="D62" s="39">
        <v>25068430.73</v>
      </c>
      <c r="E62" s="40">
        <f t="shared" si="0"/>
        <v>0.07382473124274032</v>
      </c>
      <c r="F62" s="41">
        <v>395</v>
      </c>
      <c r="G62" s="40">
        <f t="shared" si="1"/>
        <v>0.08115882473803164</v>
      </c>
    </row>
    <row r="63" spans="1:7" ht="15.75">
      <c r="A63" s="15" t="s">
        <v>62</v>
      </c>
      <c r="B63" s="36"/>
      <c r="C63" s="36"/>
      <c r="D63" s="43">
        <v>29113755.81</v>
      </c>
      <c r="E63" s="44">
        <f t="shared" si="0"/>
        <v>0.0857379235776367</v>
      </c>
      <c r="F63" s="45">
        <v>549</v>
      </c>
      <c r="G63" s="44">
        <f t="shared" si="1"/>
        <v>0.1128004931169098</v>
      </c>
    </row>
    <row r="64" spans="1:7" ht="15.75">
      <c r="A64" s="70" t="s">
        <v>63</v>
      </c>
      <c r="B64" s="36"/>
      <c r="C64" s="36"/>
      <c r="D64" s="43">
        <f>SUM(D53:D63)</f>
        <v>339566840.38</v>
      </c>
      <c r="E64" s="44">
        <f>SUM(E53:E63)</f>
        <v>1</v>
      </c>
      <c r="F64" s="46">
        <f>SUM(F53:F63)</f>
        <v>4867</v>
      </c>
      <c r="G64" s="44">
        <f>SUM(G53:G63)</f>
        <v>0.9999999999999999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38201</v>
      </c>
      <c r="E4" s="3"/>
    </row>
    <row r="5" spans="1:5" ht="15.75">
      <c r="A5" s="2" t="s">
        <v>15</v>
      </c>
      <c r="D5" s="4">
        <v>0.0478063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289419580</v>
      </c>
      <c r="E9" s="8">
        <v>10146956</v>
      </c>
      <c r="F9" s="8">
        <v>1278800</v>
      </c>
      <c r="G9" s="9">
        <f>+D9/460000000</f>
        <v>0.629173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190688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329419580</v>
      </c>
      <c r="E11" s="18">
        <f>SUM(E9:E10)</f>
        <v>10146956</v>
      </c>
      <c r="F11" s="18">
        <f>SUM(F9:F10)</f>
        <v>1469488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105</v>
      </c>
      <c r="F17" s="21">
        <v>11750000</v>
      </c>
    </row>
    <row r="18" spans="1:6" ht="15.75">
      <c r="A18" s="22" t="s">
        <v>106</v>
      </c>
      <c r="F18" s="21">
        <v>0</v>
      </c>
    </row>
    <row r="19" spans="1:6" ht="15.75">
      <c r="A19" s="22" t="s">
        <v>107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108</v>
      </c>
      <c r="F30" s="21">
        <v>179458</v>
      </c>
    </row>
    <row r="31" spans="1:6" ht="15.75">
      <c r="A31" s="24" t="s">
        <v>68</v>
      </c>
      <c r="F31" s="21">
        <v>3522</v>
      </c>
    </row>
    <row r="32" spans="1:6" ht="15.75">
      <c r="A32" s="22" t="s">
        <v>109</v>
      </c>
      <c r="F32" s="21">
        <f>D49</f>
        <v>329419554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1+1+1+1+1+1+30+15</f>
        <v>51</v>
      </c>
      <c r="F35" s="26">
        <f>30000+0+0+21150+35000+6000+10000+49950+244793+261874.14</f>
        <v>658767.14</v>
      </c>
    </row>
    <row r="36" spans="1:6" ht="15.75">
      <c r="A36" s="2" t="s">
        <v>7</v>
      </c>
      <c r="E36" s="25">
        <v>15</v>
      </c>
      <c r="F36" s="26">
        <v>261874.14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27">
        <f>((9506827+3997280.62-3095251.44)/339566840)*12</f>
        <v>0.3678400227772536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325712253</v>
      </c>
      <c r="E43" s="30">
        <v>4663</v>
      </c>
      <c r="F43" s="31"/>
    </row>
    <row r="44" spans="1:6" ht="15.75">
      <c r="A44" s="32" t="s">
        <v>35</v>
      </c>
      <c r="B44" s="33"/>
      <c r="C44" s="11"/>
      <c r="D44" s="34">
        <v>1637805</v>
      </c>
      <c r="E44" s="35">
        <v>25</v>
      </c>
      <c r="F44" s="31"/>
    </row>
    <row r="45" spans="1:6" ht="15.75">
      <c r="A45" s="32" t="s">
        <v>36</v>
      </c>
      <c r="B45" s="33"/>
      <c r="C45" s="11"/>
      <c r="D45" s="34">
        <v>943833</v>
      </c>
      <c r="E45" s="35">
        <v>16</v>
      </c>
      <c r="F45" s="31"/>
    </row>
    <row r="46" spans="1:6" ht="15.75">
      <c r="A46" s="10" t="s">
        <v>37</v>
      </c>
      <c r="B46" s="33"/>
      <c r="C46" s="11"/>
      <c r="D46" s="34">
        <f>873474+67088+132131-1</f>
        <v>1072692</v>
      </c>
      <c r="E46" s="35">
        <f>12+3+4</f>
        <v>19</v>
      </c>
      <c r="F46" s="31"/>
    </row>
    <row r="47" spans="1:6" ht="15.75">
      <c r="A47" s="10" t="s">
        <v>27</v>
      </c>
      <c r="B47" s="33"/>
      <c r="C47" s="11"/>
      <c r="D47" s="34">
        <v>52971</v>
      </c>
      <c r="E47" s="35">
        <v>4</v>
      </c>
      <c r="F47" s="31"/>
    </row>
    <row r="48" spans="1:6" ht="15.75">
      <c r="A48" s="10" t="s">
        <v>38</v>
      </c>
      <c r="B48" s="33"/>
      <c r="C48" s="11"/>
      <c r="D48" s="34">
        <v>0</v>
      </c>
      <c r="E48" s="35">
        <v>0</v>
      </c>
      <c r="F48" s="31"/>
    </row>
    <row r="49" spans="1:6" ht="15.75">
      <c r="A49" s="15"/>
      <c r="B49" s="36"/>
      <c r="C49" s="16"/>
      <c r="D49" s="37">
        <f>SUM(D43:D48)</f>
        <v>329419554</v>
      </c>
      <c r="E49" s="38">
        <f>SUM(E43:E48)</f>
        <v>4727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14006827.88</v>
      </c>
      <c r="E53" s="40">
        <f aca="true" t="shared" si="0" ref="E53:E63">D53/D$64</f>
        <v>0.04251972206330899</v>
      </c>
      <c r="F53" s="41">
        <v>217</v>
      </c>
      <c r="G53" s="40">
        <f aca="true" t="shared" si="1" ref="G53:G63">F53/F$64</f>
        <v>0.04590649460545801</v>
      </c>
    </row>
    <row r="54" spans="1:7" ht="15.75">
      <c r="A54" s="10" t="s">
        <v>55</v>
      </c>
      <c r="D54" s="39">
        <v>31809493.89</v>
      </c>
      <c r="E54" s="40">
        <f t="shared" si="0"/>
        <v>0.096562251693588</v>
      </c>
      <c r="F54" s="41">
        <v>545</v>
      </c>
      <c r="G54" s="40">
        <f t="shared" si="1"/>
        <v>0.11529511317960651</v>
      </c>
    </row>
    <row r="55" spans="1:7" ht="15.75">
      <c r="A55" s="32" t="s">
        <v>67</v>
      </c>
      <c r="D55" s="39">
        <v>16126621.32</v>
      </c>
      <c r="E55" s="40">
        <f t="shared" si="0"/>
        <v>0.04895465713016481</v>
      </c>
      <c r="F55" s="41">
        <v>339</v>
      </c>
      <c r="G55" s="40">
        <f t="shared" si="1"/>
        <v>0.07171567590437909</v>
      </c>
    </row>
    <row r="56" spans="1:7" ht="15.75">
      <c r="A56" s="10" t="s">
        <v>56</v>
      </c>
      <c r="D56" s="39">
        <v>8845575.51</v>
      </c>
      <c r="E56" s="40">
        <f t="shared" si="0"/>
        <v>0.026852004993382746</v>
      </c>
      <c r="F56" s="41">
        <v>162</v>
      </c>
      <c r="G56" s="40">
        <f t="shared" si="1"/>
        <v>0.03427120795430506</v>
      </c>
    </row>
    <row r="57" spans="1:7" ht="15.75">
      <c r="A57" s="10" t="s">
        <v>57</v>
      </c>
      <c r="D57" s="39">
        <v>35378295.98</v>
      </c>
      <c r="E57" s="40">
        <f t="shared" si="0"/>
        <v>0.1073958590075201</v>
      </c>
      <c r="F57" s="41">
        <v>558</v>
      </c>
      <c r="G57" s="40">
        <f t="shared" si="1"/>
        <v>0.1180452718426063</v>
      </c>
    </row>
    <row r="58" spans="1:7" ht="15.75">
      <c r="A58" s="10" t="s">
        <v>66</v>
      </c>
      <c r="D58" s="39">
        <v>1470320.73</v>
      </c>
      <c r="E58" s="40">
        <f t="shared" si="0"/>
        <v>0.0044633681029799</v>
      </c>
      <c r="F58" s="41">
        <v>45</v>
      </c>
      <c r="G58" s="40">
        <f t="shared" si="1"/>
        <v>0.00951977998730696</v>
      </c>
    </row>
    <row r="59" spans="1:8" ht="15.75">
      <c r="A59" s="10" t="s">
        <v>58</v>
      </c>
      <c r="D59" s="39">
        <f>97421047.7+32015807.54</f>
        <v>129436855.24000001</v>
      </c>
      <c r="E59" s="40">
        <f t="shared" si="0"/>
        <v>0.39292401939285915</v>
      </c>
      <c r="F59" s="41">
        <f>1070+281</f>
        <v>1351</v>
      </c>
      <c r="G59" s="40">
        <f t="shared" si="1"/>
        <v>0.2858049502855934</v>
      </c>
      <c r="H59" s="42" t="str">
        <f>IF(E59&gt;80%,"ERROR"," ")</f>
        <v> </v>
      </c>
    </row>
    <row r="60" spans="1:7" ht="15.75">
      <c r="A60" s="10" t="s">
        <v>59</v>
      </c>
      <c r="D60" s="39">
        <v>30892727.7</v>
      </c>
      <c r="E60" s="40">
        <f t="shared" si="0"/>
        <v>0.09377927728069482</v>
      </c>
      <c r="F60" s="41">
        <v>453</v>
      </c>
      <c r="G60" s="40">
        <f t="shared" si="1"/>
        <v>0.0958324518722234</v>
      </c>
    </row>
    <row r="61" spans="1:7" ht="15.75">
      <c r="A61" s="10" t="s">
        <v>60</v>
      </c>
      <c r="D61" s="39">
        <v>8938026.04</v>
      </c>
      <c r="E61" s="40">
        <f t="shared" si="0"/>
        <v>0.02713265175179823</v>
      </c>
      <c r="F61" s="41">
        <v>139</v>
      </c>
      <c r="G61" s="40">
        <f t="shared" si="1"/>
        <v>0.029405542627459275</v>
      </c>
    </row>
    <row r="62" spans="1:7" ht="15.75">
      <c r="A62" s="10" t="s">
        <v>61</v>
      </c>
      <c r="D62" s="39">
        <v>24443409.78</v>
      </c>
      <c r="E62" s="40">
        <f t="shared" si="0"/>
        <v>0.0742014536788303</v>
      </c>
      <c r="F62" s="41">
        <v>386</v>
      </c>
      <c r="G62" s="40">
        <f t="shared" si="1"/>
        <v>0.08165855722445525</v>
      </c>
    </row>
    <row r="63" spans="1:7" ht="15.75">
      <c r="A63" s="15" t="s">
        <v>62</v>
      </c>
      <c r="B63" s="36"/>
      <c r="C63" s="36"/>
      <c r="D63" s="43">
        <v>28071399.97</v>
      </c>
      <c r="E63" s="44">
        <f t="shared" si="0"/>
        <v>0.08521473490487272</v>
      </c>
      <c r="F63" s="45">
        <v>532</v>
      </c>
      <c r="G63" s="44">
        <f t="shared" si="1"/>
        <v>0.11254495451660673</v>
      </c>
    </row>
    <row r="64" spans="1:7" ht="15.75">
      <c r="A64" s="70" t="s">
        <v>63</v>
      </c>
      <c r="B64" s="36"/>
      <c r="C64" s="36"/>
      <c r="D64" s="43">
        <f>SUM(D53:D63)</f>
        <v>329419554.0400001</v>
      </c>
      <c r="E64" s="44">
        <f>SUM(E53:E63)</f>
        <v>0.9999999999999999</v>
      </c>
      <c r="F64" s="46">
        <f>SUM(F53:F63)</f>
        <v>4727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38231</v>
      </c>
      <c r="E4" s="3"/>
    </row>
    <row r="5" spans="1:5" ht="15.75">
      <c r="A5" s="2" t="s">
        <v>15</v>
      </c>
      <c r="D5" s="4">
        <v>0.0485125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281389590</v>
      </c>
      <c r="E9" s="8">
        <v>8029990</v>
      </c>
      <c r="F9" s="8">
        <v>1200508</v>
      </c>
      <c r="G9" s="9">
        <f>+D9/460000000</f>
        <v>0.6117165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184612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321389590</v>
      </c>
      <c r="E11" s="18">
        <f>SUM(E9:E10)</f>
        <v>8029990</v>
      </c>
      <c r="F11" s="18">
        <f>SUM(F9:F10)</f>
        <v>1385120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75</v>
      </c>
      <c r="F17" s="21">
        <v>11750000</v>
      </c>
    </row>
    <row r="18" spans="1:6" ht="15.75">
      <c r="A18" s="22" t="s">
        <v>76</v>
      </c>
      <c r="F18" s="21">
        <v>0</v>
      </c>
    </row>
    <row r="19" spans="1:6" ht="15.75">
      <c r="A19" s="22" t="s">
        <v>77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78</v>
      </c>
      <c r="F30" s="21">
        <v>126217</v>
      </c>
    </row>
    <row r="31" spans="1:6" ht="15.75">
      <c r="A31" s="24" t="s">
        <v>68</v>
      </c>
      <c r="F31" s="21">
        <v>3070</v>
      </c>
    </row>
    <row r="32" spans="1:6" ht="15.75">
      <c r="A32" s="22" t="s">
        <v>79</v>
      </c>
      <c r="F32" s="21">
        <f>D49</f>
        <v>321389554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1+1+1+1+1+1+30+15+20</f>
        <v>71</v>
      </c>
      <c r="F35" s="26">
        <f>30000+0+0+21150+35000+6000+10000+49950+244793+261874.14+208780</f>
        <v>867547.14</v>
      </c>
    </row>
    <row r="36" spans="1:6" ht="15.75">
      <c r="A36" s="2" t="s">
        <v>7</v>
      </c>
      <c r="E36" s="25">
        <v>20</v>
      </c>
      <c r="F36" s="26">
        <v>208779.61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27">
        <f>((8297404+2975119.49-3033717.03)/329419554.04)*12</f>
        <v>0.3001208528987176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316852880</v>
      </c>
      <c r="E43" s="30">
        <v>4545</v>
      </c>
      <c r="F43" s="31"/>
    </row>
    <row r="44" spans="1:6" ht="15.75">
      <c r="A44" s="32" t="s">
        <v>35</v>
      </c>
      <c r="B44" s="33"/>
      <c r="C44" s="11"/>
      <c r="D44" s="34">
        <v>2398343</v>
      </c>
      <c r="E44" s="35">
        <v>39</v>
      </c>
      <c r="F44" s="31"/>
    </row>
    <row r="45" spans="1:6" ht="15.75">
      <c r="A45" s="32" t="s">
        <v>36</v>
      </c>
      <c r="B45" s="33"/>
      <c r="C45" s="11"/>
      <c r="D45" s="34">
        <v>1054684</v>
      </c>
      <c r="E45" s="35">
        <v>15</v>
      </c>
      <c r="F45" s="31"/>
    </row>
    <row r="46" spans="1:6" ht="15.75">
      <c r="A46" s="10" t="s">
        <v>37</v>
      </c>
      <c r="B46" s="33"/>
      <c r="C46" s="11"/>
      <c r="D46" s="34">
        <f>910736+29943+92642</f>
        <v>1033321</v>
      </c>
      <c r="E46" s="35">
        <f>13+2+3</f>
        <v>18</v>
      </c>
      <c r="F46" s="31"/>
    </row>
    <row r="47" spans="1:6" ht="15.75">
      <c r="A47" s="10" t="s">
        <v>27</v>
      </c>
      <c r="B47" s="33"/>
      <c r="C47" s="11"/>
      <c r="D47" s="34">
        <v>50326</v>
      </c>
      <c r="E47" s="35">
        <v>4</v>
      </c>
      <c r="F47" s="31"/>
    </row>
    <row r="48" spans="1:6" ht="15.75">
      <c r="A48" s="10" t="s">
        <v>38</v>
      </c>
      <c r="B48" s="33"/>
      <c r="C48" s="11"/>
      <c r="D48" s="34">
        <v>0</v>
      </c>
      <c r="E48" s="35">
        <v>0</v>
      </c>
      <c r="F48" s="31"/>
    </row>
    <row r="49" spans="1:6" ht="15.75">
      <c r="A49" s="15"/>
      <c r="B49" s="36"/>
      <c r="C49" s="16"/>
      <c r="D49" s="37">
        <f>SUM(D43:D48)</f>
        <v>321389554</v>
      </c>
      <c r="E49" s="38">
        <f>SUM(E43:E48)</f>
        <v>4621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13759517.12</v>
      </c>
      <c r="E53" s="40">
        <f aca="true" t="shared" si="0" ref="E53:E63">D53/D$64</f>
        <v>0.04281258352906442</v>
      </c>
      <c r="F53" s="41">
        <v>216</v>
      </c>
      <c r="G53" s="40">
        <f aca="true" t="shared" si="1" ref="G53:G62">F53/F$64</f>
        <v>0.04674312919281541</v>
      </c>
    </row>
    <row r="54" spans="1:7" ht="15.75">
      <c r="A54" s="10" t="s">
        <v>55</v>
      </c>
      <c r="D54" s="39">
        <v>30826767.44</v>
      </c>
      <c r="E54" s="40">
        <f t="shared" si="0"/>
        <v>0.09591714189138954</v>
      </c>
      <c r="F54" s="41">
        <v>534</v>
      </c>
      <c r="G54" s="40">
        <f t="shared" si="1"/>
        <v>0.11555940272668254</v>
      </c>
    </row>
    <row r="55" spans="1:7" ht="15.75">
      <c r="A55" s="32" t="s">
        <v>67</v>
      </c>
      <c r="D55" s="39">
        <v>15267440.3</v>
      </c>
      <c r="E55" s="40">
        <f t="shared" si="0"/>
        <v>0.04750446962769246</v>
      </c>
      <c r="F55" s="41">
        <v>330</v>
      </c>
      <c r="G55" s="40">
        <f t="shared" si="1"/>
        <v>0.07141311404457909</v>
      </c>
    </row>
    <row r="56" spans="1:7" ht="15.75">
      <c r="A56" s="10" t="s">
        <v>56</v>
      </c>
      <c r="D56" s="39">
        <v>8953227.14</v>
      </c>
      <c r="E56" s="40">
        <f t="shared" si="0"/>
        <v>0.027857866045951515</v>
      </c>
      <c r="F56" s="41">
        <v>159</v>
      </c>
      <c r="G56" s="40">
        <f t="shared" si="1"/>
        <v>0.034408136766933564</v>
      </c>
    </row>
    <row r="57" spans="1:7" ht="15.75">
      <c r="A57" s="10" t="s">
        <v>57</v>
      </c>
      <c r="D57" s="39">
        <v>35024702.65</v>
      </c>
      <c r="E57" s="40">
        <f t="shared" si="0"/>
        <v>0.10897897031605779</v>
      </c>
      <c r="F57" s="41">
        <v>553</v>
      </c>
      <c r="G57" s="40">
        <f t="shared" si="1"/>
        <v>0.11967106686864315</v>
      </c>
    </row>
    <row r="58" spans="1:7" ht="15.75">
      <c r="A58" s="10" t="s">
        <v>66</v>
      </c>
      <c r="D58" s="39">
        <v>1444133.52</v>
      </c>
      <c r="E58" s="40">
        <f t="shared" si="0"/>
        <v>0.004493405285440848</v>
      </c>
      <c r="F58" s="41">
        <v>43</v>
      </c>
      <c r="G58" s="40">
        <f t="shared" si="1"/>
        <v>0.009305345163384549</v>
      </c>
    </row>
    <row r="59" spans="1:8" ht="15.75">
      <c r="A59" s="10" t="s">
        <v>58</v>
      </c>
      <c r="D59" s="39">
        <f>95289928.17+30825240.73</f>
        <v>126115168.9</v>
      </c>
      <c r="E59" s="40">
        <f t="shared" si="0"/>
        <v>0.39240593661278994</v>
      </c>
      <c r="F59" s="41">
        <f>275+1040</f>
        <v>1315</v>
      </c>
      <c r="G59" s="40">
        <f>F59/F$64</f>
        <v>0.28457043929885306</v>
      </c>
      <c r="H59" s="42" t="str">
        <f>IF(E59&gt;80%,"ERROR"," ")</f>
        <v> </v>
      </c>
    </row>
    <row r="60" spans="1:7" ht="15.75">
      <c r="A60" s="10" t="s">
        <v>59</v>
      </c>
      <c r="D60" s="39">
        <v>30012019.61</v>
      </c>
      <c r="E60" s="40">
        <f t="shared" si="0"/>
        <v>0.09338206313660552</v>
      </c>
      <c r="F60" s="41">
        <v>444</v>
      </c>
      <c r="G60" s="40">
        <f t="shared" si="1"/>
        <v>0.09608309889634278</v>
      </c>
    </row>
    <row r="61" spans="1:7" ht="15.75">
      <c r="A61" s="10" t="s">
        <v>60</v>
      </c>
      <c r="D61" s="39">
        <v>8723960.8</v>
      </c>
      <c r="E61" s="40">
        <f t="shared" si="0"/>
        <v>0.027144506394878757</v>
      </c>
      <c r="F61" s="41">
        <v>134</v>
      </c>
      <c r="G61" s="40">
        <f t="shared" si="1"/>
        <v>0.028998052369616965</v>
      </c>
    </row>
    <row r="62" spans="1:7" ht="15.75">
      <c r="A62" s="10" t="s">
        <v>61</v>
      </c>
      <c r="D62" s="39">
        <v>23961534.9</v>
      </c>
      <c r="E62" s="40">
        <f t="shared" si="0"/>
        <v>0.07455604767551917</v>
      </c>
      <c r="F62" s="41">
        <v>379</v>
      </c>
      <c r="G62" s="40">
        <f t="shared" si="1"/>
        <v>0.08201687946331963</v>
      </c>
    </row>
    <row r="63" spans="1:7" ht="15.75">
      <c r="A63" s="15" t="s">
        <v>62</v>
      </c>
      <c r="B63" s="36"/>
      <c r="C63" s="36"/>
      <c r="D63" s="43">
        <v>27301081.48</v>
      </c>
      <c r="E63" s="44">
        <f t="shared" si="0"/>
        <v>0.08494700948461001</v>
      </c>
      <c r="F63" s="45">
        <v>514</v>
      </c>
      <c r="G63" s="44">
        <f>F63/F$64</f>
        <v>0.11123133520882926</v>
      </c>
    </row>
    <row r="64" spans="1:7" ht="15.75">
      <c r="A64" s="70" t="s">
        <v>63</v>
      </c>
      <c r="B64" s="36"/>
      <c r="C64" s="36"/>
      <c r="D64" s="43">
        <f>SUM(D53:D63)</f>
        <v>321389553.86</v>
      </c>
      <c r="E64" s="44">
        <f>SUM(E53:E63)</f>
        <v>0.9999999999999999</v>
      </c>
      <c r="F64" s="46">
        <f>SUM(F53:F63)</f>
        <v>4621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38261</v>
      </c>
      <c r="E4" s="3"/>
    </row>
    <row r="5" spans="1:5" ht="15.75">
      <c r="A5" s="2" t="s">
        <v>15</v>
      </c>
      <c r="D5" s="4">
        <v>0.04845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271387212</v>
      </c>
      <c r="E9" s="8">
        <v>10002378</v>
      </c>
      <c r="F9" s="8">
        <v>1183488</v>
      </c>
      <c r="G9" s="9">
        <f>+D9/460000000</f>
        <v>0.5899722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186928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311387212</v>
      </c>
      <c r="E11" s="18">
        <f>SUM(E9:E10)</f>
        <v>10002378</v>
      </c>
      <c r="F11" s="18">
        <f>SUM(F9:F10)</f>
        <v>1370416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70</v>
      </c>
      <c r="F17" s="21">
        <v>11750000</v>
      </c>
    </row>
    <row r="18" spans="1:6" ht="15.75">
      <c r="A18" s="22" t="s">
        <v>71</v>
      </c>
      <c r="F18" s="21">
        <v>0</v>
      </c>
    </row>
    <row r="19" spans="1:6" ht="15.75">
      <c r="A19" s="22" t="s">
        <v>72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73</v>
      </c>
      <c r="F30" s="21">
        <v>204903</v>
      </c>
    </row>
    <row r="31" spans="1:6" ht="15.75">
      <c r="A31" s="24" t="s">
        <v>68</v>
      </c>
      <c r="F31" s="21">
        <v>2988</v>
      </c>
    </row>
    <row r="32" spans="1:6" ht="15.75">
      <c r="A32" s="22" t="s">
        <v>74</v>
      </c>
      <c r="F32" s="21">
        <f>D49</f>
        <v>311387185.16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1+1+1+1+1+1+30+15+20+16</f>
        <v>87</v>
      </c>
      <c r="F35" s="26">
        <f>30000+0+0+21150+35000+6000+10000+49950+244793+261874.14+208780+284725</f>
        <v>1152272.1400000001</v>
      </c>
    </row>
    <row r="36" spans="1:6" ht="15.75">
      <c r="A36" s="2" t="s">
        <v>7</v>
      </c>
      <c r="E36" s="25">
        <v>16</v>
      </c>
      <c r="F36" s="26">
        <v>284724.96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27">
        <f>((9605979+3248279.06-2567128.23)/321389553.86)*12</f>
        <v>0.38409947204996564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307864935.34</v>
      </c>
      <c r="E43" s="30">
        <v>4404</v>
      </c>
      <c r="F43" s="31"/>
    </row>
    <row r="44" spans="1:6" ht="15.75">
      <c r="A44" s="32" t="s">
        <v>35</v>
      </c>
      <c r="B44" s="33"/>
      <c r="C44" s="11"/>
      <c r="D44" s="34">
        <v>1439400.01</v>
      </c>
      <c r="E44" s="35">
        <v>26</v>
      </c>
      <c r="F44" s="31"/>
    </row>
    <row r="45" spans="1:6" ht="15.75">
      <c r="A45" s="32" t="s">
        <v>36</v>
      </c>
      <c r="B45" s="33"/>
      <c r="C45" s="11"/>
      <c r="D45" s="34">
        <v>1010568.29</v>
      </c>
      <c r="E45" s="35">
        <v>16</v>
      </c>
      <c r="F45" s="31"/>
    </row>
    <row r="46" spans="1:6" ht="15.75">
      <c r="A46" s="10" t="s">
        <v>37</v>
      </c>
      <c r="B46" s="33"/>
      <c r="C46" s="11"/>
      <c r="D46" s="34">
        <f>411290.48+311644.06+88379.7</f>
        <v>811314.24</v>
      </c>
      <c r="E46" s="35">
        <f>10+4+1</f>
        <v>15</v>
      </c>
      <c r="F46" s="31"/>
    </row>
    <row r="47" spans="1:6" ht="15.75">
      <c r="A47" s="10" t="s">
        <v>27</v>
      </c>
      <c r="B47" s="33"/>
      <c r="C47" s="11"/>
      <c r="D47" s="34">
        <v>237086.16</v>
      </c>
      <c r="E47" s="35">
        <v>5</v>
      </c>
      <c r="F47" s="31"/>
    </row>
    <row r="48" spans="1:6" ht="15.75">
      <c r="A48" s="10" t="s">
        <v>38</v>
      </c>
      <c r="B48" s="33"/>
      <c r="C48" s="11"/>
      <c r="D48" s="34">
        <v>23881.12</v>
      </c>
      <c r="E48" s="35">
        <v>1</v>
      </c>
      <c r="F48" s="31"/>
    </row>
    <row r="49" spans="1:6" ht="15.75">
      <c r="A49" s="15"/>
      <c r="B49" s="36"/>
      <c r="C49" s="16"/>
      <c r="D49" s="37">
        <f>SUM(D43:D48)</f>
        <v>311387185.16</v>
      </c>
      <c r="E49" s="38">
        <f>SUM(E43:E48)</f>
        <v>4467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13137527.6</v>
      </c>
      <c r="E53" s="40">
        <f aca="true" t="shared" si="0" ref="E53:E63">D53/D$64</f>
        <v>0.04219032839533697</v>
      </c>
      <c r="F53" s="41">
        <v>202</v>
      </c>
      <c r="G53" s="40">
        <f aca="true" t="shared" si="1" ref="G53:G62">F53/F$64</f>
        <v>0.04522050593239311</v>
      </c>
    </row>
    <row r="54" spans="1:7" ht="15.75">
      <c r="A54" s="10" t="s">
        <v>55</v>
      </c>
      <c r="D54" s="39">
        <v>29820220.65</v>
      </c>
      <c r="E54" s="40">
        <f t="shared" si="0"/>
        <v>0.0957657285564834</v>
      </c>
      <c r="F54" s="41">
        <v>514</v>
      </c>
      <c r="G54" s="40">
        <f t="shared" si="1"/>
        <v>0.11506603984777256</v>
      </c>
    </row>
    <row r="55" spans="1:7" ht="15.75">
      <c r="A55" s="32" t="s">
        <v>67</v>
      </c>
      <c r="D55" s="39">
        <v>14605159.36</v>
      </c>
      <c r="E55" s="40">
        <f t="shared" si="0"/>
        <v>0.046903533787029265</v>
      </c>
      <c r="F55" s="41">
        <v>319</v>
      </c>
      <c r="G55" s="40">
        <f t="shared" si="1"/>
        <v>0.0714125811506604</v>
      </c>
    </row>
    <row r="56" spans="1:7" ht="15.75">
      <c r="A56" s="10" t="s">
        <v>56</v>
      </c>
      <c r="D56" s="39">
        <v>8882753.14</v>
      </c>
      <c r="E56" s="40">
        <f t="shared" si="0"/>
        <v>0.028526392746174755</v>
      </c>
      <c r="F56" s="41">
        <v>155</v>
      </c>
      <c r="G56" s="40">
        <f t="shared" si="1"/>
        <v>0.0346989030669353</v>
      </c>
    </row>
    <row r="57" spans="1:7" ht="15.75">
      <c r="A57" s="10" t="s">
        <v>57</v>
      </c>
      <c r="D57" s="39">
        <v>33343247.43</v>
      </c>
      <c r="E57" s="40">
        <f t="shared" si="0"/>
        <v>0.107079703401626</v>
      </c>
      <c r="F57" s="41">
        <v>525</v>
      </c>
      <c r="G57" s="40">
        <f t="shared" si="1"/>
        <v>0.11752854264607118</v>
      </c>
    </row>
    <row r="58" spans="1:7" ht="15.75">
      <c r="A58" s="10" t="s">
        <v>66</v>
      </c>
      <c r="D58" s="39">
        <v>1444323.35</v>
      </c>
      <c r="E58" s="40">
        <f t="shared" si="0"/>
        <v>0.004638351925940252</v>
      </c>
      <c r="F58" s="41">
        <v>42</v>
      </c>
      <c r="G58" s="40">
        <f t="shared" si="1"/>
        <v>0.009402283411685695</v>
      </c>
    </row>
    <row r="59" spans="1:8" ht="15.75">
      <c r="A59" s="10" t="s">
        <v>58</v>
      </c>
      <c r="D59" s="39">
        <f>92890792.88+30406052.28</f>
        <v>123296845.16</v>
      </c>
      <c r="E59" s="40">
        <f t="shared" si="0"/>
        <v>0.3959599207547555</v>
      </c>
      <c r="F59" s="41">
        <f>1016+266</f>
        <v>1282</v>
      </c>
      <c r="G59" s="40">
        <f>F59/F$64</f>
        <v>0.2869935079471681</v>
      </c>
      <c r="H59" s="42" t="str">
        <f>IF(E59&gt;80%,"ERROR"," ")</f>
        <v> </v>
      </c>
    </row>
    <row r="60" spans="1:7" ht="15.75">
      <c r="A60" s="10" t="s">
        <v>59</v>
      </c>
      <c r="D60" s="39">
        <v>29484916.11</v>
      </c>
      <c r="E60" s="40">
        <f t="shared" si="0"/>
        <v>0.09468891950338217</v>
      </c>
      <c r="F60" s="41">
        <v>430</v>
      </c>
      <c r="G60" s="40">
        <f t="shared" si="1"/>
        <v>0.09626147302440116</v>
      </c>
    </row>
    <row r="61" spans="1:7" ht="15.75">
      <c r="A61" s="10" t="s">
        <v>60</v>
      </c>
      <c r="D61" s="39">
        <v>8020845.63</v>
      </c>
      <c r="E61" s="40">
        <f t="shared" si="0"/>
        <v>0.025758431985178357</v>
      </c>
      <c r="F61" s="41">
        <v>124</v>
      </c>
      <c r="G61" s="40">
        <f t="shared" si="1"/>
        <v>0.02775912245354824</v>
      </c>
    </row>
    <row r="62" spans="1:7" ht="15.75">
      <c r="A62" s="10" t="s">
        <v>61</v>
      </c>
      <c r="D62" s="39">
        <v>23368182.1</v>
      </c>
      <c r="E62" s="40">
        <f t="shared" si="0"/>
        <v>0.07504542002264072</v>
      </c>
      <c r="F62" s="41">
        <v>372</v>
      </c>
      <c r="G62" s="40">
        <f t="shared" si="1"/>
        <v>0.08327736736064473</v>
      </c>
    </row>
    <row r="63" spans="1:7" ht="15.75">
      <c r="A63" s="15" t="s">
        <v>62</v>
      </c>
      <c r="B63" s="36"/>
      <c r="C63" s="36"/>
      <c r="D63" s="43">
        <v>25983164.63</v>
      </c>
      <c r="E63" s="44">
        <f t="shared" si="0"/>
        <v>0.08344326892145248</v>
      </c>
      <c r="F63" s="45">
        <v>502</v>
      </c>
      <c r="G63" s="44">
        <f>F63/F$64</f>
        <v>0.1123796731587195</v>
      </c>
    </row>
    <row r="64" spans="1:7" ht="15.75">
      <c r="A64" s="70" t="s">
        <v>63</v>
      </c>
      <c r="B64" s="36"/>
      <c r="C64" s="36"/>
      <c r="D64" s="43">
        <f>SUM(D53:D63)</f>
        <v>311387185.16</v>
      </c>
      <c r="E64" s="44">
        <f>SUM(E53:E63)</f>
        <v>0.9999999999999999</v>
      </c>
      <c r="F64" s="46">
        <f>SUM(F53:F63)</f>
        <v>4467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0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38292</v>
      </c>
      <c r="E4" s="3"/>
    </row>
    <row r="5" spans="1:5" ht="15.75">
      <c r="A5" s="2" t="s">
        <v>15</v>
      </c>
      <c r="D5" s="4">
        <v>0.0483125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259170854</v>
      </c>
      <c r="E9" s="8">
        <v>12216358</v>
      </c>
      <c r="F9" s="8">
        <v>1178060</v>
      </c>
      <c r="G9" s="9">
        <f>+D9/460000000</f>
        <v>0.5634149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192944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299170854</v>
      </c>
      <c r="E11" s="18">
        <f>SUM(E9:E10)</f>
        <v>12216358</v>
      </c>
      <c r="F11" s="18">
        <f>SUM(F9:F10)</f>
        <v>1371004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80</v>
      </c>
      <c r="F17" s="21">
        <v>11750000</v>
      </c>
    </row>
    <row r="18" spans="1:6" ht="15.75">
      <c r="A18" s="22" t="s">
        <v>81</v>
      </c>
      <c r="F18" s="21">
        <v>0</v>
      </c>
    </row>
    <row r="19" spans="1:6" ht="15.75">
      <c r="A19" s="22" t="s">
        <v>82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83</v>
      </c>
      <c r="F30" s="21">
        <v>162373.19</v>
      </c>
    </row>
    <row r="31" spans="1:6" ht="15.75">
      <c r="A31" s="24" t="s">
        <v>68</v>
      </c>
      <c r="F31" s="21">
        <v>3028.67</v>
      </c>
    </row>
    <row r="32" spans="1:6" ht="15.75">
      <c r="A32" s="22" t="s">
        <v>84</v>
      </c>
      <c r="F32" s="21">
        <f>D49</f>
        <v>299170824.04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1+1+1+1+1+1+30+15+20+16+23</f>
        <v>110</v>
      </c>
      <c r="F35" s="26">
        <f>30000+0+0+21150+35000+6000+10000+49950+244793+261874.14+208780+284725+189265</f>
        <v>1341537.1400000001</v>
      </c>
    </row>
    <row r="36" spans="1:6" ht="15.75">
      <c r="A36" s="2" t="s">
        <v>7</v>
      </c>
      <c r="E36" s="25">
        <v>23</v>
      </c>
      <c r="F36" s="26">
        <v>189264.85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27">
        <f>((10826987+3855815.41-2277149.38)/311387185)*12</f>
        <v>0.4780795213521713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295950764</v>
      </c>
      <c r="E43" s="30">
        <v>4298</v>
      </c>
      <c r="F43" s="31"/>
    </row>
    <row r="44" spans="1:6" ht="15.75">
      <c r="A44" s="32" t="s">
        <v>35</v>
      </c>
      <c r="B44" s="33"/>
      <c r="C44" s="11"/>
      <c r="D44" s="34">
        <v>1042826.75</v>
      </c>
      <c r="E44" s="35">
        <v>25</v>
      </c>
      <c r="F44" s="31"/>
    </row>
    <row r="45" spans="1:6" ht="15.75">
      <c r="A45" s="32" t="s">
        <v>36</v>
      </c>
      <c r="B45" s="33"/>
      <c r="C45" s="11"/>
      <c r="D45" s="34">
        <v>918917.67</v>
      </c>
      <c r="E45" s="35">
        <v>16</v>
      </c>
      <c r="F45" s="31"/>
    </row>
    <row r="46" spans="1:6" ht="15.75">
      <c r="A46" s="10" t="s">
        <v>37</v>
      </c>
      <c r="B46" s="33"/>
      <c r="C46" s="11"/>
      <c r="D46" s="34">
        <f>468884.11+69866.26+27831.6+7415.85+88296.38</f>
        <v>662294.2</v>
      </c>
      <c r="E46" s="35">
        <f>9+3+1+1+1</f>
        <v>15</v>
      </c>
      <c r="F46" s="31"/>
    </row>
    <row r="47" spans="1:6" ht="15.75">
      <c r="A47" s="10" t="s">
        <v>27</v>
      </c>
      <c r="B47" s="33"/>
      <c r="C47" s="11"/>
      <c r="D47" s="34">
        <v>572443.61</v>
      </c>
      <c r="E47" s="35">
        <v>9</v>
      </c>
      <c r="F47" s="31"/>
    </row>
    <row r="48" spans="1:6" ht="15.75">
      <c r="A48" s="10" t="s">
        <v>38</v>
      </c>
      <c r="B48" s="33"/>
      <c r="C48" s="11"/>
      <c r="D48" s="34">
        <v>23577.81</v>
      </c>
      <c r="E48" s="35">
        <v>1</v>
      </c>
      <c r="F48" s="31"/>
    </row>
    <row r="49" spans="1:6" ht="15.75">
      <c r="A49" s="15"/>
      <c r="B49" s="36"/>
      <c r="C49" s="16"/>
      <c r="D49" s="37">
        <f>SUM(D43:D48)</f>
        <v>299170824.04</v>
      </c>
      <c r="E49" s="38">
        <f>SUM(E43:E48)</f>
        <v>4364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12725377.81</v>
      </c>
      <c r="E53" s="40">
        <f aca="true" t="shared" si="0" ref="E53:E63">D53/D$64</f>
        <v>0.04253549072117602</v>
      </c>
      <c r="F53" s="41">
        <v>199</v>
      </c>
      <c r="G53" s="40">
        <f aca="true" t="shared" si="1" ref="G53:G62">F53/F$64</f>
        <v>0.04560036663611366</v>
      </c>
    </row>
    <row r="54" spans="1:7" ht="15.75">
      <c r="A54" s="10" t="s">
        <v>55</v>
      </c>
      <c r="D54" s="39">
        <v>28619927.47</v>
      </c>
      <c r="E54" s="40">
        <f t="shared" si="0"/>
        <v>0.09566416632316203</v>
      </c>
      <c r="F54" s="41">
        <v>503</v>
      </c>
      <c r="G54" s="40">
        <f t="shared" si="1"/>
        <v>0.11526122823098076</v>
      </c>
    </row>
    <row r="55" spans="1:7" ht="15.75">
      <c r="A55" s="32" t="s">
        <v>67</v>
      </c>
      <c r="D55" s="39">
        <v>14131292.22</v>
      </c>
      <c r="E55" s="40">
        <f t="shared" si="0"/>
        <v>0.04723486077008167</v>
      </c>
      <c r="F55" s="41">
        <v>310</v>
      </c>
      <c r="G55" s="40">
        <f t="shared" si="1"/>
        <v>0.07103574702108158</v>
      </c>
    </row>
    <row r="56" spans="1:7" ht="15.75">
      <c r="A56" s="10" t="s">
        <v>56</v>
      </c>
      <c r="D56" s="39">
        <v>8544181.48</v>
      </c>
      <c r="E56" s="40">
        <f t="shared" si="0"/>
        <v>0.02855954121668502</v>
      </c>
      <c r="F56" s="41">
        <v>151</v>
      </c>
      <c r="G56" s="40">
        <f t="shared" si="1"/>
        <v>0.0346012832263978</v>
      </c>
    </row>
    <row r="57" spans="1:7" ht="15.75">
      <c r="A57" s="10" t="s">
        <v>57</v>
      </c>
      <c r="D57" s="39">
        <v>32333032.7</v>
      </c>
      <c r="E57" s="40">
        <f t="shared" si="0"/>
        <v>0.10807548765409351</v>
      </c>
      <c r="F57" s="41">
        <v>517</v>
      </c>
      <c r="G57" s="40">
        <f t="shared" si="1"/>
        <v>0.1184692942254812</v>
      </c>
    </row>
    <row r="58" spans="1:7" ht="15.75">
      <c r="A58" s="10" t="s">
        <v>66</v>
      </c>
      <c r="D58" s="39">
        <v>1447894.49</v>
      </c>
      <c r="E58" s="40">
        <f t="shared" si="0"/>
        <v>0.004839691486113675</v>
      </c>
      <c r="F58" s="41">
        <v>42</v>
      </c>
      <c r="G58" s="40">
        <f t="shared" si="1"/>
        <v>0.009624197983501375</v>
      </c>
    </row>
    <row r="59" spans="1:8" ht="15.75">
      <c r="A59" s="10" t="s">
        <v>58</v>
      </c>
      <c r="D59" s="39">
        <f>89189960.36+28997276.09</f>
        <v>118187236.45</v>
      </c>
      <c r="E59" s="40">
        <f t="shared" si="0"/>
        <v>0.3950493395512326</v>
      </c>
      <c r="F59" s="41">
        <f>260+991</f>
        <v>1251</v>
      </c>
      <c r="G59" s="40">
        <f>F59/F$64</f>
        <v>0.28666361136571955</v>
      </c>
      <c r="H59" s="42" t="str">
        <f>IF(E59&gt;80%,"ERROR"," ")</f>
        <v> </v>
      </c>
    </row>
    <row r="60" spans="1:7" ht="15.75">
      <c r="A60" s="10" t="s">
        <v>59</v>
      </c>
      <c r="D60" s="39">
        <v>28265923.84</v>
      </c>
      <c r="E60" s="40">
        <f t="shared" si="0"/>
        <v>0.09448088372488077</v>
      </c>
      <c r="F60" s="41">
        <v>420</v>
      </c>
      <c r="G60" s="40">
        <f t="shared" si="1"/>
        <v>0.09624197983501374</v>
      </c>
    </row>
    <row r="61" spans="1:7" ht="15.75">
      <c r="A61" s="10" t="s">
        <v>60</v>
      </c>
      <c r="D61" s="39">
        <v>7644401.63</v>
      </c>
      <c r="E61" s="40">
        <f t="shared" si="0"/>
        <v>0.025551962343018857</v>
      </c>
      <c r="F61" s="41">
        <v>123</v>
      </c>
      <c r="G61" s="40">
        <f t="shared" si="1"/>
        <v>0.028185151237396882</v>
      </c>
    </row>
    <row r="62" spans="1:7" ht="15.75">
      <c r="A62" s="10" t="s">
        <v>61</v>
      </c>
      <c r="D62" s="39">
        <v>22362459.3</v>
      </c>
      <c r="E62" s="40">
        <f t="shared" si="0"/>
        <v>0.07474812883829232</v>
      </c>
      <c r="F62" s="41">
        <v>359</v>
      </c>
      <c r="G62" s="40">
        <f t="shared" si="1"/>
        <v>0.08226397800183317</v>
      </c>
    </row>
    <row r="63" spans="1:7" ht="15.75">
      <c r="A63" s="15" t="s">
        <v>62</v>
      </c>
      <c r="B63" s="36"/>
      <c r="C63" s="36"/>
      <c r="D63" s="43">
        <v>24909096.65</v>
      </c>
      <c r="E63" s="44">
        <f t="shared" si="0"/>
        <v>0.08326044737126366</v>
      </c>
      <c r="F63" s="45">
        <v>489</v>
      </c>
      <c r="G63" s="44">
        <f>F63/F$64</f>
        <v>0.11205316223648029</v>
      </c>
    </row>
    <row r="64" spans="1:7" ht="15.75">
      <c r="A64" s="70" t="s">
        <v>63</v>
      </c>
      <c r="B64" s="36"/>
      <c r="C64" s="36"/>
      <c r="D64" s="43">
        <f>SUM(D53:D63)</f>
        <v>299170824.03999996</v>
      </c>
      <c r="E64" s="44">
        <f>SUM(E53:E63)</f>
        <v>1</v>
      </c>
      <c r="F64" s="46">
        <f>SUM(F53:F63)</f>
        <v>4364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38322</v>
      </c>
      <c r="E4" s="3"/>
    </row>
    <row r="5" spans="1:5" ht="15.75">
      <c r="A5" s="2" t="s">
        <v>15</v>
      </c>
      <c r="D5" s="71">
        <v>0.04825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245378582</v>
      </c>
      <c r="E9" s="8">
        <v>13792272</v>
      </c>
      <c r="F9" s="8">
        <v>1085830</v>
      </c>
      <c r="G9" s="9">
        <f>+D9/460000000</f>
        <v>0.5334317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186272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285378582</v>
      </c>
      <c r="E11" s="18">
        <f>SUM(E9:E10)</f>
        <v>13792272</v>
      </c>
      <c r="F11" s="18">
        <f>SUM(F9:F10)</f>
        <v>1272102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144</v>
      </c>
      <c r="F17" s="21">
        <v>11750000</v>
      </c>
    </row>
    <row r="18" spans="1:6" ht="15.75">
      <c r="A18" s="22" t="s">
        <v>145</v>
      </c>
      <c r="F18" s="21">
        <v>0</v>
      </c>
    </row>
    <row r="19" spans="1:6" ht="15.75">
      <c r="A19" s="22" t="s">
        <v>146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147</v>
      </c>
      <c r="F30" s="21">
        <v>206336</v>
      </c>
    </row>
    <row r="31" spans="1:6" ht="15.75">
      <c r="A31" s="24" t="s">
        <v>68</v>
      </c>
      <c r="F31" s="21">
        <v>2614</v>
      </c>
    </row>
    <row r="32" spans="1:6" ht="15.75">
      <c r="A32" s="22" t="s">
        <v>148</v>
      </c>
      <c r="F32" s="21">
        <f>D49</f>
        <v>285378581.57000005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1+1+1+1+1+1+30+15+20+16+23+6</f>
        <v>116</v>
      </c>
      <c r="F35" s="26">
        <f>30000+0+0+21150+35000+6000+10000+49950+244793+261874.14+208780+284725+189265+67272.66</f>
        <v>1408809.8</v>
      </c>
    </row>
    <row r="36" spans="1:6" ht="15.75">
      <c r="A36" s="2" t="s">
        <v>7</v>
      </c>
      <c r="E36" s="25">
        <v>6</v>
      </c>
      <c r="F36" s="26">
        <v>67272.66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((12598824+3394515.04-2133794)/299170824)*12</f>
        <v>0.5559183153501626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282794490.77</v>
      </c>
      <c r="E43" s="30">
        <v>4155</v>
      </c>
      <c r="F43" s="31"/>
    </row>
    <row r="44" spans="1:6" ht="15.75">
      <c r="A44" s="32" t="s">
        <v>35</v>
      </c>
      <c r="B44" s="33"/>
      <c r="C44" s="11"/>
      <c r="D44" s="34">
        <v>1213083.8</v>
      </c>
      <c r="E44" s="35">
        <v>25</v>
      </c>
      <c r="F44" s="31"/>
    </row>
    <row r="45" spans="1:6" ht="15.75">
      <c r="A45" s="32" t="s">
        <v>36</v>
      </c>
      <c r="B45" s="33"/>
      <c r="C45" s="11"/>
      <c r="D45" s="34">
        <v>599909.81</v>
      </c>
      <c r="E45" s="35">
        <v>13</v>
      </c>
      <c r="F45" s="31"/>
    </row>
    <row r="46" spans="1:6" ht="15.75">
      <c r="A46" s="10" t="s">
        <v>37</v>
      </c>
      <c r="B46" s="33"/>
      <c r="C46" s="11"/>
      <c r="D46" s="34">
        <f>151934.64+93835.83+88211.27</f>
        <v>333981.74000000005</v>
      </c>
      <c r="E46" s="35">
        <f>4+4+1</f>
        <v>9</v>
      </c>
      <c r="F46" s="31"/>
    </row>
    <row r="47" spans="1:6" ht="15.75">
      <c r="A47" s="10" t="s">
        <v>27</v>
      </c>
      <c r="B47" s="33"/>
      <c r="C47" s="11"/>
      <c r="D47" s="34">
        <v>412862.66</v>
      </c>
      <c r="E47" s="35">
        <v>7</v>
      </c>
      <c r="F47" s="31"/>
    </row>
    <row r="48" spans="1:6" ht="15.75">
      <c r="A48" s="10" t="s">
        <v>38</v>
      </c>
      <c r="B48" s="33"/>
      <c r="C48" s="11"/>
      <c r="D48" s="34">
        <v>24252.79</v>
      </c>
      <c r="E48" s="35">
        <v>1</v>
      </c>
      <c r="F48" s="31"/>
    </row>
    <row r="49" spans="1:6" ht="15.75">
      <c r="A49" s="15"/>
      <c r="B49" s="36"/>
      <c r="C49" s="16"/>
      <c r="D49" s="37">
        <f>SUM(D43:D48)</f>
        <v>285378581.57000005</v>
      </c>
      <c r="E49" s="38">
        <f>SUM(E43:E48)</f>
        <v>4210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12503242.1</v>
      </c>
      <c r="E53" s="40">
        <f aca="true" t="shared" si="0" ref="E53:E63">D53/D$64</f>
        <v>0.04381282586525541</v>
      </c>
      <c r="F53" s="41">
        <v>193</v>
      </c>
      <c r="G53" s="40">
        <f aca="true" t="shared" si="1" ref="G53:G62">F53/F$64</f>
        <v>0.04584323040380048</v>
      </c>
    </row>
    <row r="54" spans="1:7" ht="15.75">
      <c r="A54" s="10" t="s">
        <v>55</v>
      </c>
      <c r="D54" s="39">
        <v>27452412.35</v>
      </c>
      <c r="E54" s="40">
        <f t="shared" si="0"/>
        <v>0.09619647066353591</v>
      </c>
      <c r="F54" s="41">
        <v>479</v>
      </c>
      <c r="G54" s="40">
        <f t="shared" si="1"/>
        <v>0.11377672209026128</v>
      </c>
    </row>
    <row r="55" spans="1:7" ht="15.75">
      <c r="A55" s="32" t="s">
        <v>67</v>
      </c>
      <c r="D55" s="39">
        <v>13502147</v>
      </c>
      <c r="E55" s="40">
        <f t="shared" si="0"/>
        <v>0.04731310571984212</v>
      </c>
      <c r="F55" s="41">
        <v>300</v>
      </c>
      <c r="G55" s="40">
        <f t="shared" si="1"/>
        <v>0.07125890736342043</v>
      </c>
    </row>
    <row r="56" spans="1:7" ht="15.75">
      <c r="A56" s="10" t="s">
        <v>56</v>
      </c>
      <c r="D56" s="39">
        <v>8272829.62</v>
      </c>
      <c r="E56" s="40">
        <f t="shared" si="0"/>
        <v>0.028988964674529265</v>
      </c>
      <c r="F56" s="41">
        <v>151</v>
      </c>
      <c r="G56" s="40">
        <f t="shared" si="1"/>
        <v>0.035866983372921615</v>
      </c>
    </row>
    <row r="57" spans="1:7" ht="15.75">
      <c r="A57" s="10" t="s">
        <v>57</v>
      </c>
      <c r="D57" s="39">
        <v>30512484.39</v>
      </c>
      <c r="E57" s="40">
        <f t="shared" si="0"/>
        <v>0.10691932177298191</v>
      </c>
      <c r="F57" s="41">
        <v>498</v>
      </c>
      <c r="G57" s="40">
        <f t="shared" si="1"/>
        <v>0.1182897862232779</v>
      </c>
    </row>
    <row r="58" spans="1:7" ht="15.75">
      <c r="A58" s="10" t="s">
        <v>66</v>
      </c>
      <c r="D58" s="39">
        <v>1433391.14</v>
      </c>
      <c r="E58" s="40">
        <f t="shared" si="0"/>
        <v>0.005022770567133139</v>
      </c>
      <c r="F58" s="41">
        <v>41</v>
      </c>
      <c r="G58" s="40">
        <f t="shared" si="1"/>
        <v>0.009738717339667458</v>
      </c>
    </row>
    <row r="59" spans="1:8" ht="15.75">
      <c r="A59" s="10" t="s">
        <v>58</v>
      </c>
      <c r="D59" s="39">
        <f>84885411.73+27694131.33</f>
        <v>112579543.06</v>
      </c>
      <c r="E59" s="40">
        <f t="shared" si="0"/>
        <v>0.3944919147072905</v>
      </c>
      <c r="F59" s="41">
        <f>955+254</f>
        <v>1209</v>
      </c>
      <c r="G59" s="40">
        <f>F59/F$64</f>
        <v>0.2871733966745843</v>
      </c>
      <c r="H59" s="42" t="str">
        <f>IF(E59&gt;80%,"ERROR"," ")</f>
        <v> </v>
      </c>
    </row>
    <row r="60" spans="1:7" ht="15.75">
      <c r="A60" s="10" t="s">
        <v>59</v>
      </c>
      <c r="D60" s="39">
        <v>26852230.46</v>
      </c>
      <c r="E60" s="40">
        <f t="shared" si="0"/>
        <v>0.09409336297164775</v>
      </c>
      <c r="F60" s="41">
        <v>406</v>
      </c>
      <c r="G60" s="40">
        <f t="shared" si="1"/>
        <v>0.09643705463182897</v>
      </c>
    </row>
    <row r="61" spans="1:7" ht="15.75">
      <c r="A61" s="10" t="s">
        <v>60</v>
      </c>
      <c r="D61" s="39">
        <v>7548196.58</v>
      </c>
      <c r="E61" s="40">
        <f t="shared" si="0"/>
        <v>0.02644976556570527</v>
      </c>
      <c r="F61" s="41">
        <v>120</v>
      </c>
      <c r="G61" s="40">
        <f t="shared" si="1"/>
        <v>0.028503562945368172</v>
      </c>
    </row>
    <row r="62" spans="1:7" ht="15.75">
      <c r="A62" s="10" t="s">
        <v>61</v>
      </c>
      <c r="D62" s="39">
        <v>21498203.97</v>
      </c>
      <c r="E62" s="40">
        <f t="shared" si="0"/>
        <v>0.0753322265873227</v>
      </c>
      <c r="F62" s="41">
        <v>347</v>
      </c>
      <c r="G62" s="40">
        <f t="shared" si="1"/>
        <v>0.08242280285035629</v>
      </c>
    </row>
    <row r="63" spans="1:7" ht="15.75">
      <c r="A63" s="15" t="s">
        <v>62</v>
      </c>
      <c r="B63" s="36"/>
      <c r="C63" s="36"/>
      <c r="D63" s="43">
        <v>23223900.9</v>
      </c>
      <c r="E63" s="44">
        <f t="shared" si="0"/>
        <v>0.08137927090475584</v>
      </c>
      <c r="F63" s="45">
        <v>466</v>
      </c>
      <c r="G63" s="44">
        <f>F63/F$64</f>
        <v>0.11068883610451306</v>
      </c>
    </row>
    <row r="64" spans="1:7" ht="15.75">
      <c r="A64" s="70" t="s">
        <v>63</v>
      </c>
      <c r="B64" s="36"/>
      <c r="C64" s="36"/>
      <c r="D64" s="43">
        <f>SUM(D53:D63)</f>
        <v>285378581.57000005</v>
      </c>
      <c r="E64" s="44">
        <f>SUM(E53:E63)</f>
        <v>0.9999999999999998</v>
      </c>
      <c r="F64" s="46">
        <f>SUM(F53:F63)</f>
        <v>4210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38356</v>
      </c>
      <c r="E4" s="3"/>
    </row>
    <row r="5" spans="1:5" ht="15.75">
      <c r="A5" s="2" t="s">
        <v>15</v>
      </c>
      <c r="D5" s="73">
        <v>0.0485625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232240522</v>
      </c>
      <c r="E9" s="8">
        <v>13138060</v>
      </c>
      <c r="F9" s="8">
        <v>1166882</v>
      </c>
      <c r="G9" s="9">
        <f>+D9/460000000</f>
        <v>0.5048707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211452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272240522</v>
      </c>
      <c r="E11" s="18">
        <f>SUM(E9:E10)</f>
        <v>13138060</v>
      </c>
      <c r="F11" s="18">
        <f>SUM(F9:F10)</f>
        <v>1378334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149</v>
      </c>
      <c r="F17" s="21">
        <v>11750000</v>
      </c>
    </row>
    <row r="18" spans="1:6" ht="15.75">
      <c r="A18" s="22" t="s">
        <v>150</v>
      </c>
      <c r="F18" s="21">
        <v>0</v>
      </c>
    </row>
    <row r="19" spans="1:6" ht="15.75">
      <c r="A19" s="22" t="s">
        <v>151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152</v>
      </c>
      <c r="F30" s="74">
        <v>161198.98</v>
      </c>
    </row>
    <row r="31" spans="1:6" ht="15.75">
      <c r="A31" s="24" t="s">
        <v>68</v>
      </c>
      <c r="F31" s="21">
        <v>72</v>
      </c>
    </row>
    <row r="32" spans="1:6" ht="15.75">
      <c r="A32" s="22" t="s">
        <v>153</v>
      </c>
      <c r="F32" s="21">
        <f>D49</f>
        <v>272240480.93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1+1+1+1+1+1+30+15+20+16+23+6+1</f>
        <v>117</v>
      </c>
      <c r="F35" s="26">
        <f>30000+0+0+21150+35000+6000+10000+49950+244793+261874.14+208780+284725+189265+67272.66+198</f>
        <v>1409007.8</v>
      </c>
    </row>
    <row r="36" spans="1:6" ht="15.75">
      <c r="A36" s="2" t="s">
        <v>7</v>
      </c>
      <c r="E36" s="25">
        <v>1</v>
      </c>
      <c r="F36" s="26">
        <v>198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((12003591+3316376.04-2181667.67)/285378582)*12</f>
        <v>0.5524576908858563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269102029.58</v>
      </c>
      <c r="E43" s="30">
        <v>4019</v>
      </c>
      <c r="F43" s="31"/>
    </row>
    <row r="44" spans="1:6" ht="15.75">
      <c r="A44" s="32" t="s">
        <v>35</v>
      </c>
      <c r="B44" s="33"/>
      <c r="C44" s="11"/>
      <c r="D44" s="34">
        <v>1795092.53</v>
      </c>
      <c r="E44" s="35">
        <v>28</v>
      </c>
      <c r="F44" s="31"/>
    </row>
    <row r="45" spans="1:6" ht="15.75">
      <c r="A45" s="32" t="s">
        <v>36</v>
      </c>
      <c r="B45" s="33"/>
      <c r="C45" s="11"/>
      <c r="D45" s="34">
        <v>725598.5</v>
      </c>
      <c r="E45" s="35">
        <v>15</v>
      </c>
      <c r="F45" s="31"/>
    </row>
    <row r="46" spans="1:6" ht="15.75">
      <c r="A46" s="10" t="s">
        <v>37</v>
      </c>
      <c r="B46" s="33"/>
      <c r="C46" s="11"/>
      <c r="D46" s="34">
        <f>109575.31+66222.91+27901.58+88124.24</f>
        <v>291824.04</v>
      </c>
      <c r="E46" s="35">
        <f>5+3+1+1</f>
        <v>10</v>
      </c>
      <c r="F46" s="31"/>
    </row>
    <row r="47" spans="1:6" ht="15.75">
      <c r="A47" s="10" t="s">
        <v>27</v>
      </c>
      <c r="B47" s="33"/>
      <c r="C47" s="11"/>
      <c r="D47" s="34">
        <v>301533.73</v>
      </c>
      <c r="E47" s="35">
        <v>6</v>
      </c>
      <c r="F47" s="31"/>
    </row>
    <row r="48" spans="1:6" ht="15.75">
      <c r="A48" s="10" t="s">
        <v>38</v>
      </c>
      <c r="B48" s="33"/>
      <c r="C48" s="11"/>
      <c r="D48" s="34">
        <v>24402.55</v>
      </c>
      <c r="E48" s="35">
        <v>1</v>
      </c>
      <c r="F48" s="31"/>
    </row>
    <row r="49" spans="1:6" ht="15.75">
      <c r="A49" s="15"/>
      <c r="B49" s="36"/>
      <c r="C49" s="16"/>
      <c r="D49" s="37">
        <f>SUM(D43:D48)</f>
        <v>272240480.93</v>
      </c>
      <c r="E49" s="38">
        <f>SUM(E43:E48)</f>
        <v>4079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12248306.04</v>
      </c>
      <c r="E53" s="40">
        <f aca="true" t="shared" si="0" ref="E53:E63">D53/D$64</f>
        <v>0.04499075963338954</v>
      </c>
      <c r="F53" s="41">
        <v>187</v>
      </c>
      <c r="G53" s="40">
        <f aca="true" t="shared" si="1" ref="G53:G62">F53/F$64</f>
        <v>0.04584456974748713</v>
      </c>
    </row>
    <row r="54" spans="1:7" ht="15.75">
      <c r="A54" s="10" t="s">
        <v>55</v>
      </c>
      <c r="D54" s="39">
        <v>26323909.06</v>
      </c>
      <c r="E54" s="40">
        <f t="shared" si="0"/>
        <v>0.09669358858783587</v>
      </c>
      <c r="F54" s="41">
        <v>463</v>
      </c>
      <c r="G54" s="40">
        <f t="shared" si="1"/>
        <v>0.11350821279725423</v>
      </c>
    </row>
    <row r="55" spans="1:7" ht="15.75">
      <c r="A55" s="32" t="s">
        <v>67</v>
      </c>
      <c r="D55" s="39">
        <v>13042307.36</v>
      </c>
      <c r="E55" s="40">
        <f t="shared" si="0"/>
        <v>0.0479073035554676</v>
      </c>
      <c r="F55" s="41">
        <v>293</v>
      </c>
      <c r="G55" s="40">
        <f t="shared" si="1"/>
        <v>0.07183133120862957</v>
      </c>
    </row>
    <row r="56" spans="1:7" ht="15.75">
      <c r="A56" s="10" t="s">
        <v>56</v>
      </c>
      <c r="D56" s="39">
        <v>7781874.99</v>
      </c>
      <c r="E56" s="40">
        <f t="shared" si="0"/>
        <v>0.028584562308354572</v>
      </c>
      <c r="F56" s="41">
        <v>146</v>
      </c>
      <c r="G56" s="40">
        <f t="shared" si="1"/>
        <v>0.03579308654081883</v>
      </c>
    </row>
    <row r="57" spans="1:7" ht="15.75">
      <c r="A57" s="10" t="s">
        <v>57</v>
      </c>
      <c r="D57" s="39">
        <v>29310951.69</v>
      </c>
      <c r="E57" s="40">
        <f t="shared" si="0"/>
        <v>0.10766566232130848</v>
      </c>
      <c r="F57" s="41">
        <v>482</v>
      </c>
      <c r="G57" s="40">
        <f t="shared" si="1"/>
        <v>0.11816621721010051</v>
      </c>
    </row>
    <row r="58" spans="1:7" ht="15.75">
      <c r="A58" s="10" t="s">
        <v>66</v>
      </c>
      <c r="D58" s="39">
        <v>1429982.39</v>
      </c>
      <c r="E58" s="40">
        <f t="shared" si="0"/>
        <v>0.005252644225116856</v>
      </c>
      <c r="F58" s="41">
        <v>41</v>
      </c>
      <c r="G58" s="40">
        <f t="shared" si="1"/>
        <v>0.0100514832066683</v>
      </c>
    </row>
    <row r="59" spans="1:8" ht="15.75">
      <c r="A59" s="10" t="s">
        <v>58</v>
      </c>
      <c r="D59" s="39">
        <f>79567617.06+26777746.25</f>
        <v>106345363.31</v>
      </c>
      <c r="E59" s="40">
        <f t="shared" si="0"/>
        <v>0.3906302359836931</v>
      </c>
      <c r="F59" s="41">
        <f>248+915</f>
        <v>1163</v>
      </c>
      <c r="G59" s="40">
        <f>F59/F$64</f>
        <v>0.2851189016915911</v>
      </c>
      <c r="H59" s="42" t="str">
        <f>IF(E59&gt;80%,"ERROR"," ")</f>
        <v> </v>
      </c>
    </row>
    <row r="60" spans="1:7" ht="15.75">
      <c r="A60" s="10" t="s">
        <v>59</v>
      </c>
      <c r="D60" s="39">
        <v>25480492.04</v>
      </c>
      <c r="E60" s="40">
        <f t="shared" si="0"/>
        <v>0.09359552977924575</v>
      </c>
      <c r="F60" s="41">
        <v>390</v>
      </c>
      <c r="G60" s="40">
        <f t="shared" si="1"/>
        <v>0.09561166952684481</v>
      </c>
    </row>
    <row r="61" spans="1:7" ht="15.75">
      <c r="A61" s="10" t="s">
        <v>60</v>
      </c>
      <c r="D61" s="39">
        <v>6760324.25</v>
      </c>
      <c r="E61" s="40">
        <f t="shared" si="0"/>
        <v>0.024832178619821982</v>
      </c>
      <c r="F61" s="41">
        <v>115</v>
      </c>
      <c r="G61" s="40">
        <f t="shared" si="1"/>
        <v>0.028193184604069624</v>
      </c>
    </row>
    <row r="62" spans="1:7" ht="15.75">
      <c r="A62" s="10" t="s">
        <v>61</v>
      </c>
      <c r="D62" s="39">
        <v>20813156.46</v>
      </c>
      <c r="E62" s="40">
        <f t="shared" si="0"/>
        <v>0.07645136531092007</v>
      </c>
      <c r="F62" s="41">
        <v>344</v>
      </c>
      <c r="G62" s="40">
        <f t="shared" si="1"/>
        <v>0.08433439568521696</v>
      </c>
    </row>
    <row r="63" spans="1:7" ht="15.75">
      <c r="A63" s="15" t="s">
        <v>62</v>
      </c>
      <c r="B63" s="36"/>
      <c r="C63" s="36"/>
      <c r="D63" s="43">
        <v>22703813.34</v>
      </c>
      <c r="E63" s="44">
        <f t="shared" si="0"/>
        <v>0.08339616967484616</v>
      </c>
      <c r="F63" s="45">
        <v>455</v>
      </c>
      <c r="G63" s="44">
        <f>F63/F$64</f>
        <v>0.11154694778131895</v>
      </c>
    </row>
    <row r="64" spans="1:7" ht="15.75">
      <c r="A64" s="70" t="s">
        <v>63</v>
      </c>
      <c r="B64" s="36"/>
      <c r="C64" s="36"/>
      <c r="D64" s="43">
        <f>SUM(D53:D63)</f>
        <v>272240480.93</v>
      </c>
      <c r="E64" s="44">
        <f>SUM(E53:E63)</f>
        <v>1.0000000000000002</v>
      </c>
      <c r="F64" s="46">
        <f>SUM(F53:F63)</f>
        <v>4079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38384</v>
      </c>
      <c r="E4" s="3"/>
    </row>
    <row r="5" spans="1:5" ht="15.75">
      <c r="A5" s="2" t="s">
        <v>15</v>
      </c>
      <c r="D5" s="73">
        <v>0.0483438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223201108</v>
      </c>
      <c r="E9" s="8">
        <v>9039414</v>
      </c>
      <c r="F9" s="8">
        <v>915078</v>
      </c>
      <c r="G9" s="9">
        <f>+D9/460000000</f>
        <v>0.4852198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175096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263201108</v>
      </c>
      <c r="E11" s="18">
        <f>SUM(E9:E10)</f>
        <v>9039414</v>
      </c>
      <c r="F11" s="18">
        <f>SUM(F9:F10)</f>
        <v>1090174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154</v>
      </c>
      <c r="F17" s="21">
        <v>11750000</v>
      </c>
    </row>
    <row r="18" spans="1:6" ht="15.75">
      <c r="A18" s="22" t="s">
        <v>155</v>
      </c>
      <c r="F18" s="21">
        <v>0</v>
      </c>
    </row>
    <row r="19" spans="1:6" ht="15.75">
      <c r="A19" s="22" t="s">
        <v>156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157</v>
      </c>
      <c r="F30" s="74">
        <v>162852</v>
      </c>
    </row>
    <row r="31" spans="1:6" ht="15.75">
      <c r="A31" s="24" t="s">
        <v>68</v>
      </c>
      <c r="F31" s="21">
        <v>89.58</v>
      </c>
    </row>
    <row r="32" spans="1:6" ht="15.75">
      <c r="A32" s="22" t="s">
        <v>158</v>
      </c>
      <c r="F32" s="21">
        <f>D49</f>
        <v>263201066.48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1+1+1+1+1+1+30+15+20+16+23+6+1+1</f>
        <v>118</v>
      </c>
      <c r="F35" s="26">
        <f>30000+0+0+21150+35000+6000+10000+49950+244793+261874.14+208780+284725+189265+67272.66+198+8195</f>
        <v>1417202.8</v>
      </c>
    </row>
    <row r="36" spans="1:6" ht="15.75">
      <c r="A36" s="2" t="s">
        <v>7</v>
      </c>
      <c r="E36" s="25">
        <v>1</v>
      </c>
      <c r="F36" s="26">
        <v>8195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((8325919+2697412.88-1975681.55)/272240481)*12</f>
        <v>0.39880844891689704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259608196.85</v>
      </c>
      <c r="E43" s="30">
        <v>3924</v>
      </c>
      <c r="F43" s="31"/>
    </row>
    <row r="44" spans="1:6" ht="15.75">
      <c r="A44" s="32" t="s">
        <v>35</v>
      </c>
      <c r="B44" s="33"/>
      <c r="C44" s="11"/>
      <c r="D44" s="34">
        <v>1494266.48</v>
      </c>
      <c r="E44" s="35">
        <v>32</v>
      </c>
      <c r="F44" s="31"/>
    </row>
    <row r="45" spans="1:6" ht="15.75">
      <c r="A45" s="32" t="s">
        <v>36</v>
      </c>
      <c r="B45" s="33"/>
      <c r="C45" s="11"/>
      <c r="D45" s="34">
        <v>1133858.27</v>
      </c>
      <c r="E45" s="35">
        <v>13</v>
      </c>
      <c r="F45" s="31"/>
    </row>
    <row r="46" spans="1:6" ht="15.75">
      <c r="A46" s="10" t="s">
        <v>37</v>
      </c>
      <c r="B46" s="33"/>
      <c r="C46" s="11"/>
      <c r="D46" s="34">
        <f>514995.11+147706.1+44827.58+88036.92</f>
        <v>795565.71</v>
      </c>
      <c r="E46" s="35">
        <f>11+4+2+1</f>
        <v>18</v>
      </c>
      <c r="F46" s="31"/>
    </row>
    <row r="47" spans="1:6" ht="15.75">
      <c r="A47" s="10" t="s">
        <v>27</v>
      </c>
      <c r="B47" s="33"/>
      <c r="C47" s="11"/>
      <c r="D47" s="34">
        <v>144623.48</v>
      </c>
      <c r="E47" s="35">
        <v>4</v>
      </c>
      <c r="F47" s="31"/>
    </row>
    <row r="48" spans="1:6" ht="15.75">
      <c r="A48" s="10" t="s">
        <v>38</v>
      </c>
      <c r="B48" s="33"/>
      <c r="C48" s="11"/>
      <c r="D48" s="34">
        <v>24555.69</v>
      </c>
      <c r="E48" s="35">
        <v>1</v>
      </c>
      <c r="F48" s="31"/>
    </row>
    <row r="49" spans="1:6" ht="15.75">
      <c r="A49" s="15"/>
      <c r="B49" s="36"/>
      <c r="C49" s="16"/>
      <c r="D49" s="37">
        <f>SUM(D43:D48)</f>
        <v>263201066.48</v>
      </c>
      <c r="E49" s="38">
        <f>SUM(E43:E48)</f>
        <v>3992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12140859.55</v>
      </c>
      <c r="E53" s="40">
        <f aca="true" t="shared" si="0" ref="E53:E63">D53/D$64</f>
        <v>0.0461276989199531</v>
      </c>
      <c r="F53" s="41">
        <v>185</v>
      </c>
      <c r="G53" s="40">
        <f aca="true" t="shared" si="1" ref="G53:G62">F53/F$64</f>
        <v>0.04634268537074148</v>
      </c>
    </row>
    <row r="54" spans="1:7" ht="15.75">
      <c r="A54" s="10" t="s">
        <v>55</v>
      </c>
      <c r="D54" s="39">
        <v>25666293.03</v>
      </c>
      <c r="E54" s="40">
        <f t="shared" si="0"/>
        <v>0.09751591577213582</v>
      </c>
      <c r="F54" s="41">
        <v>455</v>
      </c>
      <c r="G54" s="40">
        <f t="shared" si="1"/>
        <v>0.11397795591182365</v>
      </c>
    </row>
    <row r="55" spans="1:7" ht="15.75">
      <c r="A55" s="32" t="s">
        <v>67</v>
      </c>
      <c r="D55" s="39">
        <v>12866263.92</v>
      </c>
      <c r="E55" s="40">
        <f t="shared" si="0"/>
        <v>0.048883783383064955</v>
      </c>
      <c r="F55" s="41">
        <v>291</v>
      </c>
      <c r="G55" s="40">
        <f t="shared" si="1"/>
        <v>0.07289579158316634</v>
      </c>
    </row>
    <row r="56" spans="1:7" ht="15.75">
      <c r="A56" s="10" t="s">
        <v>56</v>
      </c>
      <c r="D56" s="39">
        <v>7642442.95</v>
      </c>
      <c r="E56" s="40">
        <f t="shared" si="0"/>
        <v>0.029036519692752574</v>
      </c>
      <c r="F56" s="41">
        <v>146</v>
      </c>
      <c r="G56" s="40">
        <f t="shared" si="1"/>
        <v>0.03657314629258517</v>
      </c>
    </row>
    <row r="57" spans="1:7" ht="15.75">
      <c r="A57" s="10" t="s">
        <v>57</v>
      </c>
      <c r="D57" s="39">
        <v>28042418.56</v>
      </c>
      <c r="E57" s="40">
        <f t="shared" si="0"/>
        <v>0.10654371175251628</v>
      </c>
      <c r="F57" s="41">
        <v>463</v>
      </c>
      <c r="G57" s="40">
        <f t="shared" si="1"/>
        <v>0.11598196392785572</v>
      </c>
    </row>
    <row r="58" spans="1:7" ht="15.75">
      <c r="A58" s="10" t="s">
        <v>66</v>
      </c>
      <c r="D58" s="39">
        <v>1414030.5</v>
      </c>
      <c r="E58" s="40">
        <f t="shared" si="0"/>
        <v>0.00537243453801677</v>
      </c>
      <c r="F58" s="41">
        <v>41</v>
      </c>
      <c r="G58" s="40">
        <f t="shared" si="1"/>
        <v>0.010270541082164329</v>
      </c>
    </row>
    <row r="59" spans="1:8" ht="15.75">
      <c r="A59" s="10" t="s">
        <v>58</v>
      </c>
      <c r="D59" s="39">
        <f>75606183.87+26008019.64</f>
        <v>101614203.51</v>
      </c>
      <c r="E59" s="40">
        <f t="shared" si="0"/>
        <v>0.38607063743687914</v>
      </c>
      <c r="F59" s="41">
        <f>887+244</f>
        <v>1131</v>
      </c>
      <c r="G59" s="40">
        <f>F59/F$64</f>
        <v>0.28331663326653306</v>
      </c>
      <c r="H59" s="42" t="str">
        <f>IF(E59&gt;80%,"ERROR"," ")</f>
        <v> </v>
      </c>
    </row>
    <row r="60" spans="1:7" ht="15.75">
      <c r="A60" s="10" t="s">
        <v>59</v>
      </c>
      <c r="D60" s="39">
        <v>24792839.11</v>
      </c>
      <c r="E60" s="40">
        <f t="shared" si="0"/>
        <v>0.09419733529797054</v>
      </c>
      <c r="F60" s="41">
        <v>384</v>
      </c>
      <c r="G60" s="40">
        <f t="shared" si="1"/>
        <v>0.09619238476953908</v>
      </c>
    </row>
    <row r="61" spans="1:7" ht="15.75">
      <c r="A61" s="10" t="s">
        <v>60</v>
      </c>
      <c r="D61" s="39">
        <v>6443028.26</v>
      </c>
      <c r="E61" s="40">
        <f t="shared" si="0"/>
        <v>0.024479491463191276</v>
      </c>
      <c r="F61" s="41">
        <v>110</v>
      </c>
      <c r="G61" s="40">
        <f t="shared" si="1"/>
        <v>0.02755511022044088</v>
      </c>
    </row>
    <row r="62" spans="1:7" ht="15.75">
      <c r="A62" s="10" t="s">
        <v>61</v>
      </c>
      <c r="D62" s="39">
        <v>20249713.42</v>
      </c>
      <c r="E62" s="40">
        <f t="shared" si="0"/>
        <v>0.0769362893958438</v>
      </c>
      <c r="F62" s="41">
        <v>339</v>
      </c>
      <c r="G62" s="40">
        <f t="shared" si="1"/>
        <v>0.08491983967935872</v>
      </c>
    </row>
    <row r="63" spans="1:7" ht="15.75">
      <c r="A63" s="15" t="s">
        <v>62</v>
      </c>
      <c r="B63" s="36"/>
      <c r="C63" s="36"/>
      <c r="D63" s="43">
        <v>22328973.67</v>
      </c>
      <c r="E63" s="44">
        <f t="shared" si="0"/>
        <v>0.08483618234767572</v>
      </c>
      <c r="F63" s="45">
        <v>447</v>
      </c>
      <c r="G63" s="44">
        <f>F63/F$64</f>
        <v>0.11197394789579158</v>
      </c>
    </row>
    <row r="64" spans="1:7" ht="15.75">
      <c r="A64" s="70" t="s">
        <v>63</v>
      </c>
      <c r="B64" s="36"/>
      <c r="C64" s="36"/>
      <c r="D64" s="43">
        <f>SUM(D53:D63)</f>
        <v>263201066.48000002</v>
      </c>
      <c r="E64" s="44">
        <f>SUM(E53:E63)</f>
        <v>1</v>
      </c>
      <c r="F64" s="46">
        <f>SUM(F53:F63)</f>
        <v>3992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38412</v>
      </c>
      <c r="E4" s="3"/>
    </row>
    <row r="5" spans="1:5" ht="15.75">
      <c r="A5" s="2" t="s">
        <v>15</v>
      </c>
      <c r="D5" s="73">
        <v>0.0487688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211316088</v>
      </c>
      <c r="E9" s="75">
        <v>11885020</v>
      </c>
      <c r="F9" s="75">
        <v>875702</v>
      </c>
      <c r="G9" s="9">
        <f>+D9/460000000</f>
        <v>0.4593828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174424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251316088</v>
      </c>
      <c r="E11" s="18">
        <f>SUM(E9:E10)</f>
        <v>11885020</v>
      </c>
      <c r="F11" s="18">
        <f>SUM(F9:F10)</f>
        <v>1050126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164</v>
      </c>
      <c r="F17" s="21">
        <v>11750000</v>
      </c>
    </row>
    <row r="18" spans="1:6" ht="15.75">
      <c r="A18" s="22" t="s">
        <v>165</v>
      </c>
      <c r="F18" s="21">
        <v>0</v>
      </c>
    </row>
    <row r="19" spans="1:6" ht="15.75">
      <c r="A19" s="22" t="s">
        <v>166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167</v>
      </c>
      <c r="F30" s="74">
        <v>279904</v>
      </c>
    </row>
    <row r="31" spans="1:6" ht="15.75">
      <c r="A31" s="24" t="s">
        <v>68</v>
      </c>
      <c r="F31" s="74">
        <v>127</v>
      </c>
    </row>
    <row r="32" spans="1:6" ht="15.75">
      <c r="A32" s="22" t="s">
        <v>159</v>
      </c>
      <c r="F32" s="21">
        <f>D49</f>
        <v>251316071.8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1+1+1+1+1+1+30+15+20+16+23+6+1+1</f>
        <v>118</v>
      </c>
      <c r="F35" s="26">
        <f>30000+0+0+21150+35000+6000+10000+49950+244793+261874.14+208780+284725+189265+67272.66+198+8195</f>
        <v>1417202.8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((12024171+2612434-2751569)/263201066)*12</f>
        <v>0.5418687475984615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246392921</v>
      </c>
      <c r="E43" s="30">
        <v>3839</v>
      </c>
      <c r="F43" s="31"/>
    </row>
    <row r="44" spans="1:6" ht="15.75">
      <c r="A44" s="32" t="s">
        <v>35</v>
      </c>
      <c r="B44" s="33"/>
      <c r="C44" s="11"/>
      <c r="D44" s="34">
        <v>3099490</v>
      </c>
      <c r="E44" s="35">
        <v>45</v>
      </c>
      <c r="F44" s="31"/>
    </row>
    <row r="45" spans="1:6" ht="15.75">
      <c r="A45" s="32" t="s">
        <v>36</v>
      </c>
      <c r="B45" s="33"/>
      <c r="C45" s="11"/>
      <c r="D45" s="34">
        <v>597375</v>
      </c>
      <c r="E45" s="35">
        <v>10</v>
      </c>
      <c r="F45" s="31"/>
    </row>
    <row r="46" spans="1:6" ht="15.75">
      <c r="A46" s="10" t="s">
        <v>37</v>
      </c>
      <c r="B46" s="33"/>
      <c r="C46" s="11"/>
      <c r="D46" s="34">
        <v>1202627.4</v>
      </c>
      <c r="E46" s="35">
        <v>22</v>
      </c>
      <c r="F46" s="31"/>
    </row>
    <row r="47" spans="1:6" ht="15.75">
      <c r="A47" s="10" t="s">
        <v>27</v>
      </c>
      <c r="B47" s="33"/>
      <c r="C47" s="11"/>
      <c r="D47" s="34">
        <v>-1051</v>
      </c>
      <c r="E47" s="35">
        <v>3</v>
      </c>
      <c r="F47" s="31"/>
    </row>
    <row r="48" spans="1:6" ht="15.75">
      <c r="A48" s="10" t="s">
        <v>38</v>
      </c>
      <c r="B48" s="33"/>
      <c r="C48" s="11"/>
      <c r="D48" s="34">
        <v>24709.4</v>
      </c>
      <c r="E48" s="35">
        <v>1</v>
      </c>
      <c r="F48" s="31"/>
    </row>
    <row r="49" spans="1:6" ht="15.75">
      <c r="A49" s="15"/>
      <c r="B49" s="36"/>
      <c r="C49" s="16"/>
      <c r="D49" s="37">
        <f>SUM(D43:D48)</f>
        <v>251316071.8</v>
      </c>
      <c r="E49" s="38">
        <f>SUM(E43:E48)</f>
        <v>3920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12050410</v>
      </c>
      <c r="E53" s="40">
        <f aca="true" t="shared" si="0" ref="E53:E63">D53/D$64</f>
        <v>0.04794922148870765</v>
      </c>
      <c r="F53" s="41">
        <v>186</v>
      </c>
      <c r="G53" s="40">
        <f aca="true" t="shared" si="1" ref="G53:G62">F53/F$64</f>
        <v>0.047448979591836735</v>
      </c>
    </row>
    <row r="54" spans="1:7" ht="15.75">
      <c r="A54" s="10" t="s">
        <v>55</v>
      </c>
      <c r="D54" s="39">
        <v>24918380</v>
      </c>
      <c r="E54" s="40">
        <f t="shared" si="0"/>
        <v>0.0991515576449086</v>
      </c>
      <c r="F54" s="41">
        <v>447</v>
      </c>
      <c r="G54" s="40">
        <f t="shared" si="1"/>
        <v>0.11403061224489795</v>
      </c>
    </row>
    <row r="55" spans="1:7" ht="15.75">
      <c r="A55" s="32" t="s">
        <v>67</v>
      </c>
      <c r="D55" s="39">
        <v>12235417</v>
      </c>
      <c r="E55" s="40">
        <f t="shared" si="0"/>
        <v>0.048685374168986696</v>
      </c>
      <c r="F55" s="41">
        <v>289</v>
      </c>
      <c r="G55" s="40">
        <f t="shared" si="1"/>
        <v>0.07372448979591836</v>
      </c>
    </row>
    <row r="56" spans="1:7" ht="15.75">
      <c r="A56" s="10" t="s">
        <v>56</v>
      </c>
      <c r="D56" s="39">
        <v>7154857</v>
      </c>
      <c r="E56" s="40">
        <f t="shared" si="0"/>
        <v>0.028469556057680225</v>
      </c>
      <c r="F56" s="41">
        <v>141</v>
      </c>
      <c r="G56" s="40">
        <f t="shared" si="1"/>
        <v>0.03596938775510204</v>
      </c>
    </row>
    <row r="57" spans="1:7" ht="15.75">
      <c r="A57" s="10" t="s">
        <v>57</v>
      </c>
      <c r="D57" s="39">
        <v>26553438</v>
      </c>
      <c r="E57" s="40">
        <f t="shared" si="0"/>
        <v>0.10565754027860184</v>
      </c>
      <c r="F57" s="41">
        <v>458</v>
      </c>
      <c r="G57" s="40">
        <f t="shared" si="1"/>
        <v>0.11683673469387755</v>
      </c>
    </row>
    <row r="58" spans="1:7" ht="15.75">
      <c r="A58" s="10" t="s">
        <v>66</v>
      </c>
      <c r="D58" s="39">
        <v>1388172</v>
      </c>
      <c r="E58" s="40">
        <f t="shared" si="0"/>
        <v>0.005523610125499654</v>
      </c>
      <c r="F58" s="41">
        <v>41</v>
      </c>
      <c r="G58" s="40">
        <f t="shared" si="1"/>
        <v>0.010459183673469388</v>
      </c>
    </row>
    <row r="59" spans="1:8" ht="15.75">
      <c r="A59" s="10" t="s">
        <v>58</v>
      </c>
      <c r="D59" s="39">
        <v>95701339</v>
      </c>
      <c r="E59" s="40">
        <f t="shared" si="0"/>
        <v>0.38080071138466626</v>
      </c>
      <c r="F59" s="41">
        <v>1101</v>
      </c>
      <c r="G59" s="40">
        <f>F59/F$64</f>
        <v>0.2808673469387755</v>
      </c>
      <c r="H59" s="42" t="str">
        <f>IF(E59&gt;80%,"ERROR"," ")</f>
        <v> </v>
      </c>
    </row>
    <row r="60" spans="1:7" ht="15.75">
      <c r="A60" s="10" t="s">
        <v>59</v>
      </c>
      <c r="D60" s="39">
        <v>24134892</v>
      </c>
      <c r="E60" s="40">
        <f t="shared" si="0"/>
        <v>0.09603401727526602</v>
      </c>
      <c r="F60" s="41">
        <v>377</v>
      </c>
      <c r="G60" s="40">
        <f t="shared" si="1"/>
        <v>0.0961734693877551</v>
      </c>
    </row>
    <row r="61" spans="1:7" ht="15.75">
      <c r="A61" s="10" t="s">
        <v>60</v>
      </c>
      <c r="D61" s="39">
        <v>6317566</v>
      </c>
      <c r="E61" s="40">
        <f t="shared" si="0"/>
        <v>0.025137930693107442</v>
      </c>
      <c r="F61" s="41">
        <v>108</v>
      </c>
      <c r="G61" s="40">
        <f t="shared" si="1"/>
        <v>0.027551020408163266</v>
      </c>
    </row>
    <row r="62" spans="1:7" ht="15.75">
      <c r="A62" s="10" t="s">
        <v>61</v>
      </c>
      <c r="D62" s="39">
        <v>19588766</v>
      </c>
      <c r="E62" s="40">
        <f t="shared" si="0"/>
        <v>0.07794474043824781</v>
      </c>
      <c r="F62" s="41">
        <v>334</v>
      </c>
      <c r="G62" s="40">
        <f t="shared" si="1"/>
        <v>0.08520408163265306</v>
      </c>
    </row>
    <row r="63" spans="1:7" ht="15.75">
      <c r="A63" s="15" t="s">
        <v>62</v>
      </c>
      <c r="B63" s="36"/>
      <c r="C63" s="36"/>
      <c r="D63" s="43">
        <v>21272835</v>
      </c>
      <c r="E63" s="44">
        <f t="shared" si="0"/>
        <v>0.08464574044432781</v>
      </c>
      <c r="F63" s="45">
        <v>438</v>
      </c>
      <c r="G63" s="44">
        <f>F63/F$64</f>
        <v>0.11173469387755101</v>
      </c>
    </row>
    <row r="64" spans="1:7" ht="15.75">
      <c r="A64" s="70" t="s">
        <v>63</v>
      </c>
      <c r="B64" s="36"/>
      <c r="C64" s="36"/>
      <c r="D64" s="43">
        <f>SUM(D53:D63)</f>
        <v>251316072</v>
      </c>
      <c r="E64" s="44">
        <f>SUM(E53:E63)</f>
        <v>1</v>
      </c>
      <c r="F64" s="46">
        <f>SUM(F53:F63)</f>
        <v>3920</v>
      </c>
      <c r="G64" s="44">
        <f>SUM(G53:G63)</f>
        <v>0.9999999999999999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38443</v>
      </c>
      <c r="E4" s="3"/>
    </row>
    <row r="5" spans="1:5" ht="15.75">
      <c r="A5" s="2" t="s">
        <v>15</v>
      </c>
      <c r="D5" s="73">
        <v>0.0486813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199499056</v>
      </c>
      <c r="E9" s="75">
        <v>11817032</v>
      </c>
      <c r="F9" s="75">
        <v>925520</v>
      </c>
      <c r="G9" s="9">
        <f>+D9/460000000</f>
        <v>0.4336936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194556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239499056</v>
      </c>
      <c r="E11" s="18">
        <f>SUM(E9:E10)</f>
        <v>11817032</v>
      </c>
      <c r="F11" s="18">
        <f>SUM(F9:F10)</f>
        <v>1120076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160</v>
      </c>
      <c r="F17" s="21">
        <v>11750000</v>
      </c>
    </row>
    <row r="18" spans="1:6" ht="15.75">
      <c r="A18" s="22" t="s">
        <v>161</v>
      </c>
      <c r="F18" s="21">
        <v>0</v>
      </c>
    </row>
    <row r="19" spans="1:6" ht="15.75">
      <c r="A19" s="22" t="s">
        <v>162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163</v>
      </c>
      <c r="F30" s="74">
        <v>146418</v>
      </c>
    </row>
    <row r="31" spans="1:6" ht="15.75">
      <c r="A31" s="24" t="s">
        <v>68</v>
      </c>
      <c r="F31" s="74">
        <v>64.4</v>
      </c>
    </row>
    <row r="32" spans="1:6" ht="15.75">
      <c r="A32" s="22" t="s">
        <v>168</v>
      </c>
      <c r="F32" s="21">
        <f>D49</f>
        <v>239499016.56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1+1+1+1+1+1+30+15+20+16+23+6+1+1</f>
        <v>118</v>
      </c>
      <c r="F35" s="26">
        <f>30000+0+0+21150+35000+6000+10000+49950+244793+261874.14+208780+284725+189265+67272.66+198+8195</f>
        <v>1417202.8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((10300874+3207032-1690834)/251316072)*12</f>
        <v>0.5642490863059486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235262094.67</v>
      </c>
      <c r="E43" s="30">
        <v>3679</v>
      </c>
      <c r="F43" s="31"/>
    </row>
    <row r="44" spans="1:6" ht="15.75">
      <c r="A44" s="32" t="s">
        <v>35</v>
      </c>
      <c r="B44" s="33"/>
      <c r="C44" s="11"/>
      <c r="D44" s="34">
        <v>1627712.84</v>
      </c>
      <c r="E44" s="35">
        <v>31</v>
      </c>
      <c r="F44" s="31"/>
    </row>
    <row r="45" spans="1:6" ht="15.75">
      <c r="A45" s="32" t="s">
        <v>36</v>
      </c>
      <c r="B45" s="33"/>
      <c r="C45" s="11"/>
      <c r="D45" s="34">
        <v>1296016.23</v>
      </c>
      <c r="E45" s="35">
        <v>15</v>
      </c>
      <c r="F45" s="31"/>
    </row>
    <row r="46" spans="1:6" ht="15.75">
      <c r="A46" s="10" t="s">
        <v>37</v>
      </c>
      <c r="B46" s="33"/>
      <c r="C46" s="11"/>
      <c r="D46" s="34">
        <f>862268.2+49653.42+175721.41+17481.38+230.07+88037.51</f>
        <v>1193391.99</v>
      </c>
      <c r="E46" s="35">
        <f>15+2+2+1+1+2</f>
        <v>23</v>
      </c>
      <c r="F46" s="31"/>
    </row>
    <row r="47" spans="1:6" ht="15.75">
      <c r="A47" s="10" t="s">
        <v>27</v>
      </c>
      <c r="B47" s="33"/>
      <c r="C47" s="11"/>
      <c r="D47" s="34">
        <v>94936.97</v>
      </c>
      <c r="E47" s="35">
        <v>4</v>
      </c>
      <c r="F47" s="31"/>
    </row>
    <row r="48" spans="1:6" ht="15.75">
      <c r="A48" s="10" t="s">
        <v>38</v>
      </c>
      <c r="B48" s="33"/>
      <c r="C48" s="11"/>
      <c r="D48" s="34">
        <v>24863.86</v>
      </c>
      <c r="E48" s="35">
        <v>1</v>
      </c>
      <c r="F48" s="31"/>
    </row>
    <row r="49" spans="1:6" ht="15.75">
      <c r="A49" s="15"/>
      <c r="B49" s="36"/>
      <c r="C49" s="16"/>
      <c r="D49" s="37">
        <f>SUM(D43:D48)</f>
        <v>239499016.56</v>
      </c>
      <c r="E49" s="38">
        <f>SUM(E43:E48)</f>
        <v>3753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11459588.38</v>
      </c>
      <c r="E53" s="40">
        <f aca="true" t="shared" si="0" ref="E53:E63">D53/D$64</f>
        <v>0.047848164658868694</v>
      </c>
      <c r="F53" s="41">
        <v>179</v>
      </c>
      <c r="G53" s="40">
        <f aca="true" t="shared" si="1" ref="G53:G63">F53/F$64</f>
        <v>0.04769517719158007</v>
      </c>
    </row>
    <row r="54" spans="1:7" ht="15.75">
      <c r="A54" s="10" t="s">
        <v>55</v>
      </c>
      <c r="D54" s="39">
        <v>23268841.66</v>
      </c>
      <c r="E54" s="40">
        <f t="shared" si="0"/>
        <v>0.09715631401839439</v>
      </c>
      <c r="F54" s="41">
        <v>423</v>
      </c>
      <c r="G54" s="40">
        <f t="shared" si="1"/>
        <v>0.11270983213429256</v>
      </c>
    </row>
    <row r="55" spans="1:7" ht="15.75">
      <c r="A55" s="32" t="s">
        <v>67</v>
      </c>
      <c r="D55" s="39">
        <v>11971459.17</v>
      </c>
      <c r="E55" s="40">
        <f t="shared" si="0"/>
        <v>0.04998542099232743</v>
      </c>
      <c r="F55" s="41">
        <v>275</v>
      </c>
      <c r="G55" s="40">
        <f t="shared" si="1"/>
        <v>0.07327471356248334</v>
      </c>
    </row>
    <row r="56" spans="1:7" ht="15.75">
      <c r="A56" s="10" t="s">
        <v>56</v>
      </c>
      <c r="D56" s="39">
        <v>6600950.06</v>
      </c>
      <c r="E56" s="40">
        <f t="shared" si="0"/>
        <v>0.02756149129466805</v>
      </c>
      <c r="F56" s="41">
        <v>131</v>
      </c>
      <c r="G56" s="40">
        <f t="shared" si="1"/>
        <v>0.03490540900612843</v>
      </c>
    </row>
    <row r="57" spans="1:7" ht="15.75">
      <c r="A57" s="10" t="s">
        <v>57</v>
      </c>
      <c r="D57" s="39">
        <v>25244432.62</v>
      </c>
      <c r="E57" s="40">
        <f t="shared" si="0"/>
        <v>0.10540516191921687</v>
      </c>
      <c r="F57" s="41">
        <v>435</v>
      </c>
      <c r="G57" s="40">
        <f t="shared" si="1"/>
        <v>0.11590727418065548</v>
      </c>
    </row>
    <row r="58" spans="1:7" ht="15.75">
      <c r="A58" s="10" t="s">
        <v>66</v>
      </c>
      <c r="D58" s="39">
        <v>1213303.54</v>
      </c>
      <c r="E58" s="40">
        <f t="shared" si="0"/>
        <v>0.005066006355379082</v>
      </c>
      <c r="F58" s="41">
        <v>39</v>
      </c>
      <c r="G58" s="40">
        <f t="shared" si="1"/>
        <v>0.010391686650679457</v>
      </c>
    </row>
    <row r="59" spans="1:8" ht="15.75">
      <c r="A59" s="10" t="s">
        <v>58</v>
      </c>
      <c r="D59" s="39">
        <f>68401836.45+23490807.7</f>
        <v>91892644.15</v>
      </c>
      <c r="E59" s="40">
        <f t="shared" si="0"/>
        <v>0.3836869372988794</v>
      </c>
      <c r="F59" s="41">
        <f>832+224</f>
        <v>1056</v>
      </c>
      <c r="G59" s="40">
        <f t="shared" si="1"/>
        <v>0.28137490007993604</v>
      </c>
      <c r="H59" s="42" t="str">
        <f>IF(E59&gt;80%,"ERROR"," ")</f>
        <v> </v>
      </c>
    </row>
    <row r="60" spans="1:7" ht="15.75">
      <c r="A60" s="10" t="s">
        <v>59</v>
      </c>
      <c r="D60" s="39">
        <v>22488537.75</v>
      </c>
      <c r="E60" s="40">
        <f t="shared" si="0"/>
        <v>0.09389824673608255</v>
      </c>
      <c r="F60" s="41">
        <v>368</v>
      </c>
      <c r="G60" s="40">
        <f t="shared" si="1"/>
        <v>0.0980548894217959</v>
      </c>
    </row>
    <row r="61" spans="1:7" ht="15.75">
      <c r="A61" s="10" t="s">
        <v>60</v>
      </c>
      <c r="D61" s="39">
        <v>6081774.59</v>
      </c>
      <c r="E61" s="40">
        <f t="shared" si="0"/>
        <v>0.02539373512824582</v>
      </c>
      <c r="F61" s="41">
        <v>104</v>
      </c>
      <c r="G61" s="40">
        <f t="shared" si="1"/>
        <v>0.027711164401811882</v>
      </c>
    </row>
    <row r="62" spans="1:7" ht="15.75">
      <c r="A62" s="10" t="s">
        <v>61</v>
      </c>
      <c r="D62" s="39">
        <v>18489848.31</v>
      </c>
      <c r="E62" s="40">
        <f t="shared" si="0"/>
        <v>0.07720218886730947</v>
      </c>
      <c r="F62" s="41">
        <v>317</v>
      </c>
      <c r="G62" s="40">
        <f t="shared" si="1"/>
        <v>0.08446576072475354</v>
      </c>
    </row>
    <row r="63" spans="1:7" ht="15.75">
      <c r="A63" s="15" t="s">
        <v>62</v>
      </c>
      <c r="B63" s="36"/>
      <c r="C63" s="36"/>
      <c r="D63" s="43">
        <v>20787636.33</v>
      </c>
      <c r="E63" s="44">
        <f t="shared" si="0"/>
        <v>0.08679633273062821</v>
      </c>
      <c r="F63" s="45">
        <v>426</v>
      </c>
      <c r="G63" s="44">
        <f t="shared" si="1"/>
        <v>0.1135091926458833</v>
      </c>
    </row>
    <row r="64" spans="1:7" ht="15.75">
      <c r="A64" s="70" t="s">
        <v>63</v>
      </c>
      <c r="B64" s="36"/>
      <c r="C64" s="36"/>
      <c r="D64" s="43">
        <f>SUM(D53:D63)</f>
        <v>239499016.56</v>
      </c>
      <c r="E64" s="44">
        <f>SUM(E53:E63)</f>
        <v>1</v>
      </c>
      <c r="F64" s="46">
        <f>SUM(F53:F63)</f>
        <v>3753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37928</v>
      </c>
      <c r="E4" s="3"/>
    </row>
    <row r="5" spans="1:5" ht="15.75">
      <c r="A5" s="2" t="s">
        <v>15</v>
      </c>
      <c r="D5" s="4">
        <v>0.03775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377012964</v>
      </c>
      <c r="E9" s="8">
        <v>5049926</v>
      </c>
      <c r="F9" s="8">
        <v>1357092</v>
      </c>
      <c r="G9" s="9">
        <f>+D9/460000000</f>
        <v>0.8195934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162696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417012964</v>
      </c>
      <c r="E11" s="18">
        <f>SUM(E9:E10)</f>
        <v>5049926</v>
      </c>
      <c r="F11" s="18">
        <f>SUM(F9:F10)</f>
        <v>1519788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117</v>
      </c>
      <c r="F17" s="21">
        <v>11750000</v>
      </c>
    </row>
    <row r="18" spans="1:6" ht="15.75">
      <c r="A18" s="22" t="s">
        <v>118</v>
      </c>
      <c r="F18" s="21">
        <v>0</v>
      </c>
    </row>
    <row r="19" spans="1:6" ht="15.75">
      <c r="A19" s="22" t="s">
        <v>119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120</v>
      </c>
      <c r="F30" s="21">
        <v>283353.6</v>
      </c>
    </row>
    <row r="31" spans="1:6" ht="15.75">
      <c r="A31" s="24" t="s">
        <v>68</v>
      </c>
      <c r="F31" s="21">
        <v>12443.05</v>
      </c>
    </row>
    <row r="32" spans="1:6" ht="15.75">
      <c r="A32" s="22" t="s">
        <v>121</v>
      </c>
      <c r="F32" s="21">
        <f>D50</f>
        <v>404352057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</f>
        <v>5</v>
      </c>
      <c r="F35" s="26">
        <f>30000+0+0+21150+35000+6000+10000</f>
        <v>102150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</f>
        <v>4325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</f>
        <v>373944278.88000005</v>
      </c>
    </row>
    <row r="38" spans="1:6" ht="15.75">
      <c r="A38" s="22" t="s">
        <v>122</v>
      </c>
      <c r="E38" s="25">
        <v>77</v>
      </c>
      <c r="F38" s="26">
        <v>6942479.36</v>
      </c>
    </row>
    <row r="39" spans="5:6" ht="15.75">
      <c r="E39" s="25"/>
      <c r="F39" s="26"/>
    </row>
    <row r="40" spans="1:6" ht="15.75">
      <c r="A40" s="2" t="s">
        <v>41</v>
      </c>
      <c r="E40" s="25"/>
      <c r="F40" s="27">
        <v>0.3536</v>
      </c>
    </row>
    <row r="41" ht="15.75">
      <c r="F41" s="21"/>
    </row>
    <row r="42" spans="1:6" ht="15.75">
      <c r="A42" s="2" t="s">
        <v>34</v>
      </c>
      <c r="F42" s="21"/>
    </row>
    <row r="43" spans="1:6" s="59" customFormat="1" ht="47.25">
      <c r="A43" s="54" t="s">
        <v>8</v>
      </c>
      <c r="B43" s="60"/>
      <c r="C43" s="55"/>
      <c r="D43" s="61" t="s">
        <v>9</v>
      </c>
      <c r="E43" s="62" t="s">
        <v>10</v>
      </c>
      <c r="F43" s="63"/>
    </row>
    <row r="44" spans="1:6" ht="15.75">
      <c r="A44" s="5" t="s">
        <v>11</v>
      </c>
      <c r="B44" s="28"/>
      <c r="C44" s="6"/>
      <c r="D44" s="29">
        <f>399767936-121699</f>
        <v>399646237</v>
      </c>
      <c r="E44" s="30">
        <v>6218</v>
      </c>
      <c r="F44" s="31"/>
    </row>
    <row r="45" spans="1:6" ht="15.75">
      <c r="A45" s="32" t="s">
        <v>35</v>
      </c>
      <c r="B45" s="33"/>
      <c r="C45" s="11"/>
      <c r="D45" s="34">
        <v>2880283</v>
      </c>
      <c r="E45" s="35">
        <v>41</v>
      </c>
      <c r="F45" s="31"/>
    </row>
    <row r="46" spans="1:6" ht="15.75">
      <c r="A46" s="32" t="s">
        <v>36</v>
      </c>
      <c r="B46" s="33"/>
      <c r="C46" s="11"/>
      <c r="D46" s="34">
        <v>908072</v>
      </c>
      <c r="E46" s="35">
        <v>11</v>
      </c>
      <c r="F46" s="31"/>
    </row>
    <row r="47" spans="1:6" ht="15.75">
      <c r="A47" s="10" t="s">
        <v>37</v>
      </c>
      <c r="B47" s="33"/>
      <c r="C47" s="11"/>
      <c r="D47" s="34">
        <f>497399+158558+46458</f>
        <v>702415</v>
      </c>
      <c r="E47" s="35">
        <f>7+5+2</f>
        <v>14</v>
      </c>
      <c r="F47" s="31"/>
    </row>
    <row r="48" spans="1:6" ht="15.75">
      <c r="A48" s="10" t="s">
        <v>27</v>
      </c>
      <c r="B48" s="33"/>
      <c r="C48" s="11"/>
      <c r="D48" s="34">
        <v>215050</v>
      </c>
      <c r="E48" s="35">
        <v>5</v>
      </c>
      <c r="F48" s="31"/>
    </row>
    <row r="49" spans="1:6" ht="15.75">
      <c r="A49" s="10" t="s">
        <v>38</v>
      </c>
      <c r="B49" s="33"/>
      <c r="C49" s="11"/>
      <c r="D49" s="34">
        <v>0</v>
      </c>
      <c r="E49" s="35">
        <v>0</v>
      </c>
      <c r="F49" s="31"/>
    </row>
    <row r="50" spans="1:6" ht="15.75">
      <c r="A50" s="15"/>
      <c r="B50" s="36"/>
      <c r="C50" s="16"/>
      <c r="D50" s="37">
        <f>SUM(D44:D49)</f>
        <v>404352057</v>
      </c>
      <c r="E50" s="38">
        <f>SUM(E44:E49)</f>
        <v>6289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39">
        <v>15749198</v>
      </c>
      <c r="E54" s="40">
        <f aca="true" t="shared" si="0" ref="E54:E64">D54/D$65</f>
        <v>0.03894922191529744</v>
      </c>
      <c r="F54" s="41">
        <v>289</v>
      </c>
      <c r="G54" s="40">
        <f aca="true" t="shared" si="1" ref="G54:G64">F54/F$65</f>
        <v>0.04595325170933376</v>
      </c>
    </row>
    <row r="55" spans="1:7" ht="15.75">
      <c r="A55" s="10" t="s">
        <v>55</v>
      </c>
      <c r="D55" s="39">
        <v>33272142</v>
      </c>
      <c r="E55" s="40">
        <f t="shared" si="0"/>
        <v>0.08228508158671244</v>
      </c>
      <c r="F55" s="41">
        <v>684</v>
      </c>
      <c r="G55" s="40">
        <f t="shared" si="1"/>
        <v>0.10876132930513595</v>
      </c>
    </row>
    <row r="56" spans="1:7" ht="15.75">
      <c r="A56" s="32" t="s">
        <v>67</v>
      </c>
      <c r="D56" s="39">
        <v>20145134</v>
      </c>
      <c r="E56" s="40">
        <f t="shared" si="0"/>
        <v>0.04982077783766536</v>
      </c>
      <c r="F56" s="41">
        <v>422</v>
      </c>
      <c r="G56" s="40">
        <f t="shared" si="1"/>
        <v>0.0671012879631102</v>
      </c>
    </row>
    <row r="57" spans="1:7" ht="15.75">
      <c r="A57" s="10" t="s">
        <v>56</v>
      </c>
      <c r="D57" s="39">
        <v>11399352</v>
      </c>
      <c r="E57" s="40">
        <f t="shared" si="0"/>
        <v>0.028191650821749126</v>
      </c>
      <c r="F57" s="41">
        <v>200</v>
      </c>
      <c r="G57" s="40">
        <f t="shared" si="1"/>
        <v>0.03180155827635554</v>
      </c>
    </row>
    <row r="58" spans="1:7" ht="15.75">
      <c r="A58" s="10" t="s">
        <v>57</v>
      </c>
      <c r="D58" s="39">
        <v>44435254</v>
      </c>
      <c r="E58" s="40">
        <f t="shared" si="0"/>
        <v>0.10989248905935453</v>
      </c>
      <c r="F58" s="41">
        <v>794</v>
      </c>
      <c r="G58" s="40">
        <f t="shared" si="1"/>
        <v>0.1262521863571315</v>
      </c>
    </row>
    <row r="59" spans="1:7" ht="15.75">
      <c r="A59" s="10" t="s">
        <v>66</v>
      </c>
      <c r="D59" s="39">
        <v>1967168</v>
      </c>
      <c r="E59" s="40">
        <f t="shared" si="0"/>
        <v>0.004864988234745149</v>
      </c>
      <c r="F59" s="41">
        <v>64</v>
      </c>
      <c r="G59" s="40">
        <f t="shared" si="1"/>
        <v>0.010176498648433773</v>
      </c>
    </row>
    <row r="60" spans="1:8" ht="15.75">
      <c r="A60" s="10" t="s">
        <v>58</v>
      </c>
      <c r="D60" s="39">
        <f>68792953+88901660-121699</f>
        <v>157572914</v>
      </c>
      <c r="E60" s="40">
        <f t="shared" si="0"/>
        <v>0.38969237641345794</v>
      </c>
      <c r="F60" s="41">
        <f>666+1031</f>
        <v>1697</v>
      </c>
      <c r="G60" s="40">
        <f t="shared" si="1"/>
        <v>0.2698362219748768</v>
      </c>
      <c r="H60" s="42" t="str">
        <f>IF(E60&gt;80%,"ERROR"," ")</f>
        <v> </v>
      </c>
    </row>
    <row r="61" spans="1:7" ht="15.75">
      <c r="A61" s="10" t="s">
        <v>59</v>
      </c>
      <c r="D61" s="39">
        <v>40908360</v>
      </c>
      <c r="E61" s="40">
        <f t="shared" si="0"/>
        <v>0.10117015430442092</v>
      </c>
      <c r="F61" s="41">
        <v>598</v>
      </c>
      <c r="G61" s="40">
        <f t="shared" si="1"/>
        <v>0.09508665924630307</v>
      </c>
    </row>
    <row r="62" spans="1:7" ht="15.75">
      <c r="A62" s="10" t="s">
        <v>60</v>
      </c>
      <c r="D62" s="39">
        <v>15604629</v>
      </c>
      <c r="E62" s="40">
        <f t="shared" si="0"/>
        <v>0.03859168941979687</v>
      </c>
      <c r="F62" s="41">
        <v>237</v>
      </c>
      <c r="G62" s="40">
        <f t="shared" si="1"/>
        <v>0.03768484655748132</v>
      </c>
    </row>
    <row r="63" spans="1:7" ht="15.75">
      <c r="A63" s="10" t="s">
        <v>61</v>
      </c>
      <c r="D63" s="39">
        <v>29456730</v>
      </c>
      <c r="E63" s="40">
        <f t="shared" si="0"/>
        <v>0.07284921515806707</v>
      </c>
      <c r="F63" s="41">
        <v>540</v>
      </c>
      <c r="G63" s="40">
        <f t="shared" si="1"/>
        <v>0.08586420734615996</v>
      </c>
    </row>
    <row r="64" spans="1:7" ht="15.75">
      <c r="A64" s="15" t="s">
        <v>62</v>
      </c>
      <c r="B64" s="36"/>
      <c r="C64" s="36"/>
      <c r="D64" s="43">
        <v>33841176</v>
      </c>
      <c r="E64" s="44">
        <f t="shared" si="0"/>
        <v>0.08369235524873316</v>
      </c>
      <c r="F64" s="45">
        <v>764</v>
      </c>
      <c r="G64" s="44">
        <f t="shared" si="1"/>
        <v>0.12148195261567817</v>
      </c>
    </row>
    <row r="65" spans="1:7" ht="15.75">
      <c r="A65" s="70" t="s">
        <v>63</v>
      </c>
      <c r="B65" s="36"/>
      <c r="C65" s="36"/>
      <c r="D65" s="43">
        <f>SUM(D54:D64)</f>
        <v>404352057</v>
      </c>
      <c r="E65" s="44">
        <f>SUM(E54:E64)</f>
        <v>0.9999999999999999</v>
      </c>
      <c r="F65" s="46">
        <f>SUM(F54:F64)</f>
        <v>6289</v>
      </c>
      <c r="G65" s="44">
        <f>SUM(G54:G64)</f>
        <v>1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110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1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38475</v>
      </c>
      <c r="E4" s="3"/>
    </row>
    <row r="5" spans="1:5" ht="15.75">
      <c r="A5" s="2" t="s">
        <v>15</v>
      </c>
      <c r="D5" s="73">
        <v>0.0487375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187898776</v>
      </c>
      <c r="E9" s="75">
        <v>11600280</v>
      </c>
      <c r="F9" s="75">
        <v>900404</v>
      </c>
      <c r="G9" s="9">
        <f>+D9/460000000</f>
        <v>0.4084756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200528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227898776</v>
      </c>
      <c r="E11" s="18">
        <f>SUM(E9:E10)</f>
        <v>11600280</v>
      </c>
      <c r="F11" s="18">
        <f>SUM(F9:F10)</f>
        <v>1100932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169</v>
      </c>
      <c r="F17" s="21">
        <v>11750000</v>
      </c>
    </row>
    <row r="18" spans="1:6" ht="15.75">
      <c r="A18" s="22" t="s">
        <v>170</v>
      </c>
      <c r="F18" s="21">
        <v>0</v>
      </c>
    </row>
    <row r="19" spans="1:6" ht="15.75">
      <c r="A19" s="22" t="s">
        <v>171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172</v>
      </c>
      <c r="F30" s="74">
        <v>182854</v>
      </c>
    </row>
    <row r="31" spans="1:6" ht="15.75">
      <c r="A31" s="24" t="s">
        <v>68</v>
      </c>
      <c r="F31" s="74">
        <v>60.62</v>
      </c>
    </row>
    <row r="32" spans="1:6" ht="15.75">
      <c r="A32" s="22" t="s">
        <v>173</v>
      </c>
      <c r="F32" s="21">
        <f>D49</f>
        <v>227898766.42999998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1+1+1+1+1+1+30+15+20+16+23+6+1+1</f>
        <v>118</v>
      </c>
      <c r="F35" s="26">
        <f>30000+0+0+21150+35000+6000+10000+49950+244793+261874.14+208780+284725+189265+67272.66+198+8195</f>
        <v>1417202.8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((10406688+3381425.21-2187823.85)/239499017)*12</f>
        <v>0.5812277397364016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223688626.89</v>
      </c>
      <c r="E43" s="30">
        <v>3547</v>
      </c>
      <c r="F43" s="31"/>
    </row>
    <row r="44" spans="1:6" ht="15.75">
      <c r="A44" s="32" t="s">
        <v>35</v>
      </c>
      <c r="B44" s="33"/>
      <c r="C44" s="11"/>
      <c r="D44" s="34">
        <v>1322013.88</v>
      </c>
      <c r="E44" s="35">
        <v>25</v>
      </c>
      <c r="F44" s="31"/>
    </row>
    <row r="45" spans="1:6" ht="15.75">
      <c r="A45" s="32" t="s">
        <v>36</v>
      </c>
      <c r="B45" s="33"/>
      <c r="C45" s="11"/>
      <c r="D45" s="34">
        <v>1253538.57</v>
      </c>
      <c r="E45" s="35">
        <v>15</v>
      </c>
      <c r="F45" s="31"/>
    </row>
    <row r="46" spans="1:6" ht="15.75">
      <c r="A46" s="10" t="s">
        <v>37</v>
      </c>
      <c r="B46" s="33"/>
      <c r="C46" s="11"/>
      <c r="D46" s="34">
        <f>955509.7+148341.83+28047.09+17661.63+87947.03</f>
        <v>1237507.28</v>
      </c>
      <c r="E46" s="35">
        <f>17+5+1+1+2</f>
        <v>26</v>
      </c>
      <c r="F46" s="31"/>
    </row>
    <row r="47" spans="1:6" ht="15.75">
      <c r="A47" s="10" t="s">
        <v>27</v>
      </c>
      <c r="B47" s="33"/>
      <c r="C47" s="11"/>
      <c r="D47" s="34">
        <v>372060.53</v>
      </c>
      <c r="E47" s="35">
        <v>6</v>
      </c>
      <c r="F47" s="31"/>
    </row>
    <row r="48" spans="1:6" ht="15.75">
      <c r="A48" s="10" t="s">
        <v>38</v>
      </c>
      <c r="B48" s="33"/>
      <c r="C48" s="11"/>
      <c r="D48" s="34">
        <v>25019.28</v>
      </c>
      <c r="E48" s="35">
        <v>1</v>
      </c>
      <c r="F48" s="31"/>
    </row>
    <row r="49" spans="1:6" ht="15.75">
      <c r="A49" s="15"/>
      <c r="B49" s="36"/>
      <c r="C49" s="16"/>
      <c r="D49" s="37">
        <f>SUM(D43:D48)</f>
        <v>227898766.42999998</v>
      </c>
      <c r="E49" s="38">
        <f>SUM(E43:E48)</f>
        <v>3620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10967772.5</v>
      </c>
      <c r="E53" s="40">
        <f aca="true" t="shared" si="0" ref="E53:E63">D53/D$64</f>
        <v>0.04812563346352642</v>
      </c>
      <c r="F53" s="41">
        <v>172</v>
      </c>
      <c r="G53" s="40">
        <f aca="true" t="shared" si="1" ref="G53:G63">F53/F$64</f>
        <v>0.04751381215469613</v>
      </c>
    </row>
    <row r="54" spans="1:7" ht="15.75">
      <c r="A54" s="10" t="s">
        <v>55</v>
      </c>
      <c r="D54" s="39">
        <v>22515456.49</v>
      </c>
      <c r="E54" s="40">
        <f t="shared" si="0"/>
        <v>0.09879586819490621</v>
      </c>
      <c r="F54" s="41">
        <v>410</v>
      </c>
      <c r="G54" s="40">
        <f t="shared" si="1"/>
        <v>0.1132596685082873</v>
      </c>
    </row>
    <row r="55" spans="1:7" ht="15.75">
      <c r="A55" s="32" t="s">
        <v>67</v>
      </c>
      <c r="D55" s="39">
        <v>11501591.47</v>
      </c>
      <c r="E55" s="40">
        <f t="shared" si="0"/>
        <v>0.05046798475555926</v>
      </c>
      <c r="F55" s="41">
        <v>266</v>
      </c>
      <c r="G55" s="40">
        <f t="shared" si="1"/>
        <v>0.07348066298342541</v>
      </c>
    </row>
    <row r="56" spans="1:7" ht="15.75">
      <c r="A56" s="10" t="s">
        <v>56</v>
      </c>
      <c r="D56" s="39">
        <v>6519660.66</v>
      </c>
      <c r="E56" s="40">
        <f t="shared" si="0"/>
        <v>0.02860770491270974</v>
      </c>
      <c r="F56" s="41">
        <v>129</v>
      </c>
      <c r="G56" s="40">
        <f t="shared" si="1"/>
        <v>0.0356353591160221</v>
      </c>
    </row>
    <row r="57" spans="1:7" ht="15.75">
      <c r="A57" s="10" t="s">
        <v>57</v>
      </c>
      <c r="D57" s="39">
        <v>24111132.54</v>
      </c>
      <c r="E57" s="40">
        <f t="shared" si="0"/>
        <v>0.10579755615924243</v>
      </c>
      <c r="F57" s="41">
        <v>418</v>
      </c>
      <c r="G57" s="40">
        <f t="shared" si="1"/>
        <v>0.11546961325966851</v>
      </c>
    </row>
    <row r="58" spans="1:7" ht="15.75">
      <c r="A58" s="10" t="s">
        <v>66</v>
      </c>
      <c r="D58" s="39">
        <v>1196741.48</v>
      </c>
      <c r="E58" s="40">
        <f t="shared" si="0"/>
        <v>0.0052511977082929226</v>
      </c>
      <c r="F58" s="41">
        <v>39</v>
      </c>
      <c r="G58" s="40">
        <f t="shared" si="1"/>
        <v>0.010773480662983425</v>
      </c>
    </row>
    <row r="59" spans="1:8" ht="15.75">
      <c r="A59" s="10" t="s">
        <v>58</v>
      </c>
      <c r="D59" s="39">
        <f>64518035.52+22221305.38</f>
        <v>86739340.9</v>
      </c>
      <c r="E59" s="40">
        <f t="shared" si="0"/>
        <v>0.3806046968079677</v>
      </c>
      <c r="F59" s="41">
        <f>796+218</f>
        <v>1014</v>
      </c>
      <c r="G59" s="40">
        <f t="shared" si="1"/>
        <v>0.28011049723756903</v>
      </c>
      <c r="H59" s="42" t="str">
        <f>IF(E59&gt;80%,"ERROR"," ")</f>
        <v> </v>
      </c>
    </row>
    <row r="60" spans="1:7" ht="15.75">
      <c r="A60" s="10" t="s">
        <v>59</v>
      </c>
      <c r="D60" s="39">
        <v>21512237.1</v>
      </c>
      <c r="E60" s="40">
        <f t="shared" si="0"/>
        <v>0.09439382861516088</v>
      </c>
      <c r="F60" s="41">
        <v>352</v>
      </c>
      <c r="G60" s="40">
        <f t="shared" si="1"/>
        <v>0.09723756906077348</v>
      </c>
    </row>
    <row r="61" spans="1:7" ht="15.75">
      <c r="A61" s="10" t="s">
        <v>60</v>
      </c>
      <c r="D61" s="39">
        <v>6073115.29</v>
      </c>
      <c r="E61" s="40">
        <f t="shared" si="0"/>
        <v>0.02664830260002913</v>
      </c>
      <c r="F61" s="41">
        <v>102</v>
      </c>
      <c r="G61" s="40">
        <f t="shared" si="1"/>
        <v>0.0281767955801105</v>
      </c>
    </row>
    <row r="62" spans="1:7" ht="15.75">
      <c r="A62" s="10" t="s">
        <v>61</v>
      </c>
      <c r="D62" s="39">
        <v>17488727.01</v>
      </c>
      <c r="E62" s="40">
        <f t="shared" si="0"/>
        <v>0.07673901567769886</v>
      </c>
      <c r="F62" s="41">
        <v>308</v>
      </c>
      <c r="G62" s="40">
        <f t="shared" si="1"/>
        <v>0.08508287292817679</v>
      </c>
    </row>
    <row r="63" spans="1:7" ht="15.75">
      <c r="A63" s="15" t="s">
        <v>62</v>
      </c>
      <c r="B63" s="36"/>
      <c r="C63" s="36"/>
      <c r="D63" s="43">
        <v>19272990.99</v>
      </c>
      <c r="E63" s="44">
        <f t="shared" si="0"/>
        <v>0.08456821110490641</v>
      </c>
      <c r="F63" s="45">
        <v>410</v>
      </c>
      <c r="G63" s="44">
        <f t="shared" si="1"/>
        <v>0.1132596685082873</v>
      </c>
    </row>
    <row r="64" spans="1:7" ht="15.75">
      <c r="A64" s="70" t="s">
        <v>63</v>
      </c>
      <c r="B64" s="36"/>
      <c r="C64" s="36"/>
      <c r="D64" s="43">
        <f>SUM(D53:D63)</f>
        <v>227898766.43</v>
      </c>
      <c r="E64" s="44">
        <f>SUM(E53:E63)</f>
        <v>1</v>
      </c>
      <c r="F64" s="46">
        <f>SUM(F53:F63)</f>
        <v>3620</v>
      </c>
      <c r="G64" s="44">
        <f>SUM(G53:G63)</f>
        <v>1.0000000000000002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8" r:id="rId2"/>
  <rowBreaks count="1" manualBreakCount="1">
    <brk id="49" max="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38504</v>
      </c>
      <c r="E4" s="3"/>
    </row>
    <row r="5" spans="1:5" ht="15.75">
      <c r="A5" s="2" t="s">
        <v>15</v>
      </c>
      <c r="D5" s="73">
        <v>0.0485438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180098096</v>
      </c>
      <c r="E9" s="75">
        <v>7800680</v>
      </c>
      <c r="F9" s="75">
        <v>769396</v>
      </c>
      <c r="G9" s="9">
        <f>+D9/460000000</f>
        <v>0.3915176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181904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220098096</v>
      </c>
      <c r="E11" s="18">
        <f>SUM(E9:E10)</f>
        <v>7800680</v>
      </c>
      <c r="F11" s="18">
        <f>SUM(F9:F10)</f>
        <v>951300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174</v>
      </c>
      <c r="F17" s="21">
        <v>11750000</v>
      </c>
    </row>
    <row r="18" spans="1:6" ht="15.75">
      <c r="A18" s="22" t="s">
        <v>175</v>
      </c>
      <c r="F18" s="21">
        <v>0</v>
      </c>
    </row>
    <row r="19" spans="1:6" ht="15.75">
      <c r="A19" s="22" t="s">
        <v>176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177</v>
      </c>
      <c r="F30" s="74">
        <v>147524</v>
      </c>
    </row>
    <row r="31" spans="1:6" ht="15.75">
      <c r="A31" s="24" t="s">
        <v>178</v>
      </c>
      <c r="F31" s="74">
        <v>168</v>
      </c>
    </row>
    <row r="32" spans="1:6" ht="15.75">
      <c r="A32" s="22" t="s">
        <v>179</v>
      </c>
      <c r="F32" s="21">
        <f>D49</f>
        <v>220098085.13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1+1+1+1+1+1+30+15+20+16+23+6+1+1</f>
        <v>118</v>
      </c>
      <c r="F35" s="26">
        <f>30000+0+0+21150+35000+6000+10000+49950+244793+261874.14+208780+284725+189265+67272.66+198+8195</f>
        <v>1417202.8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((7417707+2390604.87-2007620.77)/227898766)*12</f>
        <v>0.41074506388507614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215048283.99</v>
      </c>
      <c r="E43" s="30">
        <v>3428</v>
      </c>
      <c r="F43" s="31"/>
    </row>
    <row r="44" spans="1:6" ht="15.75">
      <c r="A44" s="32" t="s">
        <v>35</v>
      </c>
      <c r="B44" s="33"/>
      <c r="C44" s="11"/>
      <c r="D44" s="34">
        <v>2302813.06</v>
      </c>
      <c r="E44" s="35">
        <v>36</v>
      </c>
      <c r="F44" s="31"/>
    </row>
    <row r="45" spans="1:6" ht="15.75">
      <c r="A45" s="32" t="s">
        <v>36</v>
      </c>
      <c r="B45" s="33"/>
      <c r="C45" s="11"/>
      <c r="D45" s="34">
        <v>1157477.16</v>
      </c>
      <c r="E45" s="35">
        <v>12</v>
      </c>
      <c r="F45" s="31"/>
    </row>
    <row r="46" spans="1:6" ht="15.75">
      <c r="A46" s="10" t="s">
        <v>37</v>
      </c>
      <c r="B46" s="33"/>
      <c r="C46" s="11"/>
      <c r="D46" s="34">
        <f>781480.44+49618.19+76259.95+17842.84+88893.64</f>
        <v>1014095.0599999998</v>
      </c>
      <c r="E46" s="35">
        <f>16+3+2+1+2</f>
        <v>24</v>
      </c>
      <c r="F46" s="31"/>
    </row>
    <row r="47" spans="1:6" ht="15.75">
      <c r="A47" s="10" t="s">
        <v>27</v>
      </c>
      <c r="B47" s="33"/>
      <c r="C47" s="11"/>
      <c r="D47" s="34">
        <v>477281.48</v>
      </c>
      <c r="E47" s="35">
        <v>6</v>
      </c>
      <c r="F47" s="31"/>
    </row>
    <row r="48" spans="1:6" ht="15.75">
      <c r="A48" s="10" t="s">
        <v>38</v>
      </c>
      <c r="B48" s="33"/>
      <c r="C48" s="11"/>
      <c r="D48" s="34">
        <v>98134.38</v>
      </c>
      <c r="E48" s="35">
        <v>1</v>
      </c>
      <c r="F48" s="31"/>
    </row>
    <row r="49" spans="1:6" ht="15.75">
      <c r="A49" s="15"/>
      <c r="B49" s="36"/>
      <c r="C49" s="16"/>
      <c r="D49" s="37">
        <f>SUM(D43:D48)</f>
        <v>220098085.13</v>
      </c>
      <c r="E49" s="38">
        <f>SUM(E43:E48)</f>
        <v>3507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10627707.61</v>
      </c>
      <c r="E53" s="40">
        <f aca="true" t="shared" si="0" ref="E53:E63">D53/D$64</f>
        <v>0.04828623385670434</v>
      </c>
      <c r="F53" s="41">
        <v>167</v>
      </c>
      <c r="G53" s="40">
        <f aca="true" t="shared" si="1" ref="G53:G63">F53/F$64</f>
        <v>0.047619047619047616</v>
      </c>
    </row>
    <row r="54" spans="1:7" ht="15.75">
      <c r="A54" s="10" t="s">
        <v>55</v>
      </c>
      <c r="D54" s="39">
        <v>22001808.1</v>
      </c>
      <c r="E54" s="40">
        <f t="shared" si="0"/>
        <v>0.09996365069239348</v>
      </c>
      <c r="F54" s="41">
        <v>400</v>
      </c>
      <c r="G54" s="40">
        <f t="shared" si="1"/>
        <v>0.11405759908753921</v>
      </c>
    </row>
    <row r="55" spans="1:7" ht="15.75">
      <c r="A55" s="32" t="s">
        <v>67</v>
      </c>
      <c r="D55" s="39">
        <v>10930646.22</v>
      </c>
      <c r="E55" s="40">
        <f t="shared" si="0"/>
        <v>0.049662613891183385</v>
      </c>
      <c r="F55" s="41">
        <v>259</v>
      </c>
      <c r="G55" s="40">
        <f t="shared" si="1"/>
        <v>0.07385229540918163</v>
      </c>
    </row>
    <row r="56" spans="1:7" ht="15.75">
      <c r="A56" s="10" t="s">
        <v>56</v>
      </c>
      <c r="D56" s="39">
        <v>6377826.3</v>
      </c>
      <c r="E56" s="40">
        <f t="shared" si="0"/>
        <v>0.028977200307003872</v>
      </c>
      <c r="F56" s="41">
        <v>126</v>
      </c>
      <c r="G56" s="40">
        <f t="shared" si="1"/>
        <v>0.03592814371257485</v>
      </c>
    </row>
    <row r="57" spans="1:7" ht="15.75">
      <c r="A57" s="10" t="s">
        <v>57</v>
      </c>
      <c r="D57" s="39">
        <v>22721212.15</v>
      </c>
      <c r="E57" s="40">
        <f t="shared" si="0"/>
        <v>0.10323221184127891</v>
      </c>
      <c r="F57" s="41">
        <v>403</v>
      </c>
      <c r="G57" s="40">
        <f t="shared" si="1"/>
        <v>0.11491303108069575</v>
      </c>
    </row>
    <row r="58" spans="1:7" ht="15.75">
      <c r="A58" s="10" t="s">
        <v>66</v>
      </c>
      <c r="D58" s="39">
        <v>1162816.71</v>
      </c>
      <c r="E58" s="40">
        <f t="shared" si="0"/>
        <v>0.005283175041314817</v>
      </c>
      <c r="F58" s="41">
        <v>39</v>
      </c>
      <c r="G58" s="40">
        <f t="shared" si="1"/>
        <v>0.011120615911035072</v>
      </c>
    </row>
    <row r="59" spans="1:8" ht="15.75">
      <c r="A59" s="10" t="s">
        <v>58</v>
      </c>
      <c r="D59" s="39">
        <f>62001178.06+21749246</f>
        <v>83750424.06</v>
      </c>
      <c r="E59" s="40">
        <f t="shared" si="0"/>
        <v>0.38051409675160586</v>
      </c>
      <c r="F59" s="41">
        <f>768+210</f>
        <v>978</v>
      </c>
      <c r="G59" s="40">
        <f t="shared" si="1"/>
        <v>0.2788708297690334</v>
      </c>
      <c r="H59" s="42" t="str">
        <f>IF(E59&gt;80%,"ERROR"," ")</f>
        <v> </v>
      </c>
    </row>
    <row r="60" spans="1:7" ht="15.75">
      <c r="A60" s="10" t="s">
        <v>59</v>
      </c>
      <c r="D60" s="39">
        <v>21131520.9</v>
      </c>
      <c r="E60" s="40">
        <f t="shared" si="0"/>
        <v>0.0960095626798332</v>
      </c>
      <c r="F60" s="41">
        <v>346</v>
      </c>
      <c r="G60" s="40">
        <f t="shared" si="1"/>
        <v>0.09865982321072142</v>
      </c>
    </row>
    <row r="61" spans="1:7" ht="15.75">
      <c r="A61" s="10" t="s">
        <v>60</v>
      </c>
      <c r="D61" s="39">
        <v>5934342.5</v>
      </c>
      <c r="E61" s="40">
        <f t="shared" si="0"/>
        <v>0.02696226319504282</v>
      </c>
      <c r="F61" s="41">
        <v>100</v>
      </c>
      <c r="G61" s="40">
        <f t="shared" si="1"/>
        <v>0.028514399771884802</v>
      </c>
    </row>
    <row r="62" spans="1:7" ht="15.75">
      <c r="A62" s="10" t="s">
        <v>61</v>
      </c>
      <c r="D62" s="39">
        <v>16913295</v>
      </c>
      <c r="E62" s="40">
        <f t="shared" si="0"/>
        <v>0.07684435323465097</v>
      </c>
      <c r="F62" s="41">
        <v>296</v>
      </c>
      <c r="G62" s="40">
        <f t="shared" si="1"/>
        <v>0.08440262332477902</v>
      </c>
    </row>
    <row r="63" spans="1:7" ht="15.75">
      <c r="A63" s="15" t="s">
        <v>62</v>
      </c>
      <c r="B63" s="36"/>
      <c r="C63" s="36"/>
      <c r="D63" s="43">
        <v>18546485.58</v>
      </c>
      <c r="E63" s="44">
        <f t="shared" si="0"/>
        <v>0.08426463850898837</v>
      </c>
      <c r="F63" s="45">
        <v>393</v>
      </c>
      <c r="G63" s="44">
        <f t="shared" si="1"/>
        <v>0.11206159110350727</v>
      </c>
    </row>
    <row r="64" spans="1:7" ht="15.75">
      <c r="A64" s="70" t="s">
        <v>63</v>
      </c>
      <c r="B64" s="36"/>
      <c r="C64" s="36"/>
      <c r="D64" s="43">
        <f>SUM(D53:D63)</f>
        <v>220098085.13</v>
      </c>
      <c r="E64" s="44">
        <f>SUM(E53:E63)</f>
        <v>1</v>
      </c>
      <c r="F64" s="46">
        <f>SUM(F53:F63)</f>
        <v>3507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38534</v>
      </c>
      <c r="E4" s="3"/>
    </row>
    <row r="5" spans="1:5" ht="15.75">
      <c r="A5" s="2" t="s">
        <v>15</v>
      </c>
      <c r="D5" s="73">
        <v>0.0479375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170165822</v>
      </c>
      <c r="E9" s="75">
        <v>9932274</v>
      </c>
      <c r="F9" s="75">
        <v>760012</v>
      </c>
      <c r="G9" s="9">
        <f>+D9/460000000</f>
        <v>0.3699257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187540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210165822</v>
      </c>
      <c r="E11" s="18">
        <f>SUM(E9:E10)</f>
        <v>9932274</v>
      </c>
      <c r="F11" s="18">
        <f>SUM(F9:F10)</f>
        <v>947552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180</v>
      </c>
      <c r="F17" s="21">
        <v>11750000</v>
      </c>
    </row>
    <row r="18" spans="1:6" ht="15.75">
      <c r="A18" s="77" t="s">
        <v>181</v>
      </c>
      <c r="F18" s="21">
        <v>0</v>
      </c>
    </row>
    <row r="19" spans="1:6" ht="15.75">
      <c r="A19" s="77" t="s">
        <v>182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183</v>
      </c>
      <c r="F30" s="74">
        <v>175352</v>
      </c>
    </row>
    <row r="31" spans="1:6" ht="15.75">
      <c r="A31" s="24" t="s">
        <v>68</v>
      </c>
      <c r="F31" s="74">
        <v>81</v>
      </c>
    </row>
    <row r="32" spans="1:6" ht="15.75">
      <c r="A32" s="77" t="s">
        <v>184</v>
      </c>
      <c r="F32" s="21">
        <f>D49</f>
        <v>210165803.48999998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+'Jun 05'!E35+E36</f>
        <v>119</v>
      </c>
      <c r="F35" s="79">
        <f>+'Jun 05'!F35+F36</f>
        <v>1438703.68</v>
      </c>
    </row>
    <row r="36" spans="1:6" ht="15.75">
      <c r="A36" s="2" t="s">
        <v>7</v>
      </c>
      <c r="E36" s="78">
        <v>1</v>
      </c>
      <c r="F36" s="79">
        <v>21500.88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((9488683+2550600.69-2085490)/220098085.13)*12</f>
        <v>0.5426922465474882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6" ht="15.75">
      <c r="A43" s="5" t="s">
        <v>11</v>
      </c>
      <c r="B43" s="28"/>
      <c r="C43" s="6"/>
      <c r="D43" s="29">
        <v>205990758.98</v>
      </c>
      <c r="E43" s="30">
        <v>3297</v>
      </c>
      <c r="F43" s="31"/>
    </row>
    <row r="44" spans="1:6" ht="15.75">
      <c r="A44" s="32" t="s">
        <v>35</v>
      </c>
      <c r="B44" s="33"/>
      <c r="C44" s="11"/>
      <c r="D44" s="34">
        <v>2011471.17</v>
      </c>
      <c r="E44" s="35">
        <v>28</v>
      </c>
      <c r="F44" s="31"/>
    </row>
    <row r="45" spans="1:6" ht="15.75">
      <c r="A45" s="32" t="s">
        <v>36</v>
      </c>
      <c r="B45" s="33"/>
      <c r="C45" s="11"/>
      <c r="D45" s="34">
        <v>964932.36</v>
      </c>
      <c r="E45" s="35">
        <v>11</v>
      </c>
      <c r="F45" s="31"/>
    </row>
    <row r="46" spans="1:6" ht="15.75">
      <c r="A46" s="10" t="s">
        <v>37</v>
      </c>
      <c r="B46" s="33"/>
      <c r="C46" s="11"/>
      <c r="D46" s="34">
        <f>607731.12+50073.87+76798.36+113877.66</f>
        <v>848481.01</v>
      </c>
      <c r="E46" s="35">
        <f>11+3+2+3</f>
        <v>19</v>
      </c>
      <c r="F46" s="31"/>
    </row>
    <row r="47" spans="1:6" ht="15.75">
      <c r="A47" s="10" t="s">
        <v>27</v>
      </c>
      <c r="B47" s="33"/>
      <c r="C47" s="11"/>
      <c r="D47" s="34">
        <v>250962.85</v>
      </c>
      <c r="E47" s="35">
        <v>6</v>
      </c>
      <c r="F47" s="31"/>
    </row>
    <row r="48" spans="1:6" ht="15.75">
      <c r="A48" s="10" t="s">
        <v>38</v>
      </c>
      <c r="B48" s="33"/>
      <c r="C48" s="11"/>
      <c r="D48" s="34">
        <v>99197.12</v>
      </c>
      <c r="E48" s="35">
        <v>1</v>
      </c>
      <c r="F48" s="31"/>
    </row>
    <row r="49" spans="1:6" ht="15.75">
      <c r="A49" s="15"/>
      <c r="B49" s="36"/>
      <c r="C49" s="16"/>
      <c r="D49" s="37">
        <f>SUM(D43:D48)</f>
        <v>210165803.48999998</v>
      </c>
      <c r="E49" s="38">
        <f>SUM(E43:E48)</f>
        <v>3362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10539336.74</v>
      </c>
      <c r="E53" s="40">
        <f aca="true" t="shared" si="0" ref="E53:E63">D53/D$64</f>
        <v>0.050147724153903464</v>
      </c>
      <c r="F53" s="41">
        <v>162</v>
      </c>
      <c r="G53" s="40">
        <f aca="true" t="shared" si="1" ref="G53:G63">F53/F$64</f>
        <v>0.04818560380725759</v>
      </c>
    </row>
    <row r="54" spans="1:7" ht="15.75">
      <c r="A54" s="10" t="s">
        <v>55</v>
      </c>
      <c r="D54" s="39">
        <v>20647483</v>
      </c>
      <c r="E54" s="40">
        <f t="shared" si="0"/>
        <v>0.09824378018273767</v>
      </c>
      <c r="F54" s="41">
        <v>384</v>
      </c>
      <c r="G54" s="40">
        <f t="shared" si="1"/>
        <v>0.11421772754312909</v>
      </c>
    </row>
    <row r="55" spans="1:7" ht="15.75">
      <c r="A55" s="32" t="s">
        <v>67</v>
      </c>
      <c r="D55" s="39">
        <v>10640282.95</v>
      </c>
      <c r="E55" s="40">
        <f t="shared" si="0"/>
        <v>0.05062804116230203</v>
      </c>
      <c r="F55" s="41">
        <v>249</v>
      </c>
      <c r="G55" s="40">
        <f t="shared" si="1"/>
        <v>0.07406305770374777</v>
      </c>
    </row>
    <row r="56" spans="1:7" ht="15.75">
      <c r="A56" s="10" t="s">
        <v>56</v>
      </c>
      <c r="D56" s="39">
        <v>5936979.5</v>
      </c>
      <c r="E56" s="40">
        <f t="shared" si="0"/>
        <v>0.028249027203336108</v>
      </c>
      <c r="F56" s="41">
        <v>119</v>
      </c>
      <c r="G56" s="40">
        <f t="shared" si="1"/>
        <v>0.03539559785841761</v>
      </c>
    </row>
    <row r="57" spans="1:7" ht="15.75">
      <c r="A57" s="10" t="s">
        <v>57</v>
      </c>
      <c r="D57" s="39">
        <v>21356860.51</v>
      </c>
      <c r="E57" s="40">
        <f t="shared" si="0"/>
        <v>0.10161910337147782</v>
      </c>
      <c r="F57" s="41">
        <v>386</v>
      </c>
      <c r="G57" s="40">
        <f t="shared" si="1"/>
        <v>0.11481261154074955</v>
      </c>
    </row>
    <row r="58" spans="1:7" ht="15.75">
      <c r="A58" s="10" t="s">
        <v>66</v>
      </c>
      <c r="D58" s="39">
        <v>1029682.75</v>
      </c>
      <c r="E58" s="40">
        <f t="shared" si="0"/>
        <v>0.004899382929578236</v>
      </c>
      <c r="F58" s="41">
        <v>36</v>
      </c>
      <c r="G58" s="40">
        <f t="shared" si="1"/>
        <v>0.010707911957168352</v>
      </c>
    </row>
    <row r="59" spans="1:8" ht="15.75">
      <c r="A59" s="10" t="s">
        <v>58</v>
      </c>
      <c r="D59" s="39">
        <f>59246591.54+20890842.84</f>
        <v>80137434.38</v>
      </c>
      <c r="E59" s="40">
        <f t="shared" si="0"/>
        <v>0.3813057740566869</v>
      </c>
      <c r="F59" s="41">
        <f>733+201</f>
        <v>934</v>
      </c>
      <c r="G59" s="40">
        <f t="shared" si="1"/>
        <v>0.2778108268887567</v>
      </c>
      <c r="H59" s="42" t="str">
        <f>IF(E59&gt;80%,"ERROR"," ")</f>
        <v> </v>
      </c>
    </row>
    <row r="60" spans="1:7" ht="15.75">
      <c r="A60" s="10" t="s">
        <v>59</v>
      </c>
      <c r="D60" s="39">
        <v>20502760.11</v>
      </c>
      <c r="E60" s="40">
        <f t="shared" si="0"/>
        <v>0.09755516725143895</v>
      </c>
      <c r="F60" s="41">
        <v>337</v>
      </c>
      <c r="G60" s="40">
        <f t="shared" si="1"/>
        <v>0.10023795359904819</v>
      </c>
    </row>
    <row r="61" spans="1:7" ht="15.75">
      <c r="A61" s="10" t="s">
        <v>60</v>
      </c>
      <c r="D61" s="39">
        <v>5437391.29</v>
      </c>
      <c r="E61" s="40">
        <f t="shared" si="0"/>
        <v>0.025871912555263634</v>
      </c>
      <c r="F61" s="41">
        <v>94</v>
      </c>
      <c r="G61" s="40">
        <f t="shared" si="1"/>
        <v>0.02795954788816181</v>
      </c>
    </row>
    <row r="62" spans="1:7" ht="15.75">
      <c r="A62" s="10" t="s">
        <v>61</v>
      </c>
      <c r="D62" s="39">
        <v>16279758.54</v>
      </c>
      <c r="E62" s="40">
        <f t="shared" si="0"/>
        <v>0.0774615007278033</v>
      </c>
      <c r="F62" s="41">
        <v>283</v>
      </c>
      <c r="G62" s="40">
        <f t="shared" si="1"/>
        <v>0.08417608566329565</v>
      </c>
    </row>
    <row r="63" spans="1:7" ht="15.75">
      <c r="A63" s="15" t="s">
        <v>62</v>
      </c>
      <c r="B63" s="36"/>
      <c r="C63" s="36"/>
      <c r="D63" s="43">
        <v>17657833.72</v>
      </c>
      <c r="E63" s="44">
        <f t="shared" si="0"/>
        <v>0.08401858640547194</v>
      </c>
      <c r="F63" s="45">
        <v>378</v>
      </c>
      <c r="G63" s="44">
        <f t="shared" si="1"/>
        <v>0.1124330755502677</v>
      </c>
    </row>
    <row r="64" spans="1:7" ht="15.75">
      <c r="A64" s="70" t="s">
        <v>63</v>
      </c>
      <c r="B64" s="36"/>
      <c r="C64" s="36"/>
      <c r="D64" s="43">
        <f>SUM(D53:D63)</f>
        <v>210165803.48999998</v>
      </c>
      <c r="E64" s="44">
        <f>SUM(E53:E63)</f>
        <v>1.0000000000000002</v>
      </c>
      <c r="F64" s="46">
        <f>SUM(F53:F63)</f>
        <v>3362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38565</v>
      </c>
      <c r="E4" s="3"/>
    </row>
    <row r="5" spans="1:5" ht="15.75">
      <c r="A5" s="2" t="s">
        <v>15</v>
      </c>
      <c r="D5" s="73">
        <v>0.0464063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161255116</v>
      </c>
      <c r="E9" s="75">
        <v>8910706</v>
      </c>
      <c r="F9" s="75">
        <v>733286</v>
      </c>
      <c r="G9" s="9">
        <f>+D9/460000000</f>
        <v>0.3505546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191732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201255116</v>
      </c>
      <c r="E11" s="18">
        <f>SUM(E9:E10)</f>
        <v>8910706</v>
      </c>
      <c r="F11" s="18">
        <f>SUM(F9:F10)</f>
        <v>925018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186</v>
      </c>
      <c r="F17" s="21">
        <v>11750000</v>
      </c>
    </row>
    <row r="18" spans="1:6" ht="15.75">
      <c r="A18" s="77" t="s">
        <v>187</v>
      </c>
      <c r="F18" s="21">
        <v>0</v>
      </c>
    </row>
    <row r="19" spans="1:6" ht="15.75">
      <c r="A19" s="77" t="s">
        <v>188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189</v>
      </c>
      <c r="F30" s="74">
        <v>149873</v>
      </c>
    </row>
    <row r="31" spans="1:6" ht="15.75">
      <c r="A31" s="24" t="s">
        <v>68</v>
      </c>
      <c r="F31" s="74">
        <v>81</v>
      </c>
    </row>
    <row r="32" spans="1:6" ht="15.75">
      <c r="A32" s="77" t="s">
        <v>190</v>
      </c>
      <c r="F32" s="21">
        <f>D49</f>
        <v>201255090.83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+'Jul 05'!E35+E36</f>
        <v>119</v>
      </c>
      <c r="F35" s="79">
        <f>+'Jul 05'!F35+F36</f>
        <v>1438703.68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((8034901+2548846.95-1673016.93)/210165803.49)*12</f>
        <v>0.5087829250256111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6" ht="15.75">
      <c r="A43" s="5" t="s">
        <v>11</v>
      </c>
      <c r="B43" s="28"/>
      <c r="C43" s="6"/>
      <c r="D43" s="29">
        <v>196863554.98</v>
      </c>
      <c r="E43" s="30">
        <v>3200</v>
      </c>
      <c r="F43" s="31"/>
    </row>
    <row r="44" spans="1:6" ht="15.75">
      <c r="A44" s="32" t="s">
        <v>35</v>
      </c>
      <c r="B44" s="33"/>
      <c r="C44" s="11"/>
      <c r="D44" s="34">
        <v>1535155.62</v>
      </c>
      <c r="E44" s="35">
        <v>29</v>
      </c>
      <c r="F44" s="31"/>
    </row>
    <row r="45" spans="1:6" ht="15.75">
      <c r="A45" s="32" t="s">
        <v>36</v>
      </c>
      <c r="B45" s="33"/>
      <c r="C45" s="11"/>
      <c r="D45" s="34">
        <v>1570263.87</v>
      </c>
      <c r="E45" s="35">
        <v>18</v>
      </c>
      <c r="F45" s="31"/>
    </row>
    <row r="46" spans="1:6" ht="15.75">
      <c r="A46" s="10" t="s">
        <v>37</v>
      </c>
      <c r="B46" s="33"/>
      <c r="C46" s="11"/>
      <c r="D46" s="34">
        <f>636630.96+196110.92+74479.63+114440.14</f>
        <v>1021661.65</v>
      </c>
      <c r="E46" s="35">
        <f>10+4+2+5</f>
        <v>21</v>
      </c>
      <c r="F46" s="31"/>
    </row>
    <row r="47" spans="1:6" ht="15.75">
      <c r="A47" s="10" t="s">
        <v>27</v>
      </c>
      <c r="B47" s="33"/>
      <c r="C47" s="11"/>
      <c r="D47" s="34">
        <v>164546.22</v>
      </c>
      <c r="E47" s="35">
        <v>6</v>
      </c>
      <c r="F47" s="31"/>
    </row>
    <row r="48" spans="1:6" ht="15.75">
      <c r="A48" s="10" t="s">
        <v>38</v>
      </c>
      <c r="B48" s="33"/>
      <c r="C48" s="11"/>
      <c r="D48" s="34">
        <v>99908.49</v>
      </c>
      <c r="E48" s="35">
        <v>1</v>
      </c>
      <c r="F48" s="31"/>
    </row>
    <row r="49" spans="1:6" ht="15.75">
      <c r="A49" s="15"/>
      <c r="B49" s="36"/>
      <c r="C49" s="16"/>
      <c r="D49" s="37">
        <f>SUM(D43:D48)</f>
        <v>201255090.83</v>
      </c>
      <c r="E49" s="38">
        <f>SUM(E43:E48)</f>
        <v>3275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9689383.64</v>
      </c>
      <c r="E53" s="40">
        <f aca="true" t="shared" si="0" ref="E53:E63">D53/D$64</f>
        <v>0.048144787791652016</v>
      </c>
      <c r="F53" s="41">
        <v>158</v>
      </c>
      <c r="G53" s="40">
        <f aca="true" t="shared" si="1" ref="G53:G63">F53/F$64</f>
        <v>0.048244274809160305</v>
      </c>
    </row>
    <row r="54" spans="1:7" ht="15.75">
      <c r="A54" s="10" t="s">
        <v>55</v>
      </c>
      <c r="D54" s="39">
        <v>19481504.4</v>
      </c>
      <c r="E54" s="40">
        <f t="shared" si="0"/>
        <v>0.0968000576763348</v>
      </c>
      <c r="F54" s="41">
        <v>376</v>
      </c>
      <c r="G54" s="40">
        <f t="shared" si="1"/>
        <v>0.11480916030534351</v>
      </c>
    </row>
    <row r="55" spans="1:7" ht="15.75">
      <c r="A55" s="32" t="s">
        <v>67</v>
      </c>
      <c r="D55" s="39">
        <v>10387525.58</v>
      </c>
      <c r="E55" s="40">
        <f t="shared" si="0"/>
        <v>0.0516137283144521</v>
      </c>
      <c r="F55" s="41">
        <v>244</v>
      </c>
      <c r="G55" s="40">
        <f t="shared" si="1"/>
        <v>0.07450381679389313</v>
      </c>
    </row>
    <row r="56" spans="1:7" ht="15.75">
      <c r="A56" s="10" t="s">
        <v>56</v>
      </c>
      <c r="D56" s="39">
        <v>5436696.47</v>
      </c>
      <c r="E56" s="40">
        <f t="shared" si="0"/>
        <v>0.027013957498309312</v>
      </c>
      <c r="F56" s="41">
        <v>116</v>
      </c>
      <c r="G56" s="40">
        <f t="shared" si="1"/>
        <v>0.035419847328244276</v>
      </c>
    </row>
    <row r="57" spans="1:7" ht="15.75">
      <c r="A57" s="10" t="s">
        <v>57</v>
      </c>
      <c r="D57" s="39">
        <v>20674634.92</v>
      </c>
      <c r="E57" s="40">
        <f t="shared" si="0"/>
        <v>0.10272850656713996</v>
      </c>
      <c r="F57" s="41">
        <v>373</v>
      </c>
      <c r="G57" s="40">
        <f t="shared" si="1"/>
        <v>0.11389312977099236</v>
      </c>
    </row>
    <row r="58" spans="1:7" ht="15.75">
      <c r="A58" s="10" t="s">
        <v>66</v>
      </c>
      <c r="D58" s="39">
        <v>967388.92</v>
      </c>
      <c r="E58" s="40">
        <f t="shared" si="0"/>
        <v>0.004806779873295989</v>
      </c>
      <c r="F58" s="41">
        <v>34</v>
      </c>
      <c r="G58" s="40">
        <f t="shared" si="1"/>
        <v>0.010381679389312977</v>
      </c>
    </row>
    <row r="59" spans="1:8" ht="15.75">
      <c r="A59" s="10" t="s">
        <v>58</v>
      </c>
      <c r="D59" s="39">
        <f>57327798.27+20031111.18</f>
        <v>77358909.45</v>
      </c>
      <c r="E59" s="40">
        <f t="shared" si="0"/>
        <v>0.3843823732903483</v>
      </c>
      <c r="F59" s="41">
        <f>717+196</f>
        <v>913</v>
      </c>
      <c r="G59" s="40">
        <f t="shared" si="1"/>
        <v>0.2787786259541985</v>
      </c>
      <c r="H59" s="42" t="str">
        <f>IF(E59&gt;80%,"ERROR"," ")</f>
        <v> </v>
      </c>
    </row>
    <row r="60" spans="1:7" ht="15.75">
      <c r="A60" s="10" t="s">
        <v>59</v>
      </c>
      <c r="D60" s="39">
        <v>19778916.16</v>
      </c>
      <c r="E60" s="40">
        <f t="shared" si="0"/>
        <v>0.09827784270414922</v>
      </c>
      <c r="F60" s="41">
        <v>328</v>
      </c>
      <c r="G60" s="40">
        <f t="shared" si="1"/>
        <v>0.10015267175572519</v>
      </c>
    </row>
    <row r="61" spans="1:7" ht="15.75">
      <c r="A61" s="10" t="s">
        <v>60</v>
      </c>
      <c r="D61" s="39">
        <v>5194540.78</v>
      </c>
      <c r="E61" s="40">
        <f t="shared" si="0"/>
        <v>0.025810729848259217</v>
      </c>
      <c r="F61" s="41">
        <v>89</v>
      </c>
      <c r="G61" s="40">
        <f t="shared" si="1"/>
        <v>0.02717557251908397</v>
      </c>
    </row>
    <row r="62" spans="1:7" ht="15.75">
      <c r="A62" s="10" t="s">
        <v>61</v>
      </c>
      <c r="D62" s="39">
        <v>15510812.56</v>
      </c>
      <c r="E62" s="40">
        <f t="shared" si="0"/>
        <v>0.07707041096963839</v>
      </c>
      <c r="F62" s="41">
        <v>277</v>
      </c>
      <c r="G62" s="40">
        <f t="shared" si="1"/>
        <v>0.08458015267175573</v>
      </c>
    </row>
    <row r="63" spans="1:7" ht="15.75">
      <c r="A63" s="15" t="s">
        <v>62</v>
      </c>
      <c r="B63" s="36"/>
      <c r="C63" s="36"/>
      <c r="D63" s="43">
        <v>16774777.95</v>
      </c>
      <c r="E63" s="44">
        <f t="shared" si="0"/>
        <v>0.08335082546642082</v>
      </c>
      <c r="F63" s="45">
        <v>367</v>
      </c>
      <c r="G63" s="44">
        <f t="shared" si="1"/>
        <v>0.11206106870229007</v>
      </c>
    </row>
    <row r="64" spans="1:7" ht="15.75">
      <c r="A64" s="70" t="s">
        <v>63</v>
      </c>
      <c r="B64" s="36"/>
      <c r="C64" s="36"/>
      <c r="D64" s="43">
        <f>SUM(D53:D63)</f>
        <v>201255090.82999998</v>
      </c>
      <c r="E64" s="44">
        <f>SUM(E53:E63)</f>
        <v>1.0000000000000002</v>
      </c>
      <c r="F64" s="46">
        <f>SUM(F53:F63)</f>
        <v>3275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38596</v>
      </c>
      <c r="E4" s="3"/>
    </row>
    <row r="5" spans="1:5" ht="15.75">
      <c r="A5" s="2" t="s">
        <v>15</v>
      </c>
      <c r="D5" s="73">
        <v>0.0459063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152281390</v>
      </c>
      <c r="E9" s="75">
        <v>8973726</v>
      </c>
      <c r="F9" s="75">
        <v>673900</v>
      </c>
      <c r="G9" s="9">
        <f>+D9/460000000</f>
        <v>0.3310465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186532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192281390</v>
      </c>
      <c r="E11" s="18">
        <f>SUM(E9:E10)</f>
        <v>8973726</v>
      </c>
      <c r="F11" s="18">
        <f>SUM(F9:F10)</f>
        <v>860432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191</v>
      </c>
      <c r="F17" s="21">
        <v>11750000</v>
      </c>
    </row>
    <row r="18" spans="1:6" ht="15.75">
      <c r="A18" s="77" t="s">
        <v>192</v>
      </c>
      <c r="F18" s="21">
        <v>0</v>
      </c>
    </row>
    <row r="19" spans="1:6" ht="15.75">
      <c r="A19" s="77" t="s">
        <v>193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194</v>
      </c>
      <c r="F30" s="74">
        <v>166168</v>
      </c>
    </row>
    <row r="31" spans="1:6" ht="15.75">
      <c r="A31" s="24" t="s">
        <v>196</v>
      </c>
      <c r="F31" s="74">
        <v>233.48</v>
      </c>
    </row>
    <row r="32" spans="1:6" ht="15.75">
      <c r="A32" s="77" t="s">
        <v>195</v>
      </c>
      <c r="F32" s="21">
        <f>D49</f>
        <v>192281346.32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+'Aug 05'!E35+E36</f>
        <v>119</v>
      </c>
      <c r="F35" s="79">
        <f>+'Aug 05'!F35+F36</f>
        <v>1438703.68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+'Aug 05'!E37</f>
        <v>4358</v>
      </c>
      <c r="F37" s="26">
        <f>+'Aug 05'!F37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((8001558+2788733.4-1816521.53)/201255090.83)*12</f>
        <v>0.5350683950199383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188647127.66</v>
      </c>
      <c r="E43" s="81">
        <v>3091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1448093.23</v>
      </c>
      <c r="E44" s="83">
        <v>29</v>
      </c>
      <c r="F44" s="31"/>
    </row>
    <row r="45" spans="1:9" ht="15.75">
      <c r="A45" s="32" t="s">
        <v>36</v>
      </c>
      <c r="B45" s="33"/>
      <c r="C45" s="11"/>
      <c r="D45" s="82">
        <v>927014.24</v>
      </c>
      <c r="E45" s="83">
        <v>10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640843.22+2350+70805.08+113632.46</f>
        <v>827630.7599999999</v>
      </c>
      <c r="E46" s="83">
        <f>11+1+2+4</f>
        <v>18</v>
      </c>
      <c r="F46" s="31"/>
      <c r="G46" s="88"/>
    </row>
    <row r="47" spans="1:6" ht="15.75">
      <c r="A47" s="10" t="s">
        <v>27</v>
      </c>
      <c r="B47" s="33"/>
      <c r="C47" s="11"/>
      <c r="D47" s="82">
        <v>330973.13</v>
      </c>
      <c r="E47" s="83">
        <v>8</v>
      </c>
      <c r="F47" s="31"/>
    </row>
    <row r="48" spans="1:7" ht="15.75">
      <c r="A48" s="10" t="s">
        <v>38</v>
      </c>
      <c r="B48" s="33"/>
      <c r="C48" s="11"/>
      <c r="D48" s="82">
        <v>100507.3</v>
      </c>
      <c r="E48" s="83">
        <v>1</v>
      </c>
      <c r="F48" s="31"/>
      <c r="G48" s="88"/>
    </row>
    <row r="49" spans="1:6" ht="15.75">
      <c r="A49" s="15"/>
      <c r="B49" s="36"/>
      <c r="C49" s="16"/>
      <c r="D49" s="37">
        <f>SUM(D43:D48)</f>
        <v>192281346.32</v>
      </c>
      <c r="E49" s="38">
        <f>SUM(E43:E48)</f>
        <v>3157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84">
        <v>9178172.71</v>
      </c>
      <c r="E53" s="40">
        <f aca="true" t="shared" si="0" ref="E53:E63">D53/D$64</f>
        <v>0.047733037476892996</v>
      </c>
      <c r="F53" s="86">
        <v>148</v>
      </c>
      <c r="G53" s="40">
        <f aca="true" t="shared" si="1" ref="G53:G63">F53/F$64</f>
        <v>0.04687994931897371</v>
      </c>
    </row>
    <row r="54" spans="1:7" ht="15.75">
      <c r="A54" s="10" t="s">
        <v>55</v>
      </c>
      <c r="D54" s="84">
        <v>18455144.62</v>
      </c>
      <c r="E54" s="40">
        <f t="shared" si="0"/>
        <v>0.09597990118753606</v>
      </c>
      <c r="F54" s="86">
        <v>358</v>
      </c>
      <c r="G54" s="40">
        <f t="shared" si="1"/>
        <v>0.11339879632562559</v>
      </c>
    </row>
    <row r="55" spans="1:7" ht="15.75">
      <c r="A55" s="32" t="s">
        <v>67</v>
      </c>
      <c r="D55" s="84">
        <v>10132473.75</v>
      </c>
      <c r="E55" s="40">
        <f t="shared" si="0"/>
        <v>0.052696082817816625</v>
      </c>
      <c r="F55" s="86">
        <v>239</v>
      </c>
      <c r="G55" s="40">
        <f t="shared" si="1"/>
        <v>0.0757047830218562</v>
      </c>
    </row>
    <row r="56" spans="1:7" ht="15.75">
      <c r="A56" s="10" t="s">
        <v>56</v>
      </c>
      <c r="D56" s="84">
        <v>5199070.21</v>
      </c>
      <c r="E56" s="40">
        <f t="shared" si="0"/>
        <v>0.02703886939374536</v>
      </c>
      <c r="F56" s="86">
        <v>110</v>
      </c>
      <c r="G56" s="40">
        <f t="shared" si="1"/>
        <v>0.03484320557491289</v>
      </c>
    </row>
    <row r="57" spans="1:7" ht="15.75">
      <c r="A57" s="10" t="s">
        <v>57</v>
      </c>
      <c r="D57" s="84">
        <v>20077725.12</v>
      </c>
      <c r="E57" s="40">
        <f t="shared" si="0"/>
        <v>0.10441847586497595</v>
      </c>
      <c r="F57" s="86">
        <v>363</v>
      </c>
      <c r="G57" s="40">
        <f t="shared" si="1"/>
        <v>0.11498257839721254</v>
      </c>
    </row>
    <row r="58" spans="1:7" ht="15.75">
      <c r="A58" s="10" t="s">
        <v>66</v>
      </c>
      <c r="D58" s="84">
        <v>956059.56</v>
      </c>
      <c r="E58" s="40">
        <f t="shared" si="0"/>
        <v>0.004972190897857034</v>
      </c>
      <c r="F58" s="86">
        <v>34</v>
      </c>
      <c r="G58" s="40">
        <f t="shared" si="1"/>
        <v>0.010769718086791258</v>
      </c>
    </row>
    <row r="59" spans="1:8" ht="15.75">
      <c r="A59" s="10" t="s">
        <v>58</v>
      </c>
      <c r="D59" s="84">
        <f>19333872.22+53970359.35</f>
        <v>73304231.57</v>
      </c>
      <c r="E59" s="40">
        <f t="shared" si="0"/>
        <v>0.38123423292452424</v>
      </c>
      <c r="F59" s="86">
        <f>186+697</f>
        <v>883</v>
      </c>
      <c r="G59" s="40">
        <f t="shared" si="1"/>
        <v>0.2796959138422553</v>
      </c>
      <c r="H59" s="42" t="str">
        <f>IF(E59&gt;80%,"ERROR"," ")</f>
        <v> </v>
      </c>
    </row>
    <row r="60" spans="1:7" ht="15.75">
      <c r="A60" s="10" t="s">
        <v>59</v>
      </c>
      <c r="D60" s="84">
        <v>18835944.76</v>
      </c>
      <c r="E60" s="40">
        <f t="shared" si="0"/>
        <v>0.0979603332330152</v>
      </c>
      <c r="F60" s="86">
        <v>312</v>
      </c>
      <c r="G60" s="40">
        <f t="shared" si="1"/>
        <v>0.09882800126702566</v>
      </c>
    </row>
    <row r="61" spans="1:7" ht="15.75">
      <c r="A61" s="10" t="s">
        <v>60</v>
      </c>
      <c r="D61" s="84">
        <v>4789915.89</v>
      </c>
      <c r="E61" s="40">
        <f t="shared" si="0"/>
        <v>0.024910975410108102</v>
      </c>
      <c r="F61" s="86">
        <v>86</v>
      </c>
      <c r="G61" s="40">
        <f t="shared" si="1"/>
        <v>0.027241051631295535</v>
      </c>
    </row>
    <row r="62" spans="1:7" ht="15.75">
      <c r="A62" s="10" t="s">
        <v>61</v>
      </c>
      <c r="D62" s="84">
        <v>14936898.74</v>
      </c>
      <c r="E62" s="40">
        <f t="shared" si="0"/>
        <v>0.07768251588555863</v>
      </c>
      <c r="F62" s="86">
        <v>270</v>
      </c>
      <c r="G62" s="40">
        <f t="shared" si="1"/>
        <v>0.08552423186569529</v>
      </c>
    </row>
    <row r="63" spans="1:7" ht="15.75">
      <c r="A63" s="15" t="s">
        <v>62</v>
      </c>
      <c r="B63" s="36"/>
      <c r="C63" s="36"/>
      <c r="D63" s="85">
        <v>16415709.39</v>
      </c>
      <c r="E63" s="44">
        <f t="shared" si="0"/>
        <v>0.0853733849079698</v>
      </c>
      <c r="F63" s="87">
        <v>354</v>
      </c>
      <c r="G63" s="44">
        <f t="shared" si="1"/>
        <v>0.11213177066835603</v>
      </c>
    </row>
    <row r="64" spans="1:7" ht="15.75">
      <c r="A64" s="70" t="s">
        <v>63</v>
      </c>
      <c r="B64" s="36"/>
      <c r="C64" s="36"/>
      <c r="D64" s="43">
        <f>SUM(D53:D63)</f>
        <v>192281346.32</v>
      </c>
      <c r="E64" s="44">
        <f>SUM(E53:E63)</f>
        <v>1</v>
      </c>
      <c r="F64" s="46">
        <f>SUM(F53:F63)</f>
        <v>3157</v>
      </c>
      <c r="G64" s="44">
        <f>SUM(G53:G63)</f>
        <v>0.9999999999999999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38628</v>
      </c>
      <c r="E4" s="3"/>
    </row>
    <row r="5" spans="1:5" ht="15.75">
      <c r="A5" s="2" t="s">
        <v>15</v>
      </c>
      <c r="D5" s="73">
        <v>0.046025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144069424</v>
      </c>
      <c r="E9" s="75">
        <v>8211966</v>
      </c>
      <c r="F9" s="75">
        <v>650256</v>
      </c>
      <c r="G9" s="9">
        <f>+D9/460000000</f>
        <v>0.3131944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190796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184069424</v>
      </c>
      <c r="E11" s="18">
        <f>SUM(E9:E10)</f>
        <v>8211966</v>
      </c>
      <c r="F11" s="18">
        <f>SUM(F9:F10)</f>
        <v>841052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197</v>
      </c>
      <c r="F17" s="21">
        <v>11750000</v>
      </c>
    </row>
    <row r="18" spans="1:6" ht="15.75">
      <c r="A18" s="77" t="s">
        <v>201</v>
      </c>
      <c r="F18" s="21">
        <v>0</v>
      </c>
    </row>
    <row r="19" spans="1:6" ht="15.75">
      <c r="A19" s="77" t="s">
        <v>198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199</v>
      </c>
      <c r="F30" s="74">
        <v>170607</v>
      </c>
    </row>
    <row r="31" spans="1:6" ht="15.75">
      <c r="A31" s="24" t="s">
        <v>196</v>
      </c>
      <c r="F31" s="74">
        <v>50</v>
      </c>
    </row>
    <row r="32" spans="1:6" ht="15.75">
      <c r="A32" s="77" t="s">
        <v>200</v>
      </c>
      <c r="F32" s="21">
        <f>D49</f>
        <v>184069386.93999997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+'Sept 05'!E35+E36</f>
        <v>119</v>
      </c>
      <c r="F35" s="79">
        <f>+'Sept 05'!F35+F36</f>
        <v>1438703.68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+'Sept 05'!$E$37</f>
        <v>4358</v>
      </c>
      <c r="F37" s="26">
        <f>+'Sept 05'!$F$37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((7645032+2165811.48-1598840.34)/192281346)*12</f>
        <v>0.5124992087375965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179727063.39</v>
      </c>
      <c r="E43" s="81">
        <v>2993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2016391.91</v>
      </c>
      <c r="E44" s="83">
        <v>32</v>
      </c>
      <c r="F44" s="31"/>
    </row>
    <row r="45" spans="1:9" ht="15.75">
      <c r="A45" s="32" t="s">
        <v>36</v>
      </c>
      <c r="B45" s="33"/>
      <c r="C45" s="11"/>
      <c r="D45" s="82">
        <v>677074.43</v>
      </c>
      <c r="E45" s="83">
        <v>8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828557.06+2350+48595.81+113859.02</f>
        <v>993361.8900000001</v>
      </c>
      <c r="E46" s="83">
        <v>19</v>
      </c>
      <c r="F46" s="31"/>
      <c r="G46" s="88"/>
    </row>
    <row r="47" spans="1:6" ht="15.75">
      <c r="A47" s="10" t="s">
        <v>27</v>
      </c>
      <c r="B47" s="33"/>
      <c r="C47" s="11"/>
      <c r="D47" s="82">
        <v>554385.81</v>
      </c>
      <c r="E47" s="83">
        <v>9</v>
      </c>
      <c r="F47" s="31"/>
    </row>
    <row r="48" spans="1:7" ht="15.75">
      <c r="A48" s="10" t="s">
        <v>38</v>
      </c>
      <c r="B48" s="33"/>
      <c r="C48" s="11"/>
      <c r="D48" s="82">
        <v>101109.51</v>
      </c>
      <c r="E48" s="83">
        <v>1</v>
      </c>
      <c r="F48" s="31"/>
      <c r="G48" s="88"/>
    </row>
    <row r="49" spans="1:6" ht="15.75">
      <c r="A49" s="15"/>
      <c r="B49" s="36"/>
      <c r="C49" s="16"/>
      <c r="D49" s="37">
        <f>SUM(D43:D48)</f>
        <v>184069386.93999997</v>
      </c>
      <c r="E49" s="38">
        <f>SUM(E43:E48)</f>
        <v>3062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84">
        <v>8954848.29</v>
      </c>
      <c r="E53" s="40">
        <f aca="true" t="shared" si="0" ref="E53:E63">D53/D$64</f>
        <v>0.04864930795319571</v>
      </c>
      <c r="F53" s="86">
        <v>144</v>
      </c>
      <c r="G53" s="40">
        <f aca="true" t="shared" si="1" ref="G53:G63">F53/F$64</f>
        <v>0.047028086218158065</v>
      </c>
    </row>
    <row r="54" spans="1:7" ht="15.75">
      <c r="A54" s="10" t="s">
        <v>55</v>
      </c>
      <c r="D54" s="84">
        <v>17513068.12</v>
      </c>
      <c r="E54" s="40">
        <f t="shared" si="0"/>
        <v>0.0951438390225564</v>
      </c>
      <c r="F54" s="86">
        <v>345</v>
      </c>
      <c r="G54" s="40">
        <f t="shared" si="1"/>
        <v>0.11267145656433704</v>
      </c>
    </row>
    <row r="55" spans="1:7" ht="15.75">
      <c r="A55" s="32" t="s">
        <v>67</v>
      </c>
      <c r="D55" s="84">
        <v>9659939.13</v>
      </c>
      <c r="E55" s="40">
        <f t="shared" si="0"/>
        <v>0.052479878868444296</v>
      </c>
      <c r="F55" s="86">
        <v>237</v>
      </c>
      <c r="G55" s="40">
        <f t="shared" si="1"/>
        <v>0.07740039190071848</v>
      </c>
    </row>
    <row r="56" spans="1:7" ht="15.75">
      <c r="A56" s="10" t="s">
        <v>56</v>
      </c>
      <c r="D56" s="84">
        <v>4797633.67</v>
      </c>
      <c r="E56" s="40">
        <f t="shared" si="0"/>
        <v>0.02606426712098442</v>
      </c>
      <c r="F56" s="86">
        <v>104</v>
      </c>
      <c r="G56" s="40">
        <f t="shared" si="1"/>
        <v>0.033964728935336384</v>
      </c>
    </row>
    <row r="57" spans="1:7" ht="15.75">
      <c r="A57" s="10" t="s">
        <v>57</v>
      </c>
      <c r="D57" s="84">
        <v>19205145.03</v>
      </c>
      <c r="E57" s="40">
        <f t="shared" si="0"/>
        <v>0.10433644262780205</v>
      </c>
      <c r="F57" s="86">
        <v>355</v>
      </c>
      <c r="G57" s="40">
        <f t="shared" si="1"/>
        <v>0.11593729588504245</v>
      </c>
    </row>
    <row r="58" spans="1:7" ht="15.75">
      <c r="A58" s="10" t="s">
        <v>66</v>
      </c>
      <c r="D58" s="84">
        <v>980279.5</v>
      </c>
      <c r="E58" s="40">
        <f t="shared" si="0"/>
        <v>0.0053255976797463665</v>
      </c>
      <c r="F58" s="86">
        <v>33</v>
      </c>
      <c r="G58" s="40">
        <f t="shared" si="1"/>
        <v>0.01077726975832789</v>
      </c>
    </row>
    <row r="59" spans="1:8" ht="15.75">
      <c r="A59" s="10" t="s">
        <v>58</v>
      </c>
      <c r="D59" s="84">
        <f>51687240.01+18724463.44</f>
        <v>70411703.45</v>
      </c>
      <c r="E59" s="40">
        <f t="shared" si="0"/>
        <v>0.38252804890881553</v>
      </c>
      <c r="F59" s="86">
        <f>672+177</f>
        <v>849</v>
      </c>
      <c r="G59" s="40">
        <f t="shared" si="1"/>
        <v>0.27726975832789025</v>
      </c>
      <c r="H59" s="42" t="str">
        <f>IF(E59&gt;80%,"ERROR"," ")</f>
        <v> </v>
      </c>
    </row>
    <row r="60" spans="1:7" ht="15.75">
      <c r="A60" s="10" t="s">
        <v>59</v>
      </c>
      <c r="D60" s="84">
        <v>17717879.44</v>
      </c>
      <c r="E60" s="40">
        <f t="shared" si="0"/>
        <v>0.0962565244256254</v>
      </c>
      <c r="F60" s="86">
        <v>302</v>
      </c>
      <c r="G60" s="40">
        <f t="shared" si="1"/>
        <v>0.09862834748530372</v>
      </c>
    </row>
    <row r="61" spans="1:7" ht="15.75">
      <c r="A61" s="10" t="s">
        <v>60</v>
      </c>
      <c r="D61" s="84">
        <v>4700947.39</v>
      </c>
      <c r="E61" s="40">
        <f t="shared" si="0"/>
        <v>0.025538996289113193</v>
      </c>
      <c r="F61" s="86">
        <v>84</v>
      </c>
      <c r="G61" s="40">
        <f t="shared" si="1"/>
        <v>0.027433050293925537</v>
      </c>
    </row>
    <row r="62" spans="1:7" ht="15.75">
      <c r="A62" s="10" t="s">
        <v>61</v>
      </c>
      <c r="D62" s="84">
        <v>14233779.13</v>
      </c>
      <c r="E62" s="40">
        <f t="shared" si="0"/>
        <v>0.0773283345298461</v>
      </c>
      <c r="F62" s="86">
        <v>262</v>
      </c>
      <c r="G62" s="40">
        <f t="shared" si="1"/>
        <v>0.08556499020248204</v>
      </c>
    </row>
    <row r="63" spans="1:7" ht="15.75">
      <c r="A63" s="15" t="s">
        <v>62</v>
      </c>
      <c r="B63" s="36"/>
      <c r="C63" s="36"/>
      <c r="D63" s="85">
        <v>15894163.79</v>
      </c>
      <c r="E63" s="44">
        <f t="shared" si="0"/>
        <v>0.08634876257387072</v>
      </c>
      <c r="F63" s="87">
        <v>347</v>
      </c>
      <c r="G63" s="44">
        <f t="shared" si="1"/>
        <v>0.11332462442847811</v>
      </c>
    </row>
    <row r="64" spans="1:7" ht="15.75">
      <c r="A64" s="70" t="s">
        <v>63</v>
      </c>
      <c r="B64" s="36"/>
      <c r="C64" s="36"/>
      <c r="D64" s="43">
        <f>SUM(D53:D63)</f>
        <v>184069386.93999997</v>
      </c>
      <c r="E64" s="44">
        <f>SUM(E53:E63)</f>
        <v>1.0000000000000002</v>
      </c>
      <c r="F64" s="46">
        <f>SUM(F53:F63)</f>
        <v>3062</v>
      </c>
      <c r="G64" s="44">
        <f>SUM(G53:G63)</f>
        <v>0.9999999999999999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78" r:id="rId2"/>
  <rowBreaks count="1" manualBreakCount="1">
    <brk id="4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38657</v>
      </c>
      <c r="E4" s="3"/>
    </row>
    <row r="5" spans="1:5" ht="15.75">
      <c r="A5" s="2" t="s">
        <v>15</v>
      </c>
      <c r="D5" s="73">
        <v>0.0459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137467228</v>
      </c>
      <c r="E9" s="75">
        <v>6602196</v>
      </c>
      <c r="F9" s="75">
        <v>558900</v>
      </c>
      <c r="G9" s="9">
        <f>+D9/460000000</f>
        <v>0.2988418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173284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177467228</v>
      </c>
      <c r="E11" s="18">
        <f>SUM(E9:E10)</f>
        <v>6602196</v>
      </c>
      <c r="F11" s="18">
        <f>SUM(F9:F10)</f>
        <v>732184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202</v>
      </c>
      <c r="F17" s="21">
        <v>11750000</v>
      </c>
    </row>
    <row r="18" spans="1:6" ht="15.75">
      <c r="A18" s="77" t="s">
        <v>203</v>
      </c>
      <c r="F18" s="21">
        <v>0</v>
      </c>
    </row>
    <row r="19" spans="1:6" ht="15.75">
      <c r="A19" s="77" t="s">
        <v>204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205</v>
      </c>
      <c r="F30" s="74">
        <v>139734</v>
      </c>
    </row>
    <row r="31" spans="1:6" ht="15.75">
      <c r="A31" s="24" t="s">
        <v>196</v>
      </c>
      <c r="F31" s="74">
        <v>63</v>
      </c>
    </row>
    <row r="32" spans="1:6" ht="15.75">
      <c r="A32" s="77" t="s">
        <v>206</v>
      </c>
      <c r="F32" s="21">
        <f>D49</f>
        <v>177467211.98000002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+'Oct 05'!E35+E36</f>
        <v>120</v>
      </c>
      <c r="F35" s="79">
        <f>+'Oct 05'!F35+F36</f>
        <v>1518493.68</v>
      </c>
    </row>
    <row r="36" spans="1:6" ht="15.75">
      <c r="A36" s="2" t="s">
        <v>7</v>
      </c>
      <c r="E36" s="78">
        <v>1</v>
      </c>
      <c r="F36" s="79">
        <v>79790</v>
      </c>
    </row>
    <row r="37" spans="1:6" ht="15.75">
      <c r="A37" s="2" t="s">
        <v>33</v>
      </c>
      <c r="E37" s="25">
        <f>+'Oct 05'!$E$37</f>
        <v>4358</v>
      </c>
      <c r="F37" s="26">
        <f>+'Oct 05'!$F$37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((6104324+2190513.37-1612835.24)/184069387)*12</f>
        <v>0.43561847446148116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173673970.15</v>
      </c>
      <c r="E43" s="81">
        <v>2888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1490997.84</v>
      </c>
      <c r="E44" s="83">
        <v>32</v>
      </c>
      <c r="F44" s="31"/>
    </row>
    <row r="45" spans="1:9" ht="15.75">
      <c r="A45" s="32" t="s">
        <v>36</v>
      </c>
      <c r="B45" s="33"/>
      <c r="C45" s="11"/>
      <c r="D45" s="82">
        <v>876868.75</v>
      </c>
      <c r="E45" s="83">
        <v>8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471238.01+2350+48594.33+113557.81</f>
        <v>635740.15</v>
      </c>
      <c r="E46" s="83">
        <v>14</v>
      </c>
      <c r="F46" s="31"/>
      <c r="G46" s="88"/>
    </row>
    <row r="47" spans="1:6" ht="15.75">
      <c r="A47" s="10" t="s">
        <v>27</v>
      </c>
      <c r="B47" s="33"/>
      <c r="C47" s="11"/>
      <c r="D47" s="82">
        <v>786110.09</v>
      </c>
      <c r="E47" s="83">
        <v>12</v>
      </c>
      <c r="F47" s="31"/>
    </row>
    <row r="48" spans="1:7" ht="15.75">
      <c r="A48" s="10" t="s">
        <v>38</v>
      </c>
      <c r="B48" s="33"/>
      <c r="C48" s="11"/>
      <c r="D48" s="82">
        <v>3525</v>
      </c>
      <c r="E48" s="83">
        <v>1</v>
      </c>
      <c r="F48" s="31"/>
      <c r="G48" s="88"/>
    </row>
    <row r="49" spans="1:6" ht="15.75">
      <c r="A49" s="15"/>
      <c r="B49" s="36"/>
      <c r="C49" s="16"/>
      <c r="D49" s="37">
        <f>SUM(D43:D48)</f>
        <v>177467211.98000002</v>
      </c>
      <c r="E49" s="38">
        <f>SUM(E43:E48)</f>
        <v>2955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84">
        <v>8269961.6</v>
      </c>
      <c r="E53" s="40">
        <f aca="true" t="shared" si="0" ref="E53:E63">D53/D$64</f>
        <v>0.04659994095659765</v>
      </c>
      <c r="F53" s="86">
        <v>140</v>
      </c>
      <c r="G53" s="40">
        <f aca="true" t="shared" si="1" ref="G53:G63">F53/F$64</f>
        <v>0.047377326565143825</v>
      </c>
    </row>
    <row r="54" spans="1:7" ht="15.75">
      <c r="A54" s="10" t="s">
        <v>55</v>
      </c>
      <c r="D54" s="84">
        <v>17219461.69</v>
      </c>
      <c r="E54" s="40">
        <f t="shared" si="0"/>
        <v>0.09702897508718726</v>
      </c>
      <c r="F54" s="86">
        <v>335</v>
      </c>
      <c r="G54" s="40">
        <f t="shared" si="1"/>
        <v>0.11336717428087986</v>
      </c>
    </row>
    <row r="55" spans="1:7" ht="15.75">
      <c r="A55" s="32" t="s">
        <v>67</v>
      </c>
      <c r="D55" s="84">
        <v>9562741.58</v>
      </c>
      <c r="E55" s="40">
        <f t="shared" si="0"/>
        <v>0.05388455407231895</v>
      </c>
      <c r="F55" s="86">
        <v>231</v>
      </c>
      <c r="G55" s="40">
        <f t="shared" si="1"/>
        <v>0.07817258883248732</v>
      </c>
    </row>
    <row r="56" spans="1:7" ht="15.75">
      <c r="A56" s="10" t="s">
        <v>56</v>
      </c>
      <c r="D56" s="84">
        <v>4897052.61</v>
      </c>
      <c r="E56" s="40">
        <f t="shared" si="0"/>
        <v>0.02759412600989011</v>
      </c>
      <c r="F56" s="86">
        <v>99</v>
      </c>
      <c r="G56" s="40">
        <f t="shared" si="1"/>
        <v>0.03350253807106599</v>
      </c>
    </row>
    <row r="57" spans="1:7" ht="15.75">
      <c r="A57" s="10" t="s">
        <v>57</v>
      </c>
      <c r="D57" s="84">
        <v>18576665.75</v>
      </c>
      <c r="E57" s="40">
        <f t="shared" si="0"/>
        <v>0.10467660782372312</v>
      </c>
      <c r="F57" s="86">
        <v>335</v>
      </c>
      <c r="G57" s="40">
        <f t="shared" si="1"/>
        <v>0.11336717428087986</v>
      </c>
    </row>
    <row r="58" spans="1:7" ht="15.75">
      <c r="A58" s="10" t="s">
        <v>66</v>
      </c>
      <c r="D58" s="84">
        <v>806475.39</v>
      </c>
      <c r="E58" s="40">
        <f t="shared" si="0"/>
        <v>0.004544362764265926</v>
      </c>
      <c r="F58" s="86">
        <v>30</v>
      </c>
      <c r="G58" s="40">
        <f t="shared" si="1"/>
        <v>0.01015228426395939</v>
      </c>
    </row>
    <row r="59" spans="1:8" ht="15.75">
      <c r="A59" s="10" t="s">
        <v>58</v>
      </c>
      <c r="D59" s="84">
        <f>49502448.68+17607450.57</f>
        <v>67109899.25</v>
      </c>
      <c r="E59" s="40">
        <f t="shared" si="0"/>
        <v>0.3781537924738631</v>
      </c>
      <c r="F59" s="86">
        <f>654+170</f>
        <v>824</v>
      </c>
      <c r="G59" s="40">
        <f t="shared" si="1"/>
        <v>0.27884940778341794</v>
      </c>
      <c r="H59" s="42" t="str">
        <f>IF(E59&gt;80%,"ERROR"," ")</f>
        <v> </v>
      </c>
    </row>
    <row r="60" spans="1:7" ht="15.75">
      <c r="A60" s="10" t="s">
        <v>59</v>
      </c>
      <c r="D60" s="84">
        <v>17311527.06</v>
      </c>
      <c r="E60" s="40">
        <f t="shared" si="0"/>
        <v>0.09754774905660293</v>
      </c>
      <c r="F60" s="86">
        <v>292</v>
      </c>
      <c r="G60" s="40">
        <f t="shared" si="1"/>
        <v>0.09881556683587141</v>
      </c>
    </row>
    <row r="61" spans="1:7" ht="15.75">
      <c r="A61" s="10" t="s">
        <v>60</v>
      </c>
      <c r="D61" s="84">
        <v>4517533.18</v>
      </c>
      <c r="E61" s="40">
        <f t="shared" si="0"/>
        <v>0.025455593343682612</v>
      </c>
      <c r="F61" s="86">
        <v>82</v>
      </c>
      <c r="G61" s="40">
        <f t="shared" si="1"/>
        <v>0.02774957698815567</v>
      </c>
    </row>
    <row r="62" spans="1:7" ht="15.75">
      <c r="A62" s="10" t="s">
        <v>61</v>
      </c>
      <c r="D62" s="84">
        <v>13961072.61</v>
      </c>
      <c r="E62" s="40">
        <f t="shared" si="0"/>
        <v>0.07866846193297591</v>
      </c>
      <c r="F62" s="86">
        <v>256</v>
      </c>
      <c r="G62" s="40">
        <f t="shared" si="1"/>
        <v>0.08663282571912014</v>
      </c>
    </row>
    <row r="63" spans="1:7" ht="15.75">
      <c r="A63" s="15" t="s">
        <v>62</v>
      </c>
      <c r="B63" s="36"/>
      <c r="C63" s="36"/>
      <c r="D63" s="85">
        <v>15234821.26</v>
      </c>
      <c r="E63" s="44">
        <f t="shared" si="0"/>
        <v>0.08584583647889231</v>
      </c>
      <c r="F63" s="87">
        <v>331</v>
      </c>
      <c r="G63" s="44">
        <f t="shared" si="1"/>
        <v>0.11201353637901862</v>
      </c>
    </row>
    <row r="64" spans="1:7" ht="15.75">
      <c r="A64" s="70" t="s">
        <v>63</v>
      </c>
      <c r="B64" s="36"/>
      <c r="C64" s="36"/>
      <c r="D64" s="43">
        <f>SUM(D53:D63)</f>
        <v>177467211.98000002</v>
      </c>
      <c r="E64" s="44">
        <f>SUM(E53:E63)</f>
        <v>1</v>
      </c>
      <c r="F64" s="46">
        <f>SUM(F53:F63)</f>
        <v>2955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78" r:id="rId2"/>
  <rowBreaks count="1" manualBreakCount="1">
    <brk id="4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38687</v>
      </c>
      <c r="E4" s="3"/>
    </row>
    <row r="5" spans="1:5" ht="15.75">
      <c r="A5" s="2" t="s">
        <v>15</v>
      </c>
      <c r="D5" s="73">
        <v>0.04585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129041270</v>
      </c>
      <c r="E9" s="75">
        <v>8425958</v>
      </c>
      <c r="F9" s="75">
        <v>550252</v>
      </c>
      <c r="G9" s="9">
        <f>+D9/460000000</f>
        <v>0.2805245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178848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169041270</v>
      </c>
      <c r="E11" s="18">
        <f>SUM(E9:E10)</f>
        <v>8425958</v>
      </c>
      <c r="F11" s="18">
        <f>SUM(F9:F10)</f>
        <v>729100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207</v>
      </c>
      <c r="F17" s="21">
        <v>11750000</v>
      </c>
    </row>
    <row r="18" spans="1:6" ht="15.75">
      <c r="A18" s="77" t="s">
        <v>208</v>
      </c>
      <c r="F18" s="21">
        <v>0</v>
      </c>
    </row>
    <row r="19" spans="1:6" ht="15.75">
      <c r="A19" s="77" t="s">
        <v>209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210</v>
      </c>
      <c r="F30" s="74">
        <v>149252</v>
      </c>
    </row>
    <row r="31" spans="1:6" ht="15.75">
      <c r="A31" s="24" t="s">
        <v>196</v>
      </c>
      <c r="F31" s="74">
        <v>51</v>
      </c>
    </row>
    <row r="32" spans="1:6" ht="15.75">
      <c r="A32" s="77" t="s">
        <v>211</v>
      </c>
      <c r="F32" s="21">
        <f>D49</f>
        <v>169041225.78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+'Nov 05'!E35+E36</f>
        <v>120</v>
      </c>
      <c r="F35" s="79">
        <f>+'Nov 05'!F35+F36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+'Oct 05'!$E$37</f>
        <v>4358</v>
      </c>
      <c r="F37" s="26">
        <f>+'Oct 05'!$F$37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((7788522+2089492.16-1452011.52)/177467212)*12</f>
        <v>0.5697504938546056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165097986.15</v>
      </c>
      <c r="E43" s="81">
        <v>2793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2051067.64</v>
      </c>
      <c r="E44" s="83">
        <v>34</v>
      </c>
      <c r="F44" s="31"/>
    </row>
    <row r="45" spans="1:9" ht="15.75">
      <c r="A45" s="32" t="s">
        <v>36</v>
      </c>
      <c r="B45" s="33"/>
      <c r="C45" s="11"/>
      <c r="D45" s="82">
        <v>686067.73</v>
      </c>
      <c r="E45" s="83">
        <v>7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359478.76+2350+113850.95</f>
        <v>475679.71</v>
      </c>
      <c r="E46" s="83">
        <f>8+1+4</f>
        <v>13</v>
      </c>
      <c r="F46" s="31"/>
      <c r="G46" s="88"/>
    </row>
    <row r="47" spans="1:6" ht="15.75">
      <c r="A47" s="10" t="s">
        <v>27</v>
      </c>
      <c r="B47" s="33"/>
      <c r="C47" s="11"/>
      <c r="D47" s="82">
        <v>726899.55</v>
      </c>
      <c r="E47" s="83">
        <v>11</v>
      </c>
      <c r="F47" s="31"/>
    </row>
    <row r="48" spans="1:7" ht="15.75">
      <c r="A48" s="10" t="s">
        <v>38</v>
      </c>
      <c r="B48" s="33"/>
      <c r="C48" s="11"/>
      <c r="D48" s="82">
        <v>3525</v>
      </c>
      <c r="E48" s="83">
        <v>1</v>
      </c>
      <c r="F48" s="31"/>
      <c r="G48" s="88"/>
    </row>
    <row r="49" spans="1:6" ht="15.75">
      <c r="A49" s="15"/>
      <c r="B49" s="36"/>
      <c r="C49" s="16"/>
      <c r="D49" s="37">
        <f>SUM(D43:D48)</f>
        <v>169041225.78</v>
      </c>
      <c r="E49" s="38">
        <f>SUM(E43:E48)</f>
        <v>2859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84">
        <v>8055841.83</v>
      </c>
      <c r="E53" s="40">
        <f aca="true" t="shared" si="0" ref="E53:E63">D53/D$64</f>
        <v>0.04765607793500231</v>
      </c>
      <c r="F53" s="86">
        <v>132</v>
      </c>
      <c r="G53" s="40">
        <f aca="true" t="shared" si="1" ref="G53:G63">F53/F$64</f>
        <v>0.046169989506820566</v>
      </c>
    </row>
    <row r="54" spans="1:7" ht="15.75">
      <c r="A54" s="10" t="s">
        <v>55</v>
      </c>
      <c r="D54" s="84">
        <v>16417165.58</v>
      </c>
      <c r="E54" s="40">
        <f t="shared" si="0"/>
        <v>0.0971193003614766</v>
      </c>
      <c r="F54" s="86">
        <v>323</v>
      </c>
      <c r="G54" s="40">
        <f t="shared" si="1"/>
        <v>0.11297656523259882</v>
      </c>
    </row>
    <row r="55" spans="1:7" ht="15.75">
      <c r="A55" s="32" t="s">
        <v>67</v>
      </c>
      <c r="D55" s="84">
        <v>9125977.94</v>
      </c>
      <c r="E55" s="40">
        <f t="shared" si="0"/>
        <v>0.05398669997741897</v>
      </c>
      <c r="F55" s="86">
        <v>225</v>
      </c>
      <c r="G55" s="40">
        <f t="shared" si="1"/>
        <v>0.07869884575026233</v>
      </c>
    </row>
    <row r="56" spans="1:7" ht="15.75">
      <c r="A56" s="10" t="s">
        <v>56</v>
      </c>
      <c r="D56" s="84">
        <v>4634526.36</v>
      </c>
      <c r="E56" s="40">
        <f t="shared" si="0"/>
        <v>0.02741654492041865</v>
      </c>
      <c r="F56" s="86">
        <v>97</v>
      </c>
      <c r="G56" s="40">
        <f t="shared" si="1"/>
        <v>0.033927946834557535</v>
      </c>
    </row>
    <row r="57" spans="1:7" ht="15.75">
      <c r="A57" s="10" t="s">
        <v>57</v>
      </c>
      <c r="D57" s="84">
        <v>17736824.09</v>
      </c>
      <c r="E57" s="40">
        <f t="shared" si="0"/>
        <v>0.10492602622915033</v>
      </c>
      <c r="F57" s="86">
        <v>325</v>
      </c>
      <c r="G57" s="40">
        <f t="shared" si="1"/>
        <v>0.1136761105281567</v>
      </c>
    </row>
    <row r="58" spans="1:7" ht="15.75">
      <c r="A58" s="10" t="s">
        <v>66</v>
      </c>
      <c r="D58" s="84">
        <v>828054.23</v>
      </c>
      <c r="E58" s="40">
        <f t="shared" si="0"/>
        <v>0.004898534225477503</v>
      </c>
      <c r="F58" s="86">
        <v>29</v>
      </c>
      <c r="G58" s="40">
        <f t="shared" si="1"/>
        <v>0.010143406785589367</v>
      </c>
    </row>
    <row r="59" spans="1:8" ht="15.75">
      <c r="A59" s="10" t="s">
        <v>58</v>
      </c>
      <c r="D59" s="84">
        <f>47242800.12+16421445.34</f>
        <v>63664245.45999999</v>
      </c>
      <c r="E59" s="40">
        <f t="shared" si="0"/>
        <v>0.3766196391811328</v>
      </c>
      <c r="F59" s="86">
        <f>628+165</f>
        <v>793</v>
      </c>
      <c r="G59" s="40">
        <f t="shared" si="1"/>
        <v>0.27736970968870234</v>
      </c>
      <c r="H59" s="42" t="str">
        <f>IF(E59&gt;80%,"ERROR"," ")</f>
        <v> </v>
      </c>
    </row>
    <row r="60" spans="1:7" ht="15.75">
      <c r="A60" s="10" t="s">
        <v>59</v>
      </c>
      <c r="D60" s="84">
        <v>16081691.92</v>
      </c>
      <c r="E60" s="40">
        <f t="shared" si="0"/>
        <v>0.09513473323323887</v>
      </c>
      <c r="F60" s="86">
        <v>282</v>
      </c>
      <c r="G60" s="40">
        <f t="shared" si="1"/>
        <v>0.09863588667366212</v>
      </c>
    </row>
    <row r="61" spans="1:7" ht="15.75">
      <c r="A61" s="10" t="s">
        <v>60</v>
      </c>
      <c r="D61" s="84">
        <v>4123200.15</v>
      </c>
      <c r="E61" s="40">
        <f t="shared" si="0"/>
        <v>0.024391683927837644</v>
      </c>
      <c r="F61" s="86">
        <v>77</v>
      </c>
      <c r="G61" s="40">
        <f t="shared" si="1"/>
        <v>0.026932493878978662</v>
      </c>
    </row>
    <row r="62" spans="1:7" ht="15.75">
      <c r="A62" s="10" t="s">
        <v>61</v>
      </c>
      <c r="D62" s="84">
        <v>13469616.9</v>
      </c>
      <c r="E62" s="40">
        <f t="shared" si="0"/>
        <v>0.0796824374518565</v>
      </c>
      <c r="F62" s="86">
        <v>249</v>
      </c>
      <c r="G62" s="40">
        <f t="shared" si="1"/>
        <v>0.08709338929695698</v>
      </c>
    </row>
    <row r="63" spans="1:7" ht="15.75">
      <c r="A63" s="15" t="s">
        <v>62</v>
      </c>
      <c r="B63" s="36"/>
      <c r="C63" s="36"/>
      <c r="D63" s="85">
        <v>14904081.32</v>
      </c>
      <c r="E63" s="44">
        <f t="shared" si="0"/>
        <v>0.08816832255698993</v>
      </c>
      <c r="F63" s="87">
        <v>327</v>
      </c>
      <c r="G63" s="44">
        <f t="shared" si="1"/>
        <v>0.11437565582371459</v>
      </c>
    </row>
    <row r="64" spans="1:7" ht="15.75">
      <c r="A64" s="70" t="s">
        <v>63</v>
      </c>
      <c r="B64" s="36"/>
      <c r="C64" s="36"/>
      <c r="D64" s="43">
        <f>SUM(D53:D63)</f>
        <v>169041225.77999997</v>
      </c>
      <c r="E64" s="44">
        <f>SUM(E53:E63)</f>
        <v>1</v>
      </c>
      <c r="F64" s="46">
        <f>SUM(F53:F63)</f>
        <v>2859</v>
      </c>
      <c r="G64" s="44">
        <f>SUM(G53:G63)</f>
        <v>0.9999999999999999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78" r:id="rId2"/>
  <rowBreaks count="1" manualBreakCount="1">
    <brk id="50" max="7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38720</v>
      </c>
      <c r="E4" s="3"/>
    </row>
    <row r="5" spans="1:5" ht="15.75">
      <c r="A5" s="2" t="s">
        <v>15</v>
      </c>
      <c r="D5" s="73">
        <v>0.046475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119902588</v>
      </c>
      <c r="E9" s="75">
        <v>9138682</v>
      </c>
      <c r="F9" s="75">
        <v>567594</v>
      </c>
      <c r="G9" s="9">
        <f>+D9/460000000</f>
        <v>0.2606578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196552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159902588</v>
      </c>
      <c r="E11" s="18">
        <f>SUM(E9:E10)</f>
        <v>9138682</v>
      </c>
      <c r="F11" s="18">
        <f>SUM(F9:F10)</f>
        <v>764146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212</v>
      </c>
      <c r="F17" s="21">
        <v>11750000</v>
      </c>
    </row>
    <row r="18" spans="1:6" ht="15.75">
      <c r="A18" s="77" t="s">
        <v>213</v>
      </c>
      <c r="F18" s="21">
        <v>0</v>
      </c>
    </row>
    <row r="19" spans="1:6" ht="15.75">
      <c r="A19" s="77" t="s">
        <v>214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215</v>
      </c>
      <c r="F30" s="74">
        <v>115750</v>
      </c>
    </row>
    <row r="31" spans="1:6" ht="15.75">
      <c r="A31" s="24" t="s">
        <v>196</v>
      </c>
      <c r="F31" s="74">
        <v>53</v>
      </c>
    </row>
    <row r="32" spans="1:6" ht="15.75">
      <c r="A32" s="77" t="s">
        <v>216</v>
      </c>
      <c r="F32" s="21">
        <f>D49</f>
        <v>159902591.35999998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+'Dec 05'!E35+E36</f>
        <v>120</v>
      </c>
      <c r="F35" s="79">
        <f>+'Dec 05'!F35+F36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+'Dec 05'!$E$37</f>
        <v>4358</v>
      </c>
      <c r="F37" s="26">
        <f>+'Dec 05'!$F$37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((7865512+2597338.38-1324172.06)/169041226)*12</f>
        <v>0.6487419810833599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155930084.56</v>
      </c>
      <c r="E43" s="81">
        <v>2732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2338650.93</v>
      </c>
      <c r="E44" s="83">
        <v>33</v>
      </c>
      <c r="F44" s="31"/>
    </row>
    <row r="45" spans="1:9" ht="15.75">
      <c r="A45" s="32" t="s">
        <v>36</v>
      </c>
      <c r="B45" s="33"/>
      <c r="C45" s="11"/>
      <c r="D45" s="82">
        <v>724266.47</v>
      </c>
      <c r="E45" s="83">
        <v>8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168168.85+43055.07+3067.81+113701.28</f>
        <v>327993.01</v>
      </c>
      <c r="E46" s="83">
        <f>6+3+1+3</f>
        <v>13</v>
      </c>
      <c r="F46" s="31"/>
      <c r="G46" s="88"/>
    </row>
    <row r="47" spans="1:6" ht="15.75">
      <c r="A47" s="10" t="s">
        <v>27</v>
      </c>
      <c r="B47" s="33"/>
      <c r="C47" s="11"/>
      <c r="D47" s="82">
        <v>581596.39</v>
      </c>
      <c r="E47" s="83">
        <v>9</v>
      </c>
      <c r="F47" s="31"/>
    </row>
    <row r="48" spans="1:7" ht="15.75">
      <c r="A48" s="10" t="s">
        <v>38</v>
      </c>
      <c r="B48" s="33"/>
      <c r="C48" s="11"/>
      <c r="D48" s="82">
        <v>0</v>
      </c>
      <c r="E48" s="83">
        <v>0</v>
      </c>
      <c r="F48" s="31"/>
      <c r="G48" s="88"/>
    </row>
    <row r="49" spans="1:6" ht="15.75">
      <c r="A49" s="15"/>
      <c r="B49" s="36"/>
      <c r="C49" s="16"/>
      <c r="D49" s="37">
        <f>SUM(D43:D48)</f>
        <v>159902591.35999998</v>
      </c>
      <c r="E49" s="38">
        <f>SUM(E43:E48)</f>
        <v>2795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84">
        <v>7679315.96</v>
      </c>
      <c r="E53" s="40">
        <f aca="true" t="shared" si="0" ref="E53:E63">D53/D$64</f>
        <v>0.048024962539293774</v>
      </c>
      <c r="F53" s="86">
        <v>129</v>
      </c>
      <c r="G53" s="40">
        <f aca="true" t="shared" si="1" ref="G53:G63">F53/F$64</f>
        <v>0.046153846153846156</v>
      </c>
    </row>
    <row r="54" spans="1:7" ht="15.75">
      <c r="A54" s="10" t="s">
        <v>55</v>
      </c>
      <c r="D54" s="84">
        <v>15691084.6</v>
      </c>
      <c r="E54" s="40">
        <f t="shared" si="0"/>
        <v>0.09812902008994685</v>
      </c>
      <c r="F54" s="86">
        <v>319</v>
      </c>
      <c r="G54" s="40">
        <f t="shared" si="1"/>
        <v>0.11413237924865832</v>
      </c>
    </row>
    <row r="55" spans="1:7" ht="15.75">
      <c r="A55" s="32" t="s">
        <v>67</v>
      </c>
      <c r="D55" s="84">
        <v>8366079.34</v>
      </c>
      <c r="E55" s="40">
        <f t="shared" si="0"/>
        <v>0.052319848407990185</v>
      </c>
      <c r="F55" s="86">
        <v>217</v>
      </c>
      <c r="G55" s="40">
        <f t="shared" si="1"/>
        <v>0.0776386404293381</v>
      </c>
    </row>
    <row r="56" spans="1:7" ht="15.75">
      <c r="A56" s="10" t="s">
        <v>56</v>
      </c>
      <c r="D56" s="84">
        <v>4400636.84</v>
      </c>
      <c r="E56" s="40">
        <f t="shared" si="0"/>
        <v>0.02752073498354092</v>
      </c>
      <c r="F56" s="86">
        <v>92</v>
      </c>
      <c r="G56" s="40">
        <f t="shared" si="1"/>
        <v>0.032915921288014315</v>
      </c>
    </row>
    <row r="57" spans="1:7" ht="15.75">
      <c r="A57" s="10" t="s">
        <v>57</v>
      </c>
      <c r="D57" s="84">
        <v>17087945.18</v>
      </c>
      <c r="E57" s="40">
        <f t="shared" si="0"/>
        <v>0.10686471704219416</v>
      </c>
      <c r="F57" s="86">
        <v>317</v>
      </c>
      <c r="G57" s="40">
        <f t="shared" si="1"/>
        <v>0.11341681574239713</v>
      </c>
    </row>
    <row r="58" spans="1:7" ht="15.75">
      <c r="A58" s="10" t="s">
        <v>66</v>
      </c>
      <c r="D58" s="84">
        <v>797338.75</v>
      </c>
      <c r="E58" s="40">
        <f t="shared" si="0"/>
        <v>0.004986402929549122</v>
      </c>
      <c r="F58" s="86">
        <v>29</v>
      </c>
      <c r="G58" s="40">
        <f t="shared" si="1"/>
        <v>0.01037567084078712</v>
      </c>
    </row>
    <row r="59" spans="1:8" ht="15.75">
      <c r="A59" s="10" t="s">
        <v>58</v>
      </c>
      <c r="D59" s="84">
        <f>43851606.67+15658331.98</f>
        <v>59509938.650000006</v>
      </c>
      <c r="E59" s="40">
        <f t="shared" si="0"/>
        <v>0.3721636913064222</v>
      </c>
      <c r="F59" s="86">
        <f>613+165</f>
        <v>778</v>
      </c>
      <c r="G59" s="40">
        <f t="shared" si="1"/>
        <v>0.2783542039355993</v>
      </c>
      <c r="H59" s="42" t="str">
        <f>IF(E59&gt;80%,"ERROR"," ")</f>
        <v> </v>
      </c>
    </row>
    <row r="60" spans="1:7" ht="15.75">
      <c r="A60" s="10" t="s">
        <v>59</v>
      </c>
      <c r="D60" s="84">
        <v>15305853.97</v>
      </c>
      <c r="E60" s="40">
        <f t="shared" si="0"/>
        <v>0.095719861947333</v>
      </c>
      <c r="F60" s="86">
        <v>273</v>
      </c>
      <c r="G60" s="40">
        <f t="shared" si="1"/>
        <v>0.09767441860465116</v>
      </c>
    </row>
    <row r="61" spans="1:7" ht="15.75">
      <c r="A61" s="10" t="s">
        <v>60</v>
      </c>
      <c r="D61" s="84">
        <v>3942589.05</v>
      </c>
      <c r="E61" s="40">
        <f t="shared" si="0"/>
        <v>0.024656192351028075</v>
      </c>
      <c r="F61" s="86">
        <v>75</v>
      </c>
      <c r="G61" s="40">
        <f t="shared" si="1"/>
        <v>0.026833631484794274</v>
      </c>
    </row>
    <row r="62" spans="1:7" ht="15.75">
      <c r="A62" s="10" t="s">
        <v>61</v>
      </c>
      <c r="D62" s="84">
        <v>12769182.76</v>
      </c>
      <c r="E62" s="40">
        <f t="shared" si="0"/>
        <v>0.07985600890764702</v>
      </c>
      <c r="F62" s="86">
        <v>244</v>
      </c>
      <c r="G62" s="40">
        <f t="shared" si="1"/>
        <v>0.08729874776386404</v>
      </c>
    </row>
    <row r="63" spans="1:7" ht="15.75">
      <c r="A63" s="15" t="s">
        <v>62</v>
      </c>
      <c r="B63" s="36"/>
      <c r="C63" s="36"/>
      <c r="D63" s="85">
        <v>14352626.26</v>
      </c>
      <c r="E63" s="44">
        <f t="shared" si="0"/>
        <v>0.08975855949505483</v>
      </c>
      <c r="F63" s="87">
        <v>322</v>
      </c>
      <c r="G63" s="44">
        <f t="shared" si="1"/>
        <v>0.11520572450805008</v>
      </c>
    </row>
    <row r="64" spans="1:7" ht="15.75">
      <c r="A64" s="70" t="s">
        <v>63</v>
      </c>
      <c r="B64" s="36"/>
      <c r="C64" s="36"/>
      <c r="D64" s="43">
        <f>SUM(D53:D63)</f>
        <v>159902591.35999998</v>
      </c>
      <c r="E64" s="44">
        <f>SUM(E53:E63)</f>
        <v>1</v>
      </c>
      <c r="F64" s="46">
        <f>SUM(F53:F63)</f>
        <v>2795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5" right="0.75" top="1" bottom="1" header="0.5" footer="0.5"/>
  <pageSetup horizontalDpi="600" verticalDpi="600" orientation="portrait" paperSize="9" scale="78" r:id="rId2"/>
  <rowBreaks count="1" manualBreakCount="1">
    <brk id="50" max="6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38749</v>
      </c>
      <c r="E4" s="3"/>
    </row>
    <row r="5" spans="1:5" ht="15.75">
      <c r="A5" s="2" t="s">
        <v>15</v>
      </c>
      <c r="D5" s="73">
        <v>0.04585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113544744</v>
      </c>
      <c r="E9" s="75">
        <v>6357844</v>
      </c>
      <c r="F9" s="75">
        <v>469430</v>
      </c>
      <c r="G9" s="9">
        <f>+D9/460000000</f>
        <v>0.2468364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174716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153544744</v>
      </c>
      <c r="E11" s="18">
        <f>SUM(E9:E10)</f>
        <v>6357844</v>
      </c>
      <c r="F11" s="18">
        <f>SUM(F9:F10)</f>
        <v>644146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217</v>
      </c>
      <c r="F17" s="21">
        <v>11750000</v>
      </c>
    </row>
    <row r="18" spans="1:6" ht="15.75">
      <c r="A18" s="77" t="s">
        <v>218</v>
      </c>
      <c r="F18" s="21">
        <v>0</v>
      </c>
    </row>
    <row r="19" spans="1:6" ht="15.75">
      <c r="A19" s="77" t="s">
        <v>219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220</v>
      </c>
      <c r="F30" s="74">
        <v>108814</v>
      </c>
    </row>
    <row r="31" spans="1:6" ht="15.75">
      <c r="A31" s="24" t="s">
        <v>196</v>
      </c>
      <c r="F31" s="74">
        <v>119</v>
      </c>
    </row>
    <row r="32" spans="1:6" ht="15.75">
      <c r="A32" s="77" t="s">
        <v>221</v>
      </c>
      <c r="F32" s="21">
        <f>D50</f>
        <v>153544727.14999998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+'Jan 06'!E35+E36</f>
        <v>120</v>
      </c>
      <c r="F35" s="79">
        <f>+'Jan 06'!F35+F36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+'Jan 06'!$E$37</f>
        <v>4358</v>
      </c>
      <c r="F37" s="26">
        <f>+'Jan 06'!$F$37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((5529269+2216917.74-1388326.29)/159902561)*12</f>
        <v>0.4771301030006643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150323269.14</v>
      </c>
      <c r="E43" s="81">
        <v>2651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1836760.14</v>
      </c>
      <c r="E44" s="83">
        <v>30</v>
      </c>
      <c r="F44" s="31"/>
    </row>
    <row r="45" spans="1:9" ht="15.75">
      <c r="A45" s="32" t="s">
        <v>36</v>
      </c>
      <c r="B45" s="33"/>
      <c r="C45" s="11"/>
      <c r="D45" s="82">
        <v>556665.58</v>
      </c>
      <c r="E45" s="83">
        <v>8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141474.55+94797.23+74.93+8891.86+113773.67</f>
        <v>359012.23999999993</v>
      </c>
      <c r="E46" s="83">
        <f>6+3+1+1+3</f>
        <v>14</v>
      </c>
      <c r="F46" s="31"/>
      <c r="G46" s="88"/>
    </row>
    <row r="47" spans="1:6" ht="15.75">
      <c r="A47" s="10" t="s">
        <v>27</v>
      </c>
      <c r="B47" s="33"/>
      <c r="C47" s="11"/>
      <c r="D47" s="82">
        <v>468933.1</v>
      </c>
      <c r="E47" s="83">
        <v>8</v>
      </c>
      <c r="F47" s="31"/>
    </row>
    <row r="48" spans="1:6" ht="15.75">
      <c r="A48" s="10" t="s">
        <v>38</v>
      </c>
      <c r="B48" s="33"/>
      <c r="C48" s="11"/>
      <c r="D48" s="82">
        <v>0</v>
      </c>
      <c r="E48" s="83">
        <v>0</v>
      </c>
      <c r="F48" s="31"/>
    </row>
    <row r="49" spans="1:7" ht="15.75">
      <c r="A49" s="10" t="s">
        <v>222</v>
      </c>
      <c r="B49" s="33"/>
      <c r="C49" s="11"/>
      <c r="D49" s="82">
        <v>86.95</v>
      </c>
      <c r="E49" s="83">
        <v>1</v>
      </c>
      <c r="F49" s="31"/>
      <c r="G49" s="88"/>
    </row>
    <row r="50" spans="1:6" ht="15.75">
      <c r="A50" s="15"/>
      <c r="B50" s="36"/>
      <c r="C50" s="16"/>
      <c r="D50" s="37">
        <f>SUM(D43:D49)</f>
        <v>153544727.14999998</v>
      </c>
      <c r="E50" s="38">
        <f>SUM(E43:E49)</f>
        <v>2712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84">
        <v>7517773.28</v>
      </c>
      <c r="E54" s="40">
        <f aca="true" t="shared" si="0" ref="E54:E64">D54/D$65</f>
        <v>0.04896145520292455</v>
      </c>
      <c r="F54" s="86">
        <v>126</v>
      </c>
      <c r="G54" s="40">
        <f aca="true" t="shared" si="1" ref="G54:G64">F54/F$65</f>
        <v>0.046460176991150445</v>
      </c>
    </row>
    <row r="55" spans="1:7" ht="15.75">
      <c r="A55" s="10" t="s">
        <v>55</v>
      </c>
      <c r="D55" s="84">
        <v>15308895.52</v>
      </c>
      <c r="E55" s="40">
        <f t="shared" si="0"/>
        <v>0.09970316665478536</v>
      </c>
      <c r="F55" s="86">
        <v>312</v>
      </c>
      <c r="G55" s="40">
        <f t="shared" si="1"/>
        <v>0.11504424778761062</v>
      </c>
    </row>
    <row r="56" spans="1:7" ht="15.75">
      <c r="A56" s="32" t="s">
        <v>67</v>
      </c>
      <c r="D56" s="84">
        <v>8162999.28</v>
      </c>
      <c r="E56" s="40">
        <f t="shared" si="0"/>
        <v>0.0531636574665664</v>
      </c>
      <c r="F56" s="86">
        <v>211</v>
      </c>
      <c r="G56" s="40">
        <f t="shared" si="1"/>
        <v>0.0778023598820059</v>
      </c>
    </row>
    <row r="57" spans="1:7" ht="15.75">
      <c r="A57" s="10" t="s">
        <v>56</v>
      </c>
      <c r="D57" s="84">
        <v>4431993.84</v>
      </c>
      <c r="E57" s="40">
        <f t="shared" si="0"/>
        <v>0.028864513436989092</v>
      </c>
      <c r="F57" s="86">
        <v>90</v>
      </c>
      <c r="G57" s="40">
        <f t="shared" si="1"/>
        <v>0.033185840707964605</v>
      </c>
    </row>
    <row r="58" spans="1:7" ht="15.75">
      <c r="A58" s="10" t="s">
        <v>57</v>
      </c>
      <c r="D58" s="84">
        <v>16118283.57</v>
      </c>
      <c r="E58" s="40">
        <f t="shared" si="0"/>
        <v>0.10497451699695176</v>
      </c>
      <c r="F58" s="86">
        <v>308</v>
      </c>
      <c r="G58" s="40">
        <f t="shared" si="1"/>
        <v>0.11356932153392331</v>
      </c>
    </row>
    <row r="59" spans="1:7" ht="15.75">
      <c r="A59" s="10" t="s">
        <v>66</v>
      </c>
      <c r="D59" s="84">
        <v>744504.2</v>
      </c>
      <c r="E59" s="40">
        <f t="shared" si="0"/>
        <v>0.004848777381151507</v>
      </c>
      <c r="F59" s="86">
        <v>28</v>
      </c>
      <c r="G59" s="40">
        <f t="shared" si="1"/>
        <v>0.01032448377581121</v>
      </c>
    </row>
    <row r="60" spans="1:8" ht="15.75">
      <c r="A60" s="10" t="s">
        <v>58</v>
      </c>
      <c r="D60" s="84">
        <f>41449154.24+14870842.81</f>
        <v>56319997.050000004</v>
      </c>
      <c r="E60" s="40">
        <f t="shared" si="0"/>
        <v>0.3667986396887481</v>
      </c>
      <c r="F60" s="86">
        <f>593+157</f>
        <v>750</v>
      </c>
      <c r="G60" s="40">
        <f t="shared" si="1"/>
        <v>0.27654867256637167</v>
      </c>
      <c r="H60" s="42" t="str">
        <f>IF(E60&gt;80%,"ERROR"," ")</f>
        <v> </v>
      </c>
    </row>
    <row r="61" spans="1:7" ht="15.75">
      <c r="A61" s="10" t="s">
        <v>59</v>
      </c>
      <c r="D61" s="84">
        <v>15070753.5</v>
      </c>
      <c r="E61" s="40">
        <f t="shared" si="0"/>
        <v>0.0981522047662188</v>
      </c>
      <c r="F61" s="86">
        <v>266</v>
      </c>
      <c r="G61" s="40">
        <f t="shared" si="1"/>
        <v>0.09808259587020648</v>
      </c>
    </row>
    <row r="62" spans="1:7" ht="15.75">
      <c r="A62" s="10" t="s">
        <v>60</v>
      </c>
      <c r="D62" s="84">
        <v>3796641.12</v>
      </c>
      <c r="E62" s="40">
        <f t="shared" si="0"/>
        <v>0.024726613479152608</v>
      </c>
      <c r="F62" s="86">
        <v>72</v>
      </c>
      <c r="G62" s="40">
        <f t="shared" si="1"/>
        <v>0.02654867256637168</v>
      </c>
    </row>
    <row r="63" spans="1:7" ht="15.75">
      <c r="A63" s="10" t="s">
        <v>61</v>
      </c>
      <c r="D63" s="84">
        <v>12317825.74</v>
      </c>
      <c r="E63" s="40">
        <f t="shared" si="0"/>
        <v>0.0802230462005155</v>
      </c>
      <c r="F63" s="86">
        <v>234</v>
      </c>
      <c r="G63" s="40">
        <f t="shared" si="1"/>
        <v>0.08628318584070796</v>
      </c>
    </row>
    <row r="64" spans="1:7" ht="15.75">
      <c r="A64" s="15" t="s">
        <v>62</v>
      </c>
      <c r="B64" s="36"/>
      <c r="C64" s="36"/>
      <c r="D64" s="85">
        <v>13755060.05</v>
      </c>
      <c r="E64" s="44">
        <f t="shared" si="0"/>
        <v>0.08958340872599609</v>
      </c>
      <c r="F64" s="87">
        <v>315</v>
      </c>
      <c r="G64" s="44">
        <f t="shared" si="1"/>
        <v>0.1161504424778761</v>
      </c>
    </row>
    <row r="65" spans="1:7" ht="15.75">
      <c r="A65" s="70" t="s">
        <v>63</v>
      </c>
      <c r="B65" s="36"/>
      <c r="C65" s="36"/>
      <c r="D65" s="43">
        <f>SUM(D54:D64)</f>
        <v>153544727.15000004</v>
      </c>
      <c r="E65" s="44">
        <f>SUM(E54:E64)</f>
        <v>0.9999999999999998</v>
      </c>
      <c r="F65" s="46">
        <f>SUM(F54:F64)</f>
        <v>2712</v>
      </c>
      <c r="G65" s="44">
        <f>SUM(G54:G64)</f>
        <v>1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69</v>
      </c>
    </row>
  </sheetData>
  <printOptions/>
  <pageMargins left="0.75" right="0.75" top="1" bottom="1" header="0.5" footer="0.5"/>
  <pageSetup horizontalDpi="600" verticalDpi="600" orientation="portrait" paperSize="9" scale="86" r:id="rId2"/>
  <rowBreaks count="1" manualBreakCount="1">
    <brk id="5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37956</v>
      </c>
      <c r="E4" s="3"/>
    </row>
    <row r="5" spans="1:5" ht="15.75">
      <c r="A5" s="2" t="s">
        <v>15</v>
      </c>
      <c r="D5" s="4">
        <v>0.0382875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371189962</v>
      </c>
      <c r="E9" s="8">
        <v>5823002</v>
      </c>
      <c r="F9" s="8">
        <v>1172770</v>
      </c>
      <c r="G9" s="9">
        <f>+D9/460000000</f>
        <v>0.8069347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141916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411189962</v>
      </c>
      <c r="E11" s="18">
        <f>SUM(E9:E10)</f>
        <v>5823002</v>
      </c>
      <c r="F11" s="18">
        <f>SUM(F9:F10)</f>
        <v>1314686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138</v>
      </c>
      <c r="F17" s="21">
        <v>11750000</v>
      </c>
    </row>
    <row r="18" spans="1:6" ht="15.75">
      <c r="A18" s="22" t="s">
        <v>139</v>
      </c>
      <c r="F18" s="21">
        <v>0</v>
      </c>
    </row>
    <row r="19" spans="1:6" ht="15.75">
      <c r="A19" s="22" t="s">
        <v>140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141</v>
      </c>
      <c r="F30" s="21">
        <v>338180.39</v>
      </c>
    </row>
    <row r="31" spans="1:6" ht="15.75">
      <c r="A31" s="24" t="s">
        <v>68</v>
      </c>
      <c r="F31" s="21">
        <v>12823.53</v>
      </c>
    </row>
    <row r="32" spans="1:6" ht="15.75">
      <c r="A32" s="22" t="s">
        <v>142</v>
      </c>
      <c r="F32" s="21">
        <f>D50</f>
        <v>401476667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</f>
        <v>5</v>
      </c>
      <c r="F35" s="26">
        <f>30000+0+0+21150+35000+6000+10000</f>
        <v>102150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1:6" ht="15.75">
      <c r="A38" s="22" t="s">
        <v>143</v>
      </c>
      <c r="E38" s="25">
        <v>33</v>
      </c>
      <c r="F38" s="26">
        <v>2725981.14</v>
      </c>
    </row>
    <row r="39" spans="5:6" ht="15.75">
      <c r="E39" s="25"/>
      <c r="F39" s="26"/>
    </row>
    <row r="40" spans="1:6" ht="15.75">
      <c r="A40" s="2" t="s">
        <v>41</v>
      </c>
      <c r="E40" s="25"/>
      <c r="F40" s="27">
        <v>0.2448</v>
      </c>
    </row>
    <row r="41" ht="15.75">
      <c r="F41" s="21"/>
    </row>
    <row r="42" spans="1:6" ht="15.75">
      <c r="A42" s="2" t="s">
        <v>34</v>
      </c>
      <c r="F42" s="21"/>
    </row>
    <row r="43" spans="1:6" s="59" customFormat="1" ht="47.25">
      <c r="A43" s="54" t="s">
        <v>8</v>
      </c>
      <c r="B43" s="60"/>
      <c r="C43" s="55"/>
      <c r="D43" s="61" t="s">
        <v>9</v>
      </c>
      <c r="E43" s="62" t="s">
        <v>10</v>
      </c>
      <c r="F43" s="63"/>
    </row>
    <row r="44" spans="1:6" ht="15.75">
      <c r="A44" s="5" t="s">
        <v>11</v>
      </c>
      <c r="B44" s="28"/>
      <c r="C44" s="6"/>
      <c r="D44" s="29">
        <f>397203025-173629</f>
        <v>397029396</v>
      </c>
      <c r="E44" s="30">
        <v>6136</v>
      </c>
      <c r="F44" s="31"/>
    </row>
    <row r="45" spans="1:6" ht="15.75">
      <c r="A45" s="32" t="s">
        <v>35</v>
      </c>
      <c r="B45" s="33"/>
      <c r="C45" s="11"/>
      <c r="D45" s="34">
        <v>2064801</v>
      </c>
      <c r="E45" s="35">
        <v>34</v>
      </c>
      <c r="F45" s="31"/>
    </row>
    <row r="46" spans="1:6" ht="15.75">
      <c r="A46" s="32" t="s">
        <v>36</v>
      </c>
      <c r="B46" s="33"/>
      <c r="C46" s="11"/>
      <c r="D46" s="34">
        <v>837922</v>
      </c>
      <c r="E46" s="35">
        <v>11</v>
      </c>
      <c r="F46" s="31"/>
    </row>
    <row r="47" spans="1:6" ht="15.75">
      <c r="A47" s="10" t="s">
        <v>37</v>
      </c>
      <c r="B47" s="33"/>
      <c r="C47" s="11"/>
      <c r="D47" s="34">
        <f>965118+99665+46743</f>
        <v>1111526</v>
      </c>
      <c r="E47" s="35">
        <f>10+3+2</f>
        <v>15</v>
      </c>
      <c r="F47" s="31"/>
    </row>
    <row r="48" spans="1:6" ht="15.75">
      <c r="A48" s="10" t="s">
        <v>27</v>
      </c>
      <c r="B48" s="33"/>
      <c r="C48" s="11"/>
      <c r="D48" s="34">
        <v>433022</v>
      </c>
      <c r="E48" s="35">
        <v>7</v>
      </c>
      <c r="F48" s="31"/>
    </row>
    <row r="49" spans="1:6" ht="15.75">
      <c r="A49" s="10" t="s">
        <v>38</v>
      </c>
      <c r="B49" s="33"/>
      <c r="C49" s="11"/>
      <c r="D49" s="34">
        <v>0</v>
      </c>
      <c r="E49" s="35">
        <v>0</v>
      </c>
      <c r="F49" s="31"/>
    </row>
    <row r="50" spans="1:6" ht="15.75">
      <c r="A50" s="15"/>
      <c r="B50" s="36"/>
      <c r="C50" s="16"/>
      <c r="D50" s="37">
        <f>SUM(D44:D49)</f>
        <v>401476667</v>
      </c>
      <c r="E50" s="38">
        <f>SUM(E44:E49)</f>
        <v>6203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39">
        <v>15901023</v>
      </c>
      <c r="E54" s="40">
        <f aca="true" t="shared" si="0" ref="E54:E64">D54/D$65</f>
        <v>0.03960634404688829</v>
      </c>
      <c r="F54" s="41">
        <v>291</v>
      </c>
      <c r="G54" s="40">
        <f aca="true" t="shared" si="1" ref="G54:G64">F54/F$65</f>
        <v>0.04691278413670805</v>
      </c>
    </row>
    <row r="55" spans="1:7" ht="15.75">
      <c r="A55" s="10" t="s">
        <v>55</v>
      </c>
      <c r="D55" s="39">
        <v>32509198</v>
      </c>
      <c r="E55" s="40">
        <f t="shared" si="0"/>
        <v>0.0809740656734106</v>
      </c>
      <c r="F55" s="41">
        <v>665</v>
      </c>
      <c r="G55" s="40">
        <f t="shared" si="1"/>
        <v>0.10720619055295824</v>
      </c>
    </row>
    <row r="56" spans="1:7" ht="15.75">
      <c r="A56" s="32" t="s">
        <v>67</v>
      </c>
      <c r="D56" s="39">
        <v>19598591</v>
      </c>
      <c r="E56" s="40">
        <f t="shared" si="0"/>
        <v>0.04881626408440817</v>
      </c>
      <c r="F56" s="41">
        <v>413</v>
      </c>
      <c r="G56" s="40">
        <f t="shared" si="1"/>
        <v>0.06658068676446881</v>
      </c>
    </row>
    <row r="57" spans="1:7" ht="15.75">
      <c r="A57" s="10" t="s">
        <v>56</v>
      </c>
      <c r="D57" s="39">
        <v>11620923</v>
      </c>
      <c r="E57" s="40">
        <f t="shared" si="0"/>
        <v>0.028945450521038623</v>
      </c>
      <c r="F57" s="41">
        <v>201</v>
      </c>
      <c r="G57" s="40">
        <f t="shared" si="1"/>
        <v>0.03240367564081896</v>
      </c>
    </row>
    <row r="58" spans="1:7" ht="15.75">
      <c r="A58" s="10" t="s">
        <v>57</v>
      </c>
      <c r="D58" s="39">
        <v>43835308</v>
      </c>
      <c r="E58" s="40">
        <f t="shared" si="0"/>
        <v>0.10918519456574048</v>
      </c>
      <c r="F58" s="41">
        <v>779</v>
      </c>
      <c r="G58" s="40">
        <f t="shared" si="1"/>
        <v>0.1255843946477511</v>
      </c>
    </row>
    <row r="59" spans="1:7" ht="15.75">
      <c r="A59" s="10" t="s">
        <v>66</v>
      </c>
      <c r="D59" s="39">
        <v>1718220</v>
      </c>
      <c r="E59" s="40">
        <f t="shared" si="0"/>
        <v>0.004279750583861453</v>
      </c>
      <c r="F59" s="41">
        <v>60</v>
      </c>
      <c r="G59" s="40">
        <f t="shared" si="1"/>
        <v>0.00967273899725939</v>
      </c>
    </row>
    <row r="60" spans="1:8" ht="15.75">
      <c r="A60" s="10" t="s">
        <v>58</v>
      </c>
      <c r="D60" s="39">
        <f>68492228+87979185-173628</f>
        <v>156297785</v>
      </c>
      <c r="E60" s="40">
        <f t="shared" si="0"/>
        <v>0.38930726950565225</v>
      </c>
      <c r="F60" s="41">
        <f>654+1016</f>
        <v>1670</v>
      </c>
      <c r="G60" s="40">
        <f t="shared" si="1"/>
        <v>0.26922456875705303</v>
      </c>
      <c r="H60" s="42" t="str">
        <f>IF(E60&gt;80%,"ERROR"," ")</f>
        <v> </v>
      </c>
    </row>
    <row r="61" spans="1:7" ht="15.75">
      <c r="A61" s="10" t="s">
        <v>59</v>
      </c>
      <c r="D61" s="39">
        <v>40754569</v>
      </c>
      <c r="E61" s="40">
        <f t="shared" si="0"/>
        <v>0.10151167514798562</v>
      </c>
      <c r="F61" s="41">
        <v>589</v>
      </c>
      <c r="G61" s="40">
        <f t="shared" si="1"/>
        <v>0.09495405448976302</v>
      </c>
    </row>
    <row r="62" spans="1:7" ht="15.75">
      <c r="A62" s="10" t="s">
        <v>60</v>
      </c>
      <c r="D62" s="39">
        <v>16040418</v>
      </c>
      <c r="E62" s="40">
        <f t="shared" si="0"/>
        <v>0.03995354977877207</v>
      </c>
      <c r="F62" s="41">
        <v>240</v>
      </c>
      <c r="G62" s="40">
        <f t="shared" si="1"/>
        <v>0.03869095598903756</v>
      </c>
    </row>
    <row r="63" spans="1:7" ht="15.75">
      <c r="A63" s="10" t="s">
        <v>61</v>
      </c>
      <c r="D63" s="39">
        <v>29486658</v>
      </c>
      <c r="E63" s="40">
        <f t="shared" si="0"/>
        <v>0.07344550860286982</v>
      </c>
      <c r="F63" s="41">
        <v>535</v>
      </c>
      <c r="G63" s="40">
        <f t="shared" si="1"/>
        <v>0.08624858939222957</v>
      </c>
    </row>
    <row r="64" spans="1:7" ht="15.75">
      <c r="A64" s="15" t="s">
        <v>62</v>
      </c>
      <c r="B64" s="36"/>
      <c r="C64" s="36"/>
      <c r="D64" s="43">
        <v>33713974</v>
      </c>
      <c r="E64" s="44">
        <f t="shared" si="0"/>
        <v>0.08397492748937263</v>
      </c>
      <c r="F64" s="45">
        <v>760</v>
      </c>
      <c r="G64" s="44">
        <f t="shared" si="1"/>
        <v>0.12252136063195228</v>
      </c>
    </row>
    <row r="65" spans="1:7" ht="15.75">
      <c r="A65" s="70" t="s">
        <v>63</v>
      </c>
      <c r="B65" s="36"/>
      <c r="C65" s="36"/>
      <c r="D65" s="43">
        <f>SUM(D54:D64)</f>
        <v>401476667</v>
      </c>
      <c r="E65" s="44">
        <f>SUM(E54:E64)</f>
        <v>1</v>
      </c>
      <c r="F65" s="46">
        <f>SUM(F54:F64)</f>
        <v>6203</v>
      </c>
      <c r="G65" s="44">
        <f>SUM(G54:G64)</f>
        <v>1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110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1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38777</v>
      </c>
      <c r="E4" s="3"/>
    </row>
    <row r="5" spans="1:5" ht="15.75">
      <c r="A5" s="2" t="s">
        <v>15</v>
      </c>
      <c r="D5" s="73">
        <v>0.04575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108786136</v>
      </c>
      <c r="E9" s="75">
        <v>4758608</v>
      </c>
      <c r="F9" s="75">
        <v>423752</v>
      </c>
      <c r="G9" s="9">
        <f>+D9/460000000</f>
        <v>0.2364916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166772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148786136</v>
      </c>
      <c r="E11" s="18">
        <f>SUM(E9:E10)</f>
        <v>4758608</v>
      </c>
      <c r="F11" s="18">
        <f>SUM(F9:F10)</f>
        <v>590524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223</v>
      </c>
      <c r="F17" s="21">
        <v>11750000</v>
      </c>
    </row>
    <row r="18" spans="1:6" ht="15.75">
      <c r="A18" s="77" t="s">
        <v>224</v>
      </c>
      <c r="F18" s="21">
        <v>0</v>
      </c>
    </row>
    <row r="19" spans="1:6" ht="15.75">
      <c r="A19" s="77" t="s">
        <v>225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226</v>
      </c>
      <c r="F30" s="74">
        <v>192189</v>
      </c>
    </row>
    <row r="31" spans="1:6" ht="15.75">
      <c r="A31" s="24" t="s">
        <v>196</v>
      </c>
      <c r="F31" s="74">
        <v>15</v>
      </c>
    </row>
    <row r="32" spans="1:6" ht="15.75">
      <c r="A32" s="77" t="s">
        <v>227</v>
      </c>
      <c r="F32" s="21">
        <f>D50</f>
        <v>148786099.05999997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+'Feb 06'!E35+E36</f>
        <v>120</v>
      </c>
      <c r="F35" s="79">
        <f>+'Feb 06'!F35+F36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+'Jan 06'!$E$37</f>
        <v>4358</v>
      </c>
      <c r="F37" s="26">
        <f>+'Jan 06'!$F$37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((4641318+1659996.45-1542669.05)/153544727)*12</f>
        <v>0.3719030012668556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146090457.51</v>
      </c>
      <c r="E43" s="81">
        <v>2592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1717707.13</v>
      </c>
      <c r="E44" s="83">
        <v>31</v>
      </c>
      <c r="F44" s="31"/>
    </row>
    <row r="45" spans="1:9" ht="15.75">
      <c r="A45" s="32" t="s">
        <v>36</v>
      </c>
      <c r="B45" s="33"/>
      <c r="C45" s="11"/>
      <c r="D45" s="82">
        <v>436858.29</v>
      </c>
      <c r="E45" s="83">
        <v>7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251422.89+54592.42+23308.55+8780.61+113846.15</f>
        <v>451950.62</v>
      </c>
      <c r="E46" s="83">
        <f>8+2+1+1+3</f>
        <v>15</v>
      </c>
      <c r="F46" s="31"/>
      <c r="G46" s="88"/>
    </row>
    <row r="47" spans="1:6" ht="15.75">
      <c r="A47" s="10" t="s">
        <v>27</v>
      </c>
      <c r="B47" s="33"/>
      <c r="C47" s="11"/>
      <c r="D47" s="82">
        <v>89038.56</v>
      </c>
      <c r="E47" s="83">
        <v>5</v>
      </c>
      <c r="F47" s="31"/>
    </row>
    <row r="48" spans="1:6" ht="15.75">
      <c r="A48" s="10" t="s">
        <v>38</v>
      </c>
      <c r="B48" s="33"/>
      <c r="C48" s="11"/>
      <c r="D48" s="82">
        <v>0</v>
      </c>
      <c r="E48" s="83">
        <v>0</v>
      </c>
      <c r="F48" s="31"/>
    </row>
    <row r="49" spans="1:7" ht="15.75">
      <c r="A49" s="10" t="s">
        <v>222</v>
      </c>
      <c r="B49" s="33"/>
      <c r="C49" s="11"/>
      <c r="D49" s="82">
        <v>86.95</v>
      </c>
      <c r="E49" s="83">
        <v>1</v>
      </c>
      <c r="F49" s="31"/>
      <c r="G49" s="88"/>
    </row>
    <row r="50" spans="1:6" ht="15.75">
      <c r="A50" s="15"/>
      <c r="B50" s="36"/>
      <c r="C50" s="16"/>
      <c r="D50" s="37">
        <f>SUM(D43:D49)</f>
        <v>148786099.05999997</v>
      </c>
      <c r="E50" s="38">
        <f>SUM(E43:E49)</f>
        <v>2651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84">
        <v>7450882.89</v>
      </c>
      <c r="E54" s="40">
        <f aca="true" t="shared" si="0" ref="E54:E64">D54/D$65</f>
        <v>0.050077815985990266</v>
      </c>
      <c r="F54" s="86">
        <v>125</v>
      </c>
      <c r="G54" s="40">
        <f aca="true" t="shared" si="1" ref="G54:G64">F54/F$65</f>
        <v>0.047152018106374954</v>
      </c>
    </row>
    <row r="55" spans="1:7" ht="15.75">
      <c r="A55" s="10" t="s">
        <v>55</v>
      </c>
      <c r="D55" s="84">
        <v>15006512.23</v>
      </c>
      <c r="E55" s="40">
        <f t="shared" si="0"/>
        <v>0.10085963893675592</v>
      </c>
      <c r="F55" s="86">
        <v>304</v>
      </c>
      <c r="G55" s="40">
        <f t="shared" si="1"/>
        <v>0.11467370803470389</v>
      </c>
    </row>
    <row r="56" spans="1:7" ht="15.75">
      <c r="A56" s="32" t="s">
        <v>67</v>
      </c>
      <c r="D56" s="84">
        <v>7898378.15</v>
      </c>
      <c r="E56" s="40">
        <f t="shared" si="0"/>
        <v>0.05308545757903682</v>
      </c>
      <c r="F56" s="86">
        <v>206</v>
      </c>
      <c r="G56" s="40">
        <f t="shared" si="1"/>
        <v>0.07770652583930593</v>
      </c>
    </row>
    <row r="57" spans="1:7" ht="15.75">
      <c r="A57" s="10" t="s">
        <v>56</v>
      </c>
      <c r="D57" s="84">
        <v>4383165.41</v>
      </c>
      <c r="E57" s="40">
        <f t="shared" si="0"/>
        <v>0.029459508903667334</v>
      </c>
      <c r="F57" s="86">
        <v>89</v>
      </c>
      <c r="G57" s="40">
        <f t="shared" si="1"/>
        <v>0.033572236891738966</v>
      </c>
    </row>
    <row r="58" spans="1:7" ht="15.75">
      <c r="A58" s="10" t="s">
        <v>57</v>
      </c>
      <c r="D58" s="84">
        <v>15651070.14</v>
      </c>
      <c r="E58" s="40">
        <f t="shared" si="0"/>
        <v>0.1051917500282637</v>
      </c>
      <c r="F58" s="86">
        <v>299</v>
      </c>
      <c r="G58" s="40">
        <f t="shared" si="1"/>
        <v>0.11278762731044889</v>
      </c>
    </row>
    <row r="59" spans="1:7" ht="15.75">
      <c r="A59" s="10" t="s">
        <v>66</v>
      </c>
      <c r="D59" s="84">
        <v>768195.92</v>
      </c>
      <c r="E59" s="40">
        <f t="shared" si="0"/>
        <v>0.005163089326578921</v>
      </c>
      <c r="F59" s="86">
        <v>28</v>
      </c>
      <c r="G59" s="40">
        <f t="shared" si="1"/>
        <v>0.010562052055827989</v>
      </c>
    </row>
    <row r="60" spans="1:8" ht="15.75">
      <c r="A60" s="10" t="s">
        <v>58</v>
      </c>
      <c r="D60" s="84">
        <f>39760877.65+14443933.82</f>
        <v>54204811.47</v>
      </c>
      <c r="E60" s="40">
        <f t="shared" si="0"/>
        <v>0.36431368126763763</v>
      </c>
      <c r="F60" s="86">
        <f>576+155</f>
        <v>731</v>
      </c>
      <c r="G60" s="40">
        <f t="shared" si="1"/>
        <v>0.2757450018860807</v>
      </c>
      <c r="H60" s="42" t="str">
        <f>IF(E60&gt;80%,"ERROR"," ")</f>
        <v> </v>
      </c>
    </row>
    <row r="61" spans="1:7" ht="15.75">
      <c r="A61" s="10" t="s">
        <v>59</v>
      </c>
      <c r="D61" s="84">
        <v>14511335.07</v>
      </c>
      <c r="E61" s="40">
        <f t="shared" si="0"/>
        <v>0.09753152452870015</v>
      </c>
      <c r="F61" s="86">
        <v>260</v>
      </c>
      <c r="G61" s="40">
        <f t="shared" si="1"/>
        <v>0.0980761976612599</v>
      </c>
    </row>
    <row r="62" spans="1:7" ht="15.75">
      <c r="A62" s="10" t="s">
        <v>60</v>
      </c>
      <c r="D62" s="84">
        <v>3570218.28</v>
      </c>
      <c r="E62" s="40">
        <f t="shared" si="0"/>
        <v>0.0239956440995221</v>
      </c>
      <c r="F62" s="86">
        <v>72</v>
      </c>
      <c r="G62" s="40">
        <f t="shared" si="1"/>
        <v>0.027159562429271974</v>
      </c>
    </row>
    <row r="63" spans="1:7" ht="15.75">
      <c r="A63" s="10" t="s">
        <v>61</v>
      </c>
      <c r="D63" s="84">
        <v>12157705.07</v>
      </c>
      <c r="E63" s="40">
        <f t="shared" si="0"/>
        <v>0.08171264080992702</v>
      </c>
      <c r="F63" s="86">
        <v>225</v>
      </c>
      <c r="G63" s="40">
        <f t="shared" si="1"/>
        <v>0.08487363259147492</v>
      </c>
    </row>
    <row r="64" spans="1:7" ht="15.75">
      <c r="A64" s="15" t="s">
        <v>62</v>
      </c>
      <c r="B64" s="36"/>
      <c r="C64" s="36"/>
      <c r="D64" s="85">
        <v>13183824.43</v>
      </c>
      <c r="E64" s="44">
        <f t="shared" si="0"/>
        <v>0.08860924853392013</v>
      </c>
      <c r="F64" s="87">
        <v>312</v>
      </c>
      <c r="G64" s="44">
        <f t="shared" si="1"/>
        <v>0.11769143719351188</v>
      </c>
    </row>
    <row r="65" spans="1:7" ht="15.75">
      <c r="A65" s="70" t="s">
        <v>63</v>
      </c>
      <c r="B65" s="36"/>
      <c r="C65" s="36"/>
      <c r="D65" s="43">
        <f>SUM(D54:D64)</f>
        <v>148786099.06</v>
      </c>
      <c r="E65" s="44">
        <f>SUM(E54:E64)</f>
        <v>1</v>
      </c>
      <c r="F65" s="46">
        <f>SUM(F54:F64)</f>
        <v>2651</v>
      </c>
      <c r="G65" s="44">
        <f>SUM(G54:G64)</f>
        <v>1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69</v>
      </c>
    </row>
  </sheetData>
  <printOptions/>
  <pageMargins left="0.75" right="0.75" top="1" bottom="1" header="0.5" footer="0.5"/>
  <pageSetup horizontalDpi="600" verticalDpi="600" orientation="portrait" paperSize="9" scale="78" r:id="rId2"/>
  <rowBreaks count="1" manualBreakCount="1">
    <brk id="50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38810</v>
      </c>
      <c r="E4" s="3"/>
    </row>
    <row r="5" spans="1:5" ht="15.75">
      <c r="A5" s="2" t="s">
        <v>15</v>
      </c>
      <c r="D5" s="73">
        <v>0.0458688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102689388</v>
      </c>
      <c r="E9" s="75">
        <v>6096748</v>
      </c>
      <c r="F9" s="75">
        <v>477526</v>
      </c>
      <c r="G9" s="9">
        <f>+D9/460000000</f>
        <v>0.2232378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196192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142689388</v>
      </c>
      <c r="E11" s="18">
        <f>SUM(E9:E10)</f>
        <v>6096748</v>
      </c>
      <c r="F11" s="18">
        <f>SUM(F9:F10)</f>
        <v>673718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228</v>
      </c>
      <c r="F17" s="21">
        <v>11750000</v>
      </c>
    </row>
    <row r="18" spans="1:6" ht="15.75">
      <c r="A18" s="77" t="s">
        <v>229</v>
      </c>
      <c r="F18" s="21">
        <v>0</v>
      </c>
    </row>
    <row r="19" spans="1:6" ht="15.75">
      <c r="A19" s="77" t="s">
        <v>230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231</v>
      </c>
      <c r="F30" s="74">
        <v>118584</v>
      </c>
    </row>
    <row r="31" spans="1:6" ht="15.75">
      <c r="A31" s="24" t="s">
        <v>196</v>
      </c>
      <c r="F31" s="74">
        <v>0</v>
      </c>
    </row>
    <row r="32" spans="1:6" ht="15.75">
      <c r="A32" s="77" t="s">
        <v>232</v>
      </c>
      <c r="F32" s="21">
        <f>D50</f>
        <v>142689374.41999996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+'Mar 06'!E35+E36</f>
        <v>120</v>
      </c>
      <c r="F35" s="79">
        <f>+'Mar 06'!F35+F36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+'Mar 06'!$E$37</f>
        <v>4358</v>
      </c>
      <c r="F37" s="26">
        <f>+'Mar 06'!$F$37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((4941896+2455879.78-1301014.29)/148786099)*12</f>
        <v>0.49172025055916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140563309.56</v>
      </c>
      <c r="E43" s="81">
        <v>2515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1190269.25</v>
      </c>
      <c r="E44" s="83">
        <v>27</v>
      </c>
      <c r="F44" s="31"/>
    </row>
    <row r="45" spans="1:9" ht="15.75">
      <c r="A45" s="32" t="s">
        <v>36</v>
      </c>
      <c r="B45" s="33"/>
      <c r="C45" s="11"/>
      <c r="D45" s="82">
        <v>531372.79</v>
      </c>
      <c r="E45" s="83">
        <v>7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45592.96+95755.43+50122.65+8780.61+113919.33</f>
        <v>314170.98</v>
      </c>
      <c r="E46" s="83">
        <f>4+4+1+1+3</f>
        <v>13</v>
      </c>
      <c r="F46" s="31"/>
      <c r="G46" s="88"/>
    </row>
    <row r="47" spans="1:6" ht="15.75">
      <c r="A47" s="10" t="s">
        <v>27</v>
      </c>
      <c r="B47" s="33"/>
      <c r="C47" s="11"/>
      <c r="D47" s="82">
        <v>90164.89</v>
      </c>
      <c r="E47" s="83">
        <v>3</v>
      </c>
      <c r="F47" s="31"/>
    </row>
    <row r="48" spans="1:6" ht="15.75">
      <c r="A48" s="10" t="s">
        <v>38</v>
      </c>
      <c r="B48" s="33"/>
      <c r="C48" s="11"/>
      <c r="D48" s="82">
        <v>0</v>
      </c>
      <c r="E48" s="83">
        <v>0</v>
      </c>
      <c r="F48" s="31"/>
    </row>
    <row r="49" spans="1:7" ht="15.75">
      <c r="A49" s="10" t="s">
        <v>222</v>
      </c>
      <c r="B49" s="33"/>
      <c r="C49" s="11"/>
      <c r="D49" s="82">
        <v>86.95</v>
      </c>
      <c r="E49" s="83">
        <v>1</v>
      </c>
      <c r="F49" s="31"/>
      <c r="G49" s="88"/>
    </row>
    <row r="50" spans="1:6" ht="15.75">
      <c r="A50" s="15"/>
      <c r="B50" s="36"/>
      <c r="C50" s="16"/>
      <c r="D50" s="37">
        <f>SUM(D43:D49)</f>
        <v>142689374.41999996</v>
      </c>
      <c r="E50" s="38">
        <f>SUM(E43:E49)</f>
        <v>2566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84">
        <v>7131592.47</v>
      </c>
      <c r="E54" s="40">
        <f aca="true" t="shared" si="0" ref="E54:E64">D54/D$65</f>
        <v>0.04997984257053693</v>
      </c>
      <c r="F54" s="86">
        <v>122</v>
      </c>
      <c r="G54" s="40">
        <f aca="true" t="shared" si="1" ref="G54:G64">F54/F$65</f>
        <v>0.0475448168355417</v>
      </c>
    </row>
    <row r="55" spans="1:7" ht="15.75">
      <c r="A55" s="10" t="s">
        <v>55</v>
      </c>
      <c r="D55" s="84">
        <v>14348875.56</v>
      </c>
      <c r="E55" s="40">
        <f t="shared" si="0"/>
        <v>0.10056022474220613</v>
      </c>
      <c r="F55" s="86">
        <v>298</v>
      </c>
      <c r="G55" s="40">
        <f t="shared" si="1"/>
        <v>0.11613406079501169</v>
      </c>
    </row>
    <row r="56" spans="1:7" ht="15.75">
      <c r="A56" s="32" t="s">
        <v>67</v>
      </c>
      <c r="D56" s="84">
        <v>7725937.52</v>
      </c>
      <c r="E56" s="40">
        <f t="shared" si="0"/>
        <v>0.054145149569855396</v>
      </c>
      <c r="F56" s="86">
        <v>201</v>
      </c>
      <c r="G56" s="40">
        <f t="shared" si="1"/>
        <v>0.07833203429462197</v>
      </c>
    </row>
    <row r="57" spans="1:7" ht="15.75">
      <c r="A57" s="10" t="s">
        <v>56</v>
      </c>
      <c r="D57" s="84">
        <v>4125782.18</v>
      </c>
      <c r="E57" s="40">
        <f t="shared" si="0"/>
        <v>0.02891443176319449</v>
      </c>
      <c r="F57" s="86">
        <v>84</v>
      </c>
      <c r="G57" s="40">
        <f t="shared" si="1"/>
        <v>0.03273577552611068</v>
      </c>
    </row>
    <row r="58" spans="1:7" ht="15.75">
      <c r="A58" s="10" t="s">
        <v>57</v>
      </c>
      <c r="D58" s="84">
        <v>15106759.99</v>
      </c>
      <c r="E58" s="40">
        <f t="shared" si="0"/>
        <v>0.1058716533827803</v>
      </c>
      <c r="F58" s="86">
        <v>292</v>
      </c>
      <c r="G58" s="40">
        <f t="shared" si="1"/>
        <v>0.11379579111457522</v>
      </c>
    </row>
    <row r="59" spans="1:7" ht="15.75">
      <c r="A59" s="10" t="s">
        <v>66</v>
      </c>
      <c r="D59" s="84">
        <v>766075.49</v>
      </c>
      <c r="E59" s="40">
        <f t="shared" si="0"/>
        <v>0.0053688334756103835</v>
      </c>
      <c r="F59" s="86">
        <v>28</v>
      </c>
      <c r="G59" s="40">
        <f t="shared" si="1"/>
        <v>0.010911925175370226</v>
      </c>
    </row>
    <row r="60" spans="1:8" ht="15.75">
      <c r="A60" s="10" t="s">
        <v>58</v>
      </c>
      <c r="D60" s="84">
        <f>37653740.24+13998634.71</f>
        <v>51652374.95</v>
      </c>
      <c r="E60" s="40">
        <f t="shared" si="0"/>
        <v>0.36199174016954805</v>
      </c>
      <c r="F60" s="86">
        <f>553+149</f>
        <v>702</v>
      </c>
      <c r="G60" s="40">
        <f t="shared" si="1"/>
        <v>0.2735775526110678</v>
      </c>
      <c r="H60" s="42" t="str">
        <f>IF(E60&gt;80%,"ERROR"," ")</f>
        <v> </v>
      </c>
    </row>
    <row r="61" spans="1:7" ht="15.75">
      <c r="A61" s="10" t="s">
        <v>59</v>
      </c>
      <c r="D61" s="84">
        <v>13924749.18</v>
      </c>
      <c r="E61" s="40">
        <f t="shared" si="0"/>
        <v>0.09758784938683031</v>
      </c>
      <c r="F61" s="86">
        <v>251</v>
      </c>
      <c r="G61" s="40">
        <f t="shared" si="1"/>
        <v>0.09781761496492596</v>
      </c>
    </row>
    <row r="62" spans="1:7" ht="15.75">
      <c r="A62" s="10" t="s">
        <v>60</v>
      </c>
      <c r="D62" s="84">
        <v>3445630.97</v>
      </c>
      <c r="E62" s="40">
        <f t="shared" si="0"/>
        <v>0.024147775431812703</v>
      </c>
      <c r="F62" s="86">
        <v>67</v>
      </c>
      <c r="G62" s="40">
        <f t="shared" si="1"/>
        <v>0.026110678098207326</v>
      </c>
    </row>
    <row r="63" spans="1:7" ht="15.75">
      <c r="A63" s="10" t="s">
        <v>61</v>
      </c>
      <c r="D63" s="84">
        <v>11965160.26</v>
      </c>
      <c r="E63" s="40">
        <f t="shared" si="0"/>
        <v>0.08385459890503877</v>
      </c>
      <c r="F63" s="86">
        <v>224</v>
      </c>
      <c r="G63" s="40">
        <f t="shared" si="1"/>
        <v>0.08729540140296181</v>
      </c>
    </row>
    <row r="64" spans="1:7" ht="15.75">
      <c r="A64" s="15" t="s">
        <v>62</v>
      </c>
      <c r="B64" s="36"/>
      <c r="C64" s="36"/>
      <c r="D64" s="85">
        <v>12496435.85</v>
      </c>
      <c r="E64" s="44">
        <f t="shared" si="0"/>
        <v>0.08757790060258643</v>
      </c>
      <c r="F64" s="87">
        <v>297</v>
      </c>
      <c r="G64" s="44">
        <f t="shared" si="1"/>
        <v>0.11574434918160562</v>
      </c>
    </row>
    <row r="65" spans="1:7" ht="15.75">
      <c r="A65" s="70" t="s">
        <v>63</v>
      </c>
      <c r="B65" s="36"/>
      <c r="C65" s="36"/>
      <c r="D65" s="43">
        <f>SUM(D54:D64)</f>
        <v>142689374.42000002</v>
      </c>
      <c r="E65" s="44">
        <f>SUM(E54:E64)</f>
        <v>0.9999999999999999</v>
      </c>
      <c r="F65" s="46">
        <f>SUM(F54:F64)</f>
        <v>2566</v>
      </c>
      <c r="G65" s="44">
        <f>SUM(G54:G64)</f>
        <v>0.9999999999999999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69</v>
      </c>
    </row>
  </sheetData>
  <printOptions/>
  <pageMargins left="0.75" right="0.75" top="1" bottom="1" header="0.5" footer="0.5"/>
  <pageSetup horizontalDpi="600" verticalDpi="600" orientation="portrait" paperSize="9" scale="78" r:id="rId2"/>
  <rowBreaks count="1" manualBreakCount="1">
    <brk id="51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38839</v>
      </c>
      <c r="E4" s="3"/>
    </row>
    <row r="5" spans="1:5" ht="15.75">
      <c r="A5" s="2" t="s">
        <v>15</v>
      </c>
      <c r="D5" s="73">
        <v>0.0463188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97126010</v>
      </c>
      <c r="E9" s="75">
        <v>5563378</v>
      </c>
      <c r="F9" s="75">
        <v>397072</v>
      </c>
      <c r="G9" s="9">
        <f>+D9/460000000</f>
        <v>0.2111435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172788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137126010</v>
      </c>
      <c r="E11" s="18">
        <f>SUM(E9:E10)</f>
        <v>5563378</v>
      </c>
      <c r="F11" s="18">
        <f>SUM(F9:F10)</f>
        <v>569860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233</v>
      </c>
      <c r="F17" s="21">
        <v>11750000</v>
      </c>
    </row>
    <row r="18" spans="1:6" ht="15.75">
      <c r="A18" s="77" t="s">
        <v>234</v>
      </c>
      <c r="F18" s="21">
        <v>0</v>
      </c>
    </row>
    <row r="19" spans="1:6" ht="15.75">
      <c r="A19" s="77" t="s">
        <v>235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236</v>
      </c>
      <c r="F30" s="74">
        <v>128339</v>
      </c>
    </row>
    <row r="31" spans="1:6" ht="15.75">
      <c r="A31" s="24" t="s">
        <v>196</v>
      </c>
      <c r="F31" s="74">
        <v>0</v>
      </c>
    </row>
    <row r="32" spans="1:6" ht="15.75">
      <c r="A32" s="77" t="s">
        <v>237</v>
      </c>
      <c r="F32" s="21">
        <f>D50</f>
        <v>137126000.69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+'Apr 06'!E35+E36</f>
        <v>120</v>
      </c>
      <c r="F35" s="79">
        <f>+'Apr 06'!F35+F36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+'Apr 06'!$E$37</f>
        <v>4358</v>
      </c>
      <c r="F37" s="26">
        <f>+'Apr 06'!$F$37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((4661918.73+1984787.31-1083318.73)/142689374)*12</f>
        <v>0.4678739968401572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133898481.06</v>
      </c>
      <c r="E43" s="81">
        <v>2451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2175770</v>
      </c>
      <c r="E44" s="83">
        <v>25</v>
      </c>
      <c r="F44" s="31"/>
    </row>
    <row r="45" spans="1:9" ht="15.75">
      <c r="A45" s="32" t="s">
        <v>36</v>
      </c>
      <c r="B45" s="33"/>
      <c r="C45" s="11"/>
      <c r="D45" s="82">
        <v>441616.59</v>
      </c>
      <c r="E45" s="83">
        <v>7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309714.02+51840.93+50467.8+106395.3</f>
        <v>518418.05</v>
      </c>
      <c r="E46" s="83">
        <f>5+1+1+2</f>
        <v>9</v>
      </c>
      <c r="F46" s="31"/>
      <c r="G46" s="88"/>
    </row>
    <row r="47" spans="1:6" ht="15.75">
      <c r="A47" s="10" t="s">
        <v>27</v>
      </c>
      <c r="B47" s="33"/>
      <c r="C47" s="11"/>
      <c r="D47" s="82">
        <v>90509.44</v>
      </c>
      <c r="E47" s="83">
        <v>3</v>
      </c>
      <c r="F47" s="31"/>
    </row>
    <row r="48" spans="1:6" ht="15.75">
      <c r="A48" s="10" t="s">
        <v>38</v>
      </c>
      <c r="B48" s="33"/>
      <c r="C48" s="11"/>
      <c r="D48" s="82">
        <v>1118.6</v>
      </c>
      <c r="E48" s="83">
        <v>1</v>
      </c>
      <c r="F48" s="31"/>
    </row>
    <row r="49" spans="1:7" ht="15.75">
      <c r="A49" s="10" t="s">
        <v>222</v>
      </c>
      <c r="B49" s="33"/>
      <c r="C49" s="11"/>
      <c r="D49" s="82">
        <v>86.95</v>
      </c>
      <c r="E49" s="83">
        <v>1</v>
      </c>
      <c r="F49" s="31"/>
      <c r="G49" s="88"/>
    </row>
    <row r="50" spans="1:6" ht="15.75">
      <c r="A50" s="15"/>
      <c r="B50" s="36"/>
      <c r="C50" s="16"/>
      <c r="D50" s="37">
        <f>SUM(D43:D49)</f>
        <v>137126000.69</v>
      </c>
      <c r="E50" s="38">
        <f>SUM(E43:E49)</f>
        <v>2497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84">
        <v>6987800.16</v>
      </c>
      <c r="E54" s="40">
        <f aca="true" t="shared" si="0" ref="E54:E64">D54/D$65</f>
        <v>0.05095897295070451</v>
      </c>
      <c r="F54" s="86">
        <v>121</v>
      </c>
      <c r="G54" s="40">
        <f aca="true" t="shared" si="1" ref="G54:G64">F54/F$65</f>
        <v>0.048458149779735685</v>
      </c>
    </row>
    <row r="55" spans="1:7" ht="15.75">
      <c r="A55" s="10" t="s">
        <v>55</v>
      </c>
      <c r="D55" s="84">
        <v>13845378.21</v>
      </c>
      <c r="E55" s="40">
        <f t="shared" si="0"/>
        <v>0.10096829295926284</v>
      </c>
      <c r="F55" s="86">
        <v>292</v>
      </c>
      <c r="G55" s="40">
        <f t="shared" si="1"/>
        <v>0.11694032839407288</v>
      </c>
    </row>
    <row r="56" spans="1:7" ht="15.75">
      <c r="A56" s="32" t="s">
        <v>67</v>
      </c>
      <c r="D56" s="84">
        <v>7532361.23</v>
      </c>
      <c r="E56" s="40">
        <f t="shared" si="0"/>
        <v>0.054930218865117834</v>
      </c>
      <c r="F56" s="86">
        <v>198</v>
      </c>
      <c r="G56" s="40">
        <f t="shared" si="1"/>
        <v>0.07929515418502203</v>
      </c>
    </row>
    <row r="57" spans="1:7" ht="15.75">
      <c r="A57" s="10" t="s">
        <v>56</v>
      </c>
      <c r="D57" s="84">
        <v>3917904.03</v>
      </c>
      <c r="E57" s="40">
        <f t="shared" si="0"/>
        <v>0.02857156199616135</v>
      </c>
      <c r="F57" s="86">
        <v>81</v>
      </c>
      <c r="G57" s="40">
        <f t="shared" si="1"/>
        <v>0.032438926712054464</v>
      </c>
    </row>
    <row r="58" spans="1:7" ht="15.75">
      <c r="A58" s="10" t="s">
        <v>57</v>
      </c>
      <c r="D58" s="84">
        <v>14419590.06</v>
      </c>
      <c r="E58" s="40">
        <f t="shared" si="0"/>
        <v>0.10515576905504803</v>
      </c>
      <c r="F58" s="86">
        <v>283</v>
      </c>
      <c r="G58" s="40">
        <f t="shared" si="1"/>
        <v>0.11333600320384461</v>
      </c>
    </row>
    <row r="59" spans="1:7" ht="15.75">
      <c r="A59" s="10" t="s">
        <v>66</v>
      </c>
      <c r="D59" s="84">
        <v>754793.89</v>
      </c>
      <c r="E59" s="40">
        <f t="shared" si="0"/>
        <v>0.005504382000510307</v>
      </c>
      <c r="F59" s="86">
        <v>28</v>
      </c>
      <c r="G59" s="40">
        <f t="shared" si="1"/>
        <v>0.011213456147376852</v>
      </c>
    </row>
    <row r="60" spans="1:8" ht="15.75">
      <c r="A60" s="10" t="s">
        <v>58</v>
      </c>
      <c r="D60" s="84">
        <f>35805834.65+13428680.98</f>
        <v>49234515.629999995</v>
      </c>
      <c r="E60" s="40">
        <f t="shared" si="0"/>
        <v>0.359045807376124</v>
      </c>
      <c r="F60" s="86">
        <f>534+147</f>
        <v>681</v>
      </c>
      <c r="G60" s="40">
        <f t="shared" si="1"/>
        <v>0.2727272727272727</v>
      </c>
      <c r="H60" s="42" t="str">
        <f>IF(E60&gt;80%,"ERROR"," ")</f>
        <v> </v>
      </c>
    </row>
    <row r="61" spans="1:7" ht="15.75">
      <c r="A61" s="10" t="s">
        <v>59</v>
      </c>
      <c r="D61" s="84">
        <v>13561003.15</v>
      </c>
      <c r="E61" s="40">
        <f t="shared" si="0"/>
        <v>0.09889446991644775</v>
      </c>
      <c r="F61" s="86">
        <v>241</v>
      </c>
      <c r="G61" s="40">
        <f t="shared" si="1"/>
        <v>0.09651581898277933</v>
      </c>
    </row>
    <row r="62" spans="1:7" ht="15.75">
      <c r="A62" s="10" t="s">
        <v>60</v>
      </c>
      <c r="D62" s="84">
        <v>3498623.54</v>
      </c>
      <c r="E62" s="40">
        <f t="shared" si="0"/>
        <v>0.02551393260501572</v>
      </c>
      <c r="F62" s="86">
        <v>64</v>
      </c>
      <c r="G62" s="40">
        <f t="shared" si="1"/>
        <v>0.025630756908289948</v>
      </c>
    </row>
    <row r="63" spans="1:7" ht="15.75">
      <c r="A63" s="10" t="s">
        <v>61</v>
      </c>
      <c r="D63" s="84">
        <v>11472631.13</v>
      </c>
      <c r="E63" s="40">
        <f t="shared" si="0"/>
        <v>0.08366488537747202</v>
      </c>
      <c r="F63" s="86">
        <v>221</v>
      </c>
      <c r="G63" s="40">
        <f t="shared" si="1"/>
        <v>0.08850620744893872</v>
      </c>
    </row>
    <row r="64" spans="1:7" ht="15.75">
      <c r="A64" s="15" t="s">
        <v>62</v>
      </c>
      <c r="B64" s="36"/>
      <c r="C64" s="36"/>
      <c r="D64" s="85">
        <v>11901399.66</v>
      </c>
      <c r="E64" s="44">
        <f t="shared" si="0"/>
        <v>0.08679170689813544</v>
      </c>
      <c r="F64" s="87">
        <v>287</v>
      </c>
      <c r="G64" s="44">
        <f t="shared" si="1"/>
        <v>0.11493792551061273</v>
      </c>
    </row>
    <row r="65" spans="1:7" ht="15.75">
      <c r="A65" s="70" t="s">
        <v>63</v>
      </c>
      <c r="B65" s="36"/>
      <c r="C65" s="36"/>
      <c r="D65" s="43">
        <f>SUM(D54:D64)</f>
        <v>137126000.69000003</v>
      </c>
      <c r="E65" s="44">
        <f>SUM(E54:E64)</f>
        <v>0.9999999999999998</v>
      </c>
      <c r="F65" s="46">
        <f>SUM(F54:F64)</f>
        <v>2497</v>
      </c>
      <c r="G65" s="44">
        <f>SUM(G54:G64)</f>
        <v>1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69</v>
      </c>
    </row>
  </sheetData>
  <printOptions/>
  <pageMargins left="0.75" right="0.75" top="1" bottom="1" header="0.5" footer="0.5"/>
  <pageSetup horizontalDpi="600" verticalDpi="600" orientation="portrait" paperSize="9" scale="78" r:id="rId2"/>
  <rowBreaks count="1" manualBreakCount="1">
    <brk id="50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38869</v>
      </c>
      <c r="E4" s="3"/>
    </row>
    <row r="5" spans="1:5" ht="15.75">
      <c r="A5" s="2" t="s">
        <v>15</v>
      </c>
      <c r="D5" s="73">
        <v>0.0466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90925532</v>
      </c>
      <c r="E9" s="75">
        <v>6200478</v>
      </c>
      <c r="F9" s="75">
        <v>392104</v>
      </c>
      <c r="G9" s="9">
        <f>+D9/460000000</f>
        <v>0.1976642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180228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130925532</v>
      </c>
      <c r="E11" s="18">
        <f>SUM(E9:E10)</f>
        <v>6200478</v>
      </c>
      <c r="F11" s="18">
        <f>SUM(F9:F10)</f>
        <v>572332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238</v>
      </c>
      <c r="F17" s="21">
        <v>11750000</v>
      </c>
    </row>
    <row r="18" spans="1:6" ht="15.75">
      <c r="A18" s="77" t="s">
        <v>239</v>
      </c>
      <c r="F18" s="21">
        <v>0</v>
      </c>
    </row>
    <row r="19" spans="1:6" ht="15.75">
      <c r="A19" s="77" t="s">
        <v>240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241</v>
      </c>
      <c r="F30" s="74">
        <v>95931</v>
      </c>
    </row>
    <row r="31" spans="1:6" ht="15.75">
      <c r="A31" s="24" t="s">
        <v>196</v>
      </c>
      <c r="F31" s="74">
        <v>0</v>
      </c>
    </row>
    <row r="32" spans="1:6" ht="15.75">
      <c r="A32" s="77" t="s">
        <v>242</v>
      </c>
      <c r="F32" s="21">
        <f>D50</f>
        <v>130925511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+'May 06'!E35+E36</f>
        <v>120</v>
      </c>
      <c r="F35" s="79">
        <f>+'May 06'!F35+F36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+'May 06'!$E$37</f>
        <v>4358</v>
      </c>
      <c r="F37" s="26">
        <f>+'May 06'!$F$37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((5606661+1749919-1156081)/137126001)*12</f>
        <v>0.5426103543995278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128280432.71</v>
      </c>
      <c r="E43" s="81">
        <v>2392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1189396.85</v>
      </c>
      <c r="E44" s="83">
        <v>23</v>
      </c>
      <c r="F44" s="31"/>
    </row>
    <row r="45" spans="1:9" ht="15.75">
      <c r="A45" s="32" t="s">
        <v>36</v>
      </c>
      <c r="B45" s="33"/>
      <c r="C45" s="11"/>
      <c r="D45" s="82">
        <v>760274.01</v>
      </c>
      <c r="E45" s="83">
        <v>7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284305.37+51638.01+107139.88</f>
        <v>443083.26</v>
      </c>
      <c r="E46" s="83">
        <f>6+1+2</f>
        <v>9</v>
      </c>
      <c r="F46" s="31"/>
      <c r="G46" s="88"/>
    </row>
    <row r="47" spans="1:6" ht="15.75">
      <c r="A47" s="10" t="s">
        <v>27</v>
      </c>
      <c r="B47" s="33"/>
      <c r="C47" s="11"/>
      <c r="D47" s="82">
        <v>251048.12</v>
      </c>
      <c r="E47" s="83">
        <v>5</v>
      </c>
      <c r="F47" s="31"/>
    </row>
    <row r="48" spans="1:6" ht="15.75">
      <c r="A48" s="10" t="s">
        <v>38</v>
      </c>
      <c r="B48" s="33"/>
      <c r="C48" s="11"/>
      <c r="D48" s="82">
        <v>1189.1</v>
      </c>
      <c r="E48" s="83">
        <v>1</v>
      </c>
      <c r="F48" s="31"/>
    </row>
    <row r="49" spans="1:7" ht="15.75">
      <c r="A49" s="10" t="s">
        <v>222</v>
      </c>
      <c r="B49" s="33"/>
      <c r="C49" s="11"/>
      <c r="D49" s="82">
        <v>86.95</v>
      </c>
      <c r="E49" s="83">
        <v>1</v>
      </c>
      <c r="F49" s="31"/>
      <c r="G49" s="88"/>
    </row>
    <row r="50" spans="1:6" ht="15.75">
      <c r="A50" s="15"/>
      <c r="B50" s="36"/>
      <c r="C50" s="16"/>
      <c r="D50" s="37">
        <f>SUM(D43:D49)</f>
        <v>130925511</v>
      </c>
      <c r="E50" s="38">
        <f>SUM(E43:E49)</f>
        <v>2438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84">
        <v>6491328.56</v>
      </c>
      <c r="E54" s="40">
        <f aca="true" t="shared" si="0" ref="E54:E64">D54/D$65</f>
        <v>0.049580318689762454</v>
      </c>
      <c r="F54" s="86">
        <v>115</v>
      </c>
      <c r="G54" s="40">
        <f aca="true" t="shared" si="1" ref="G54:G64">F54/F$65</f>
        <v>0.04716981132075472</v>
      </c>
    </row>
    <row r="55" spans="1:7" ht="15.75">
      <c r="A55" s="10" t="s">
        <v>55</v>
      </c>
      <c r="D55" s="84">
        <v>13177661.27</v>
      </c>
      <c r="E55" s="40">
        <f t="shared" si="0"/>
        <v>0.10065006559340448</v>
      </c>
      <c r="F55" s="86">
        <v>284</v>
      </c>
      <c r="G55" s="40">
        <f t="shared" si="1"/>
        <v>0.11648892534864644</v>
      </c>
    </row>
    <row r="56" spans="1:7" ht="15.75">
      <c r="A56" s="32" t="s">
        <v>67</v>
      </c>
      <c r="D56" s="84">
        <v>7385234.75</v>
      </c>
      <c r="E56" s="40">
        <f t="shared" si="0"/>
        <v>0.056407912358654076</v>
      </c>
      <c r="F56" s="86">
        <v>195</v>
      </c>
      <c r="G56" s="40">
        <f t="shared" si="1"/>
        <v>0.07998359310910583</v>
      </c>
    </row>
    <row r="57" spans="1:7" ht="15.75">
      <c r="A57" s="10" t="s">
        <v>56</v>
      </c>
      <c r="D57" s="84">
        <v>3767391.23</v>
      </c>
      <c r="E57" s="40">
        <f t="shared" si="0"/>
        <v>0.02877507371347972</v>
      </c>
      <c r="F57" s="86">
        <v>77</v>
      </c>
      <c r="G57" s="40">
        <f t="shared" si="1"/>
        <v>0.03158326497128794</v>
      </c>
    </row>
    <row r="58" spans="1:7" ht="15.75">
      <c r="A58" s="10" t="s">
        <v>57</v>
      </c>
      <c r="D58" s="84">
        <v>13814142.28</v>
      </c>
      <c r="E58" s="40">
        <f t="shared" si="0"/>
        <v>0.10551146353746138</v>
      </c>
      <c r="F58" s="86">
        <v>277</v>
      </c>
      <c r="G58" s="40">
        <f t="shared" si="1"/>
        <v>0.11361771944216571</v>
      </c>
    </row>
    <row r="59" spans="1:7" ht="15.75">
      <c r="A59" s="10" t="s">
        <v>66</v>
      </c>
      <c r="D59" s="84">
        <v>751329.24</v>
      </c>
      <c r="E59" s="40">
        <f t="shared" si="0"/>
        <v>0.005738600783463812</v>
      </c>
      <c r="F59" s="86">
        <v>28</v>
      </c>
      <c r="G59" s="40">
        <f t="shared" si="1"/>
        <v>0.011484823625922888</v>
      </c>
    </row>
    <row r="60" spans="1:8" ht="15.75">
      <c r="A60" s="10" t="s">
        <v>58</v>
      </c>
      <c r="D60" s="84">
        <f>34169894.15+12646201.42</f>
        <v>46816095.57</v>
      </c>
      <c r="E60" s="40">
        <f t="shared" si="0"/>
        <v>0.35757810080267705</v>
      </c>
      <c r="F60" s="86">
        <f>517+147</f>
        <v>664</v>
      </c>
      <c r="G60" s="40">
        <f t="shared" si="1"/>
        <v>0.2723543888433142</v>
      </c>
      <c r="H60" s="42" t="str">
        <f>IF(E60&gt;80%,"ERROR"," ")</f>
        <v> </v>
      </c>
    </row>
    <row r="61" spans="1:7" ht="15.75">
      <c r="A61" s="10" t="s">
        <v>59</v>
      </c>
      <c r="D61" s="84">
        <v>12640787.6</v>
      </c>
      <c r="E61" s="40">
        <f t="shared" si="0"/>
        <v>0.09654946162478602</v>
      </c>
      <c r="F61" s="86">
        <v>238</v>
      </c>
      <c r="G61" s="40">
        <f t="shared" si="1"/>
        <v>0.09762100082034454</v>
      </c>
    </row>
    <row r="62" spans="1:7" ht="15.75">
      <c r="A62" s="10" t="s">
        <v>60</v>
      </c>
      <c r="D62" s="84">
        <v>3075498.75</v>
      </c>
      <c r="E62" s="40">
        <f t="shared" si="0"/>
        <v>0.023490446793062354</v>
      </c>
      <c r="F62" s="86">
        <v>61</v>
      </c>
      <c r="G62" s="40">
        <f t="shared" si="1"/>
        <v>0.02502050861361772</v>
      </c>
    </row>
    <row r="63" spans="1:7" ht="15.75">
      <c r="A63" s="10" t="s">
        <v>61</v>
      </c>
      <c r="D63" s="84">
        <v>11254711.74</v>
      </c>
      <c r="E63" s="40">
        <f t="shared" si="0"/>
        <v>0.08596271004815861</v>
      </c>
      <c r="F63" s="86">
        <v>218</v>
      </c>
      <c r="G63" s="40">
        <f t="shared" si="1"/>
        <v>0.08941755537325677</v>
      </c>
    </row>
    <row r="64" spans="1:7" ht="15.75">
      <c r="A64" s="15" t="s">
        <v>62</v>
      </c>
      <c r="B64" s="36"/>
      <c r="C64" s="36"/>
      <c r="D64" s="85">
        <v>11751330.01</v>
      </c>
      <c r="E64" s="44">
        <f t="shared" si="0"/>
        <v>0.08975584605509006</v>
      </c>
      <c r="F64" s="87">
        <v>281</v>
      </c>
      <c r="G64" s="44">
        <f t="shared" si="1"/>
        <v>0.11525840853158327</v>
      </c>
    </row>
    <row r="65" spans="1:7" ht="15.75">
      <c r="A65" s="70" t="s">
        <v>63</v>
      </c>
      <c r="B65" s="36"/>
      <c r="C65" s="36"/>
      <c r="D65" s="43">
        <f>SUM(D54:D64)</f>
        <v>130925511</v>
      </c>
      <c r="E65" s="44">
        <f>SUM(E54:E64)</f>
        <v>1</v>
      </c>
      <c r="F65" s="46">
        <f>SUM(F54:F64)</f>
        <v>2438</v>
      </c>
      <c r="G65" s="44">
        <f>SUM(G54:G64)</f>
        <v>1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69</v>
      </c>
    </row>
  </sheetData>
  <printOptions/>
  <pageMargins left="0.75" right="0.75" top="1" bottom="1" header="0.5" footer="0.5"/>
  <pageSetup horizontalDpi="600" verticalDpi="600" orientation="portrait" paperSize="9" scale="78" r:id="rId2"/>
  <rowBreaks count="1" manualBreakCount="1">
    <brk id="50" max="25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38901</v>
      </c>
      <c r="E4" s="3"/>
    </row>
    <row r="5" spans="1:5" ht="15.75">
      <c r="A5" s="2" t="s">
        <v>15</v>
      </c>
      <c r="D5" s="73">
        <v>0.0468063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84752378</v>
      </c>
      <c r="E9" s="75">
        <v>6173154</v>
      </c>
      <c r="F9" s="75">
        <v>393806</v>
      </c>
      <c r="G9" s="9">
        <f>+D9/460000000</f>
        <v>0.1842443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193228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124752378</v>
      </c>
      <c r="E11" s="18">
        <f>SUM(E9:E10)</f>
        <v>6173154</v>
      </c>
      <c r="F11" s="18">
        <f>SUM(F9:F10)</f>
        <v>587034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243</v>
      </c>
      <c r="F17" s="21">
        <v>11750000</v>
      </c>
    </row>
    <row r="18" spans="1:6" ht="15.75">
      <c r="A18" s="77" t="s">
        <v>244</v>
      </c>
      <c r="F18" s="21">
        <v>0</v>
      </c>
    </row>
    <row r="19" spans="1:6" ht="15.75">
      <c r="A19" s="77" t="s">
        <v>245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246</v>
      </c>
      <c r="F30" s="74">
        <v>111287</v>
      </c>
    </row>
    <row r="31" spans="1:6" ht="15.75">
      <c r="A31" s="24" t="s">
        <v>196</v>
      </c>
      <c r="F31" s="74">
        <v>0</v>
      </c>
    </row>
    <row r="32" spans="1:6" ht="15.75">
      <c r="A32" s="77" t="s">
        <v>247</v>
      </c>
      <c r="F32" s="21">
        <f>D50</f>
        <v>124752369.69999999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+'Jun 06'!E35+E36</f>
        <v>120</v>
      </c>
      <c r="F35" s="79">
        <f>+'Jun 06'!F35+F36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+'May 06'!$E$37</f>
        <v>4358</v>
      </c>
      <c r="F37" s="26">
        <f>+'Jun 06'!$F$37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((5614680.07+1626305.65-1067823.42)/130925511)*12</f>
        <v>0.5658022415509228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122590833.69</v>
      </c>
      <c r="E43" s="81">
        <v>2298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870766.42</v>
      </c>
      <c r="E44" s="83">
        <v>17</v>
      </c>
      <c r="F44" s="31"/>
    </row>
    <row r="45" spans="1:9" ht="15.75">
      <c r="A45" s="32" t="s">
        <v>36</v>
      </c>
      <c r="B45" s="33"/>
      <c r="C45" s="11"/>
      <c r="D45" s="82">
        <v>471310.85</v>
      </c>
      <c r="E45" s="83">
        <v>8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493114.43+50693.21+21163.1</f>
        <v>564970.74</v>
      </c>
      <c r="E46" s="83">
        <f>8+1+2</f>
        <v>11</v>
      </c>
      <c r="F46" s="31"/>
      <c r="G46" s="88"/>
    </row>
    <row r="47" spans="1:6" ht="15.75">
      <c r="A47" s="10" t="s">
        <v>27</v>
      </c>
      <c r="B47" s="33"/>
      <c r="C47" s="11"/>
      <c r="D47" s="82">
        <v>253211.95</v>
      </c>
      <c r="E47" s="83">
        <v>5</v>
      </c>
      <c r="F47" s="31"/>
    </row>
    <row r="48" spans="1:6" ht="15.75">
      <c r="A48" s="10" t="s">
        <v>38</v>
      </c>
      <c r="B48" s="33"/>
      <c r="C48" s="11"/>
      <c r="D48" s="82">
        <v>1189.1</v>
      </c>
      <c r="E48" s="83">
        <v>1</v>
      </c>
      <c r="F48" s="31"/>
    </row>
    <row r="49" spans="1:7" ht="15.75">
      <c r="A49" s="10" t="s">
        <v>222</v>
      </c>
      <c r="B49" s="33"/>
      <c r="C49" s="11"/>
      <c r="D49" s="82">
        <v>86.95</v>
      </c>
      <c r="E49" s="83">
        <v>1</v>
      </c>
      <c r="F49" s="31"/>
      <c r="G49" s="88"/>
    </row>
    <row r="50" spans="1:6" ht="15.75">
      <c r="A50" s="15"/>
      <c r="B50" s="36"/>
      <c r="C50" s="16"/>
      <c r="D50" s="37">
        <f>SUM(D43:D49)</f>
        <v>124752369.69999999</v>
      </c>
      <c r="E50" s="38">
        <f>SUM(E43:E49)</f>
        <v>2341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84">
        <v>6334522.46</v>
      </c>
      <c r="E54" s="40">
        <f aca="true" t="shared" si="0" ref="E54:E64">D54/D$65</f>
        <v>0.05077677061552443</v>
      </c>
      <c r="F54" s="86">
        <v>112</v>
      </c>
      <c r="G54" s="40">
        <f aca="true" t="shared" si="1" ref="G54:G64">F54/F$65</f>
        <v>0.04784280222127296</v>
      </c>
    </row>
    <row r="55" spans="1:7" ht="15.75">
      <c r="A55" s="10" t="s">
        <v>55</v>
      </c>
      <c r="D55" s="84">
        <v>12673713.29</v>
      </c>
      <c r="E55" s="40">
        <f t="shared" si="0"/>
        <v>0.10159096232382028</v>
      </c>
      <c r="F55" s="86">
        <v>276</v>
      </c>
      <c r="G55" s="40">
        <f t="shared" si="1"/>
        <v>0.1178983340452798</v>
      </c>
    </row>
    <row r="56" spans="1:7" ht="15.75">
      <c r="A56" s="32" t="s">
        <v>67</v>
      </c>
      <c r="D56" s="84">
        <v>6936900.62</v>
      </c>
      <c r="E56" s="40">
        <f t="shared" si="0"/>
        <v>0.05560536153887584</v>
      </c>
      <c r="F56" s="86">
        <v>185</v>
      </c>
      <c r="G56" s="40">
        <f t="shared" si="1"/>
        <v>0.07902605724049551</v>
      </c>
    </row>
    <row r="57" spans="1:7" ht="15.75">
      <c r="A57" s="10" t="s">
        <v>56</v>
      </c>
      <c r="D57" s="84">
        <v>3566630.93</v>
      </c>
      <c r="E57" s="40">
        <f t="shared" si="0"/>
        <v>0.02858968481782675</v>
      </c>
      <c r="F57" s="86">
        <v>73</v>
      </c>
      <c r="G57" s="40">
        <f t="shared" si="1"/>
        <v>0.031183255019222554</v>
      </c>
    </row>
    <row r="58" spans="1:7" ht="15.75">
      <c r="A58" s="10" t="s">
        <v>57</v>
      </c>
      <c r="D58" s="84">
        <v>12838616.16</v>
      </c>
      <c r="E58" s="40">
        <f t="shared" si="0"/>
        <v>0.10291280390804472</v>
      </c>
      <c r="F58" s="86">
        <v>266</v>
      </c>
      <c r="G58" s="40">
        <f t="shared" si="1"/>
        <v>0.11362665527552328</v>
      </c>
    </row>
    <row r="59" spans="1:7" ht="15.75">
      <c r="A59" s="10" t="s">
        <v>66</v>
      </c>
      <c r="D59" s="84">
        <v>776764.89</v>
      </c>
      <c r="E59" s="40">
        <f t="shared" si="0"/>
        <v>0.006226453989354561</v>
      </c>
      <c r="F59" s="86">
        <v>28</v>
      </c>
      <c r="G59" s="40">
        <f t="shared" si="1"/>
        <v>0.01196070055531824</v>
      </c>
    </row>
    <row r="60" spans="1:8" ht="15.75">
      <c r="A60" s="10" t="s">
        <v>58</v>
      </c>
      <c r="D60" s="84">
        <f>32382298.35+11910721.71</f>
        <v>44293020.06</v>
      </c>
      <c r="E60" s="40">
        <f t="shared" si="0"/>
        <v>0.35504752468040696</v>
      </c>
      <c r="F60" s="86">
        <f>140+494</f>
        <v>634</v>
      </c>
      <c r="G60" s="40">
        <f t="shared" si="1"/>
        <v>0.270824434002563</v>
      </c>
      <c r="H60" s="42" t="str">
        <f>IF(E60&gt;80%,"ERROR"," ")</f>
        <v> </v>
      </c>
    </row>
    <row r="61" spans="1:7" ht="15.75">
      <c r="A61" s="10" t="s">
        <v>59</v>
      </c>
      <c r="D61" s="84">
        <v>12305572.28</v>
      </c>
      <c r="E61" s="40">
        <f t="shared" si="0"/>
        <v>0.09863998823903702</v>
      </c>
      <c r="F61" s="86">
        <v>229</v>
      </c>
      <c r="G61" s="40">
        <f t="shared" si="1"/>
        <v>0.09782144382742418</v>
      </c>
    </row>
    <row r="62" spans="1:7" ht="15.75">
      <c r="A62" s="10" t="s">
        <v>60</v>
      </c>
      <c r="D62" s="84">
        <v>2955268.59</v>
      </c>
      <c r="E62" s="40">
        <f t="shared" si="0"/>
        <v>0.023689077787513963</v>
      </c>
      <c r="F62" s="86">
        <v>60</v>
      </c>
      <c r="G62" s="40">
        <f t="shared" si="1"/>
        <v>0.025630072618539085</v>
      </c>
    </row>
    <row r="63" spans="1:7" ht="15.75">
      <c r="A63" s="10" t="s">
        <v>61</v>
      </c>
      <c r="D63" s="84">
        <v>10885777.9</v>
      </c>
      <c r="E63" s="40">
        <f t="shared" si="0"/>
        <v>0.08725908715143228</v>
      </c>
      <c r="F63" s="86">
        <v>209</v>
      </c>
      <c r="G63" s="40">
        <f t="shared" si="1"/>
        <v>0.08927808628791115</v>
      </c>
    </row>
    <row r="64" spans="1:7" ht="15.75">
      <c r="A64" s="15" t="s">
        <v>62</v>
      </c>
      <c r="B64" s="36"/>
      <c r="C64" s="36"/>
      <c r="D64" s="85">
        <v>11185582.52</v>
      </c>
      <c r="E64" s="44">
        <f t="shared" si="0"/>
        <v>0.08966228494816318</v>
      </c>
      <c r="F64" s="87">
        <v>269</v>
      </c>
      <c r="G64" s="44">
        <f t="shared" si="1"/>
        <v>0.11490815890645023</v>
      </c>
    </row>
    <row r="65" spans="1:7" ht="15.75">
      <c r="A65" s="70" t="s">
        <v>63</v>
      </c>
      <c r="B65" s="36"/>
      <c r="C65" s="36"/>
      <c r="D65" s="43">
        <f>SUM(D54:D64)</f>
        <v>124752369.7</v>
      </c>
      <c r="E65" s="44">
        <f>SUM(E54:E64)</f>
        <v>0.9999999999999999</v>
      </c>
      <c r="F65" s="46">
        <f>SUM(F54:F64)</f>
        <v>2341</v>
      </c>
      <c r="G65" s="44">
        <f>SUM(G54:G64)</f>
        <v>1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69</v>
      </c>
    </row>
  </sheetData>
  <printOptions/>
  <pageMargins left="0.75" right="0.75" top="1" bottom="1" header="0.5" footer="0.5"/>
  <pageSetup horizontalDpi="600" verticalDpi="600" orientation="portrait" paperSize="9" scale="78" r:id="rId2"/>
  <rowBreaks count="1" manualBreakCount="1">
    <brk id="50" max="255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38930</v>
      </c>
      <c r="E4" s="3"/>
    </row>
    <row r="5" spans="1:5" ht="15.75">
      <c r="A5" s="2" t="s">
        <v>15</v>
      </c>
      <c r="D5" s="73">
        <v>0.0470188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80256016</v>
      </c>
      <c r="E9" s="75">
        <v>4496362</v>
      </c>
      <c r="F9" s="75">
        <v>334052</v>
      </c>
      <c r="G9" s="9">
        <f>+D9/460000000</f>
        <v>0.1744696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175768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120256016</v>
      </c>
      <c r="E11" s="18">
        <f>SUM(E9:E10)</f>
        <v>4496362</v>
      </c>
      <c r="F11" s="18">
        <f>SUM(F9:F10)</f>
        <v>509820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248</v>
      </c>
      <c r="F17" s="21">
        <v>11750000</v>
      </c>
    </row>
    <row r="18" spans="1:6" ht="15.75">
      <c r="A18" s="77" t="s">
        <v>249</v>
      </c>
      <c r="F18" s="21">
        <v>0</v>
      </c>
    </row>
    <row r="19" spans="1:6" ht="15.75">
      <c r="A19" s="77" t="s">
        <v>250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251</v>
      </c>
      <c r="F30" s="74">
        <v>87529</v>
      </c>
    </row>
    <row r="31" spans="1:6" ht="15.75">
      <c r="A31" s="24" t="s">
        <v>196</v>
      </c>
      <c r="F31" s="74">
        <v>0</v>
      </c>
    </row>
    <row r="32" spans="1:6" ht="15.75">
      <c r="A32" s="77" t="s">
        <v>252</v>
      </c>
      <c r="F32" s="21">
        <f>D50</f>
        <v>120255995.47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+'Jul 06'!E35+E36</f>
        <v>120</v>
      </c>
      <c r="F35" s="79">
        <f>+'Jul 06'!F35+F36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+'Jul 06'!$E$37</f>
        <v>4358</v>
      </c>
      <c r="F37" s="26">
        <f>+'Jul 06'!$F$37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91">
        <f>((3849111+1641248.34-993976.93)/124752369.7)*12</f>
        <v>0.43250953107947254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117929629.45</v>
      </c>
      <c r="E43" s="81">
        <v>2277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1048605.4</v>
      </c>
      <c r="E44" s="83">
        <v>16</v>
      </c>
      <c r="F44" s="31"/>
    </row>
    <row r="45" spans="1:9" ht="15.75">
      <c r="A45" s="32" t="s">
        <v>36</v>
      </c>
      <c r="B45" s="33"/>
      <c r="C45" s="11"/>
      <c r="D45" s="82">
        <v>314279.19</v>
      </c>
      <c r="E45" s="83">
        <v>6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610549.82+77064+20462.74</f>
        <v>708076.5599999999</v>
      </c>
      <c r="E46" s="83">
        <f>8+2+1</f>
        <v>11</v>
      </c>
      <c r="F46" s="31"/>
      <c r="G46" s="88"/>
    </row>
    <row r="47" spans="1:6" ht="15.75">
      <c r="A47" s="10" t="s">
        <v>27</v>
      </c>
      <c r="B47" s="33"/>
      <c r="C47" s="11"/>
      <c r="D47" s="82">
        <v>254128.82</v>
      </c>
      <c r="E47" s="83">
        <v>5</v>
      </c>
      <c r="F47" s="31"/>
    </row>
    <row r="48" spans="1:6" ht="15.75">
      <c r="A48" s="10" t="s">
        <v>38</v>
      </c>
      <c r="B48" s="33"/>
      <c r="C48" s="11"/>
      <c r="D48" s="82">
        <v>1189.1</v>
      </c>
      <c r="E48" s="83">
        <v>1</v>
      </c>
      <c r="F48" s="31"/>
    </row>
    <row r="49" spans="1:7" ht="15.75">
      <c r="A49" s="10" t="s">
        <v>222</v>
      </c>
      <c r="B49" s="33"/>
      <c r="C49" s="11"/>
      <c r="D49" s="82">
        <v>86.95</v>
      </c>
      <c r="E49" s="83">
        <v>1</v>
      </c>
      <c r="F49" s="31"/>
      <c r="G49" s="88"/>
    </row>
    <row r="50" spans="1:6" ht="15.75">
      <c r="A50" s="15"/>
      <c r="B50" s="36"/>
      <c r="C50" s="16"/>
      <c r="D50" s="37">
        <f>SUM(D43:D49)</f>
        <v>120255995.47</v>
      </c>
      <c r="E50" s="38">
        <f>SUM(E43:E49)</f>
        <v>2317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84">
        <v>6263592.69</v>
      </c>
      <c r="E54" s="40">
        <f aca="true" t="shared" si="0" ref="E54:E64">D54/D$65</f>
        <v>0.052085491999960744</v>
      </c>
      <c r="F54" s="86">
        <v>111</v>
      </c>
      <c r="G54" s="40">
        <f aca="true" t="shared" si="1" ref="G54:G64">F54/F$65</f>
        <v>0.04790677600345274</v>
      </c>
    </row>
    <row r="55" spans="1:7" ht="15.75">
      <c r="A55" s="10" t="s">
        <v>55</v>
      </c>
      <c r="D55" s="84">
        <v>12155021.46</v>
      </c>
      <c r="E55" s="40">
        <f t="shared" si="0"/>
        <v>0.10107622004619543</v>
      </c>
      <c r="F55" s="86">
        <v>272</v>
      </c>
      <c r="G55" s="40">
        <f t="shared" si="1"/>
        <v>0.1173931808372896</v>
      </c>
    </row>
    <row r="56" spans="1:7" ht="15.75">
      <c r="A56" s="32" t="s">
        <v>67</v>
      </c>
      <c r="D56" s="84">
        <v>6639657.5</v>
      </c>
      <c r="E56" s="40">
        <f t="shared" si="0"/>
        <v>0.055212694170049766</v>
      </c>
      <c r="F56" s="86">
        <v>184</v>
      </c>
      <c r="G56" s="40">
        <f t="shared" si="1"/>
        <v>0.07941303409581356</v>
      </c>
    </row>
    <row r="57" spans="1:7" ht="15.75">
      <c r="A57" s="10" t="s">
        <v>56</v>
      </c>
      <c r="D57" s="84">
        <v>3563450.69</v>
      </c>
      <c r="E57" s="40">
        <f t="shared" si="0"/>
        <v>0.02963220815787905</v>
      </c>
      <c r="F57" s="86">
        <v>70</v>
      </c>
      <c r="G57" s="40">
        <f t="shared" si="1"/>
        <v>0.030211480362537766</v>
      </c>
    </row>
    <row r="58" spans="1:7" ht="15.75">
      <c r="A58" s="10" t="s">
        <v>57</v>
      </c>
      <c r="D58" s="84">
        <v>12642136.68</v>
      </c>
      <c r="E58" s="40">
        <f t="shared" si="0"/>
        <v>0.10512687230761651</v>
      </c>
      <c r="F58" s="86">
        <v>264</v>
      </c>
      <c r="G58" s="40">
        <f t="shared" si="1"/>
        <v>0.11394044022442815</v>
      </c>
    </row>
    <row r="59" spans="1:7" ht="15.75">
      <c r="A59" s="10" t="s">
        <v>66</v>
      </c>
      <c r="D59" s="84">
        <v>718917.15</v>
      </c>
      <c r="E59" s="40">
        <f t="shared" si="0"/>
        <v>0.005978222933419953</v>
      </c>
      <c r="F59" s="86">
        <v>28</v>
      </c>
      <c r="G59" s="40">
        <f t="shared" si="1"/>
        <v>0.012084592145015106</v>
      </c>
    </row>
    <row r="60" spans="1:8" ht="15.75">
      <c r="A60" s="10" t="s">
        <v>58</v>
      </c>
      <c r="D60" s="84">
        <f>31017712.88+11476449.68</f>
        <v>42494162.56</v>
      </c>
      <c r="E60" s="40">
        <f t="shared" si="0"/>
        <v>0.35336419106522576</v>
      </c>
      <c r="F60" s="86">
        <f>493+139</f>
        <v>632</v>
      </c>
      <c r="G60" s="40">
        <f t="shared" si="1"/>
        <v>0.27276650841605526</v>
      </c>
      <c r="H60" s="42" t="str">
        <f>IF(E60&gt;80%,"ERROR"," ")</f>
        <v> </v>
      </c>
    </row>
    <row r="61" spans="1:7" ht="15.75">
      <c r="A61" s="10" t="s">
        <v>59</v>
      </c>
      <c r="D61" s="84">
        <v>11428595.99</v>
      </c>
      <c r="E61" s="40">
        <f t="shared" si="0"/>
        <v>0.09503556097418084</v>
      </c>
      <c r="F61" s="86">
        <v>225</v>
      </c>
      <c r="G61" s="40">
        <f t="shared" si="1"/>
        <v>0.09710832973672853</v>
      </c>
    </row>
    <row r="62" spans="1:7" ht="15.75">
      <c r="A62" s="10" t="s">
        <v>60</v>
      </c>
      <c r="D62" s="84">
        <v>2940354.15</v>
      </c>
      <c r="E62" s="40">
        <f t="shared" si="0"/>
        <v>0.024450790486645828</v>
      </c>
      <c r="F62" s="86">
        <v>58</v>
      </c>
      <c r="G62" s="40">
        <f t="shared" si="1"/>
        <v>0.025032369443245578</v>
      </c>
    </row>
    <row r="63" spans="1:7" ht="15.75">
      <c r="A63" s="10" t="s">
        <v>61</v>
      </c>
      <c r="D63" s="84">
        <v>10616038.38</v>
      </c>
      <c r="E63" s="40">
        <f t="shared" si="0"/>
        <v>0.08827866202020972</v>
      </c>
      <c r="F63" s="86">
        <v>209</v>
      </c>
      <c r="G63" s="40">
        <f t="shared" si="1"/>
        <v>0.09020284851100561</v>
      </c>
    </row>
    <row r="64" spans="1:7" ht="15.75">
      <c r="A64" s="15" t="s">
        <v>62</v>
      </c>
      <c r="B64" s="36"/>
      <c r="C64" s="36"/>
      <c r="D64" s="85">
        <v>10794068.22</v>
      </c>
      <c r="E64" s="44">
        <f t="shared" si="0"/>
        <v>0.08975908583861644</v>
      </c>
      <c r="F64" s="87">
        <v>264</v>
      </c>
      <c r="G64" s="44">
        <f t="shared" si="1"/>
        <v>0.11394044022442815</v>
      </c>
    </row>
    <row r="65" spans="1:7" ht="15.75">
      <c r="A65" s="70" t="s">
        <v>63</v>
      </c>
      <c r="B65" s="36"/>
      <c r="C65" s="36"/>
      <c r="D65" s="43">
        <f>SUM(D54:D64)</f>
        <v>120255995.47</v>
      </c>
      <c r="E65" s="44">
        <f>SUM(E54:E64)</f>
        <v>1</v>
      </c>
      <c r="F65" s="46">
        <f>SUM(F54:F64)</f>
        <v>2317</v>
      </c>
      <c r="G65" s="44">
        <f>SUM(G54:G64)</f>
        <v>1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69</v>
      </c>
    </row>
  </sheetData>
  <printOptions/>
  <pageMargins left="0.75" right="0.75" top="1" bottom="1" header="0.5" footer="0.5"/>
  <pageSetup horizontalDpi="600" verticalDpi="600" orientation="portrait" paperSize="9" scale="78" r:id="rId2"/>
  <rowBreaks count="1" manualBreakCount="1">
    <brk id="51" max="255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38961</v>
      </c>
      <c r="E4" s="3"/>
    </row>
    <row r="5" spans="1:5" ht="15.75">
      <c r="A5" s="2" t="s">
        <v>15</v>
      </c>
      <c r="D5" s="73">
        <v>0.0491063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74786018</v>
      </c>
      <c r="E9" s="75">
        <v>5469998</v>
      </c>
      <c r="F9" s="75">
        <v>339572</v>
      </c>
      <c r="G9" s="9">
        <f>+D9/460000000</f>
        <v>0.1625783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188612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114786018</v>
      </c>
      <c r="E11" s="18">
        <f>SUM(E9:E10)</f>
        <v>5469998</v>
      </c>
      <c r="F11" s="18">
        <f>SUM(F9:F10)</f>
        <v>528184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253</v>
      </c>
      <c r="F17" s="21">
        <v>11750000</v>
      </c>
    </row>
    <row r="18" spans="1:6" ht="15.75">
      <c r="A18" s="77" t="s">
        <v>254</v>
      </c>
      <c r="F18" s="21">
        <v>0</v>
      </c>
    </row>
    <row r="19" spans="1:6" ht="15.75">
      <c r="A19" s="77" t="s">
        <v>255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256</v>
      </c>
      <c r="F30" s="74">
        <v>82064</v>
      </c>
    </row>
    <row r="31" spans="1:6" ht="15.75">
      <c r="A31" s="24" t="s">
        <v>196</v>
      </c>
      <c r="F31" s="74">
        <v>0</v>
      </c>
    </row>
    <row r="32" spans="1:6" ht="15.75">
      <c r="A32" s="77" t="s">
        <v>257</v>
      </c>
      <c r="F32" s="21">
        <f>D50</f>
        <v>114786005.28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+'Aug 06'!E35+E36</f>
        <v>120</v>
      </c>
      <c r="F35" s="79">
        <f>+'Aug 06'!F35+F36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+'Jul 06'!$E$37</f>
        <v>4358</v>
      </c>
      <c r="F37" s="26">
        <f>+'Jul 06'!$F$37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91">
        <f>((5059168+1716436-1305593)/120255995)*12</f>
        <v>0.5458366711780149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112308514.57</v>
      </c>
      <c r="E43" s="81">
        <v>2217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1348382.91</v>
      </c>
      <c r="E44" s="83">
        <v>19</v>
      </c>
      <c r="F44" s="31"/>
    </row>
    <row r="45" spans="1:9" ht="15.75">
      <c r="A45" s="32" t="s">
        <v>36</v>
      </c>
      <c r="B45" s="33"/>
      <c r="C45" s="11"/>
      <c r="D45" s="82">
        <v>358089.42</v>
      </c>
      <c r="E45" s="83">
        <v>5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329316.27+31249.89+20627.88</f>
        <v>381194.04000000004</v>
      </c>
      <c r="E46" s="83">
        <f>6+1+1</f>
        <v>8</v>
      </c>
      <c r="F46" s="31"/>
      <c r="G46" s="88"/>
    </row>
    <row r="47" spans="1:6" ht="15.75">
      <c r="A47" s="10" t="s">
        <v>27</v>
      </c>
      <c r="B47" s="33"/>
      <c r="C47" s="11"/>
      <c r="D47" s="82">
        <v>388548.29</v>
      </c>
      <c r="E47" s="83">
        <v>8</v>
      </c>
      <c r="F47" s="31"/>
    </row>
    <row r="48" spans="1:6" ht="15.75">
      <c r="A48" s="10" t="s">
        <v>38</v>
      </c>
      <c r="B48" s="33"/>
      <c r="C48" s="11"/>
      <c r="D48" s="82">
        <v>1189.1</v>
      </c>
      <c r="E48" s="83">
        <v>1</v>
      </c>
      <c r="F48" s="31"/>
    </row>
    <row r="49" spans="1:7" ht="15.75">
      <c r="A49" s="10" t="s">
        <v>222</v>
      </c>
      <c r="B49" s="33"/>
      <c r="C49" s="11"/>
      <c r="D49" s="82">
        <v>86.95</v>
      </c>
      <c r="E49" s="83">
        <v>1</v>
      </c>
      <c r="F49" s="31"/>
      <c r="G49" s="88"/>
    </row>
    <row r="50" spans="1:6" ht="15.75">
      <c r="A50" s="15"/>
      <c r="B50" s="36"/>
      <c r="C50" s="16"/>
      <c r="D50" s="37">
        <f>SUM(D43:D49)</f>
        <v>114786005.28</v>
      </c>
      <c r="E50" s="38">
        <f>SUM(E43:E49)</f>
        <v>2259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84">
        <v>6174532.77</v>
      </c>
      <c r="E54" s="40">
        <f aca="true" t="shared" si="0" ref="E54:E64">D54/D$65</f>
        <v>0.053791686146219014</v>
      </c>
      <c r="F54" s="86">
        <v>108</v>
      </c>
      <c r="G54" s="40">
        <f aca="true" t="shared" si="1" ref="G54:G64">F54/F$65</f>
        <v>0.04780876494023904</v>
      </c>
    </row>
    <row r="55" spans="1:7" ht="15.75">
      <c r="A55" s="10" t="s">
        <v>55</v>
      </c>
      <c r="D55" s="84">
        <v>11780498.6</v>
      </c>
      <c r="E55" s="40">
        <f t="shared" si="0"/>
        <v>0.10263009476863988</v>
      </c>
      <c r="F55" s="86">
        <v>267</v>
      </c>
      <c r="G55" s="40">
        <f t="shared" si="1"/>
        <v>0.11819389110225764</v>
      </c>
    </row>
    <row r="56" spans="1:7" ht="15.75">
      <c r="A56" s="32" t="s">
        <v>67</v>
      </c>
      <c r="D56" s="84">
        <v>6432643.1</v>
      </c>
      <c r="E56" s="40">
        <f t="shared" si="0"/>
        <v>0.05604030808728566</v>
      </c>
      <c r="F56" s="86">
        <v>181</v>
      </c>
      <c r="G56" s="40">
        <f t="shared" si="1"/>
        <v>0.08012394864984507</v>
      </c>
    </row>
    <row r="57" spans="1:7" ht="15.75">
      <c r="A57" s="10" t="s">
        <v>56</v>
      </c>
      <c r="D57" s="84">
        <v>3502653</v>
      </c>
      <c r="E57" s="40">
        <f t="shared" si="0"/>
        <v>0.030514634527579403</v>
      </c>
      <c r="F57" s="86">
        <v>68</v>
      </c>
      <c r="G57" s="40">
        <f t="shared" si="1"/>
        <v>0.03010181496237273</v>
      </c>
    </row>
    <row r="58" spans="1:7" ht="15.75">
      <c r="A58" s="10" t="s">
        <v>57</v>
      </c>
      <c r="D58" s="84">
        <v>12448339.37</v>
      </c>
      <c r="E58" s="40">
        <f t="shared" si="0"/>
        <v>0.10844823234012275</v>
      </c>
      <c r="F58" s="86">
        <v>259</v>
      </c>
      <c r="G58" s="40">
        <f t="shared" si="1"/>
        <v>0.11465250110668437</v>
      </c>
    </row>
    <row r="59" spans="1:7" ht="15.75">
      <c r="A59" s="10" t="s">
        <v>66</v>
      </c>
      <c r="D59" s="84">
        <v>717845.09</v>
      </c>
      <c r="E59" s="40">
        <f t="shared" si="0"/>
        <v>0.006253768377503379</v>
      </c>
      <c r="F59" s="86">
        <v>28</v>
      </c>
      <c r="G59" s="40">
        <f t="shared" si="1"/>
        <v>0.01239486498450642</v>
      </c>
    </row>
    <row r="60" spans="1:8" ht="15.75">
      <c r="A60" s="10" t="s">
        <v>58</v>
      </c>
      <c r="D60" s="84">
        <f>10812446.8+28907030.57</f>
        <v>39719477.370000005</v>
      </c>
      <c r="E60" s="40">
        <f t="shared" si="0"/>
        <v>0.3460306617789461</v>
      </c>
      <c r="F60" s="86">
        <f>133+476</f>
        <v>609</v>
      </c>
      <c r="G60" s="40">
        <f t="shared" si="1"/>
        <v>0.2695883134130146</v>
      </c>
      <c r="H60" s="42" t="str">
        <f>IF(E60&gt;80%,"ERROR"," ")</f>
        <v> </v>
      </c>
    </row>
    <row r="61" spans="1:7" ht="15.75">
      <c r="A61" s="10" t="s">
        <v>59</v>
      </c>
      <c r="D61" s="84">
        <v>10792400.67</v>
      </c>
      <c r="E61" s="40">
        <f t="shared" si="0"/>
        <v>0.09402192056142959</v>
      </c>
      <c r="F61" s="86">
        <v>217</v>
      </c>
      <c r="G61" s="40">
        <f t="shared" si="1"/>
        <v>0.09606020362992475</v>
      </c>
    </row>
    <row r="62" spans="1:7" ht="15.75">
      <c r="A62" s="10" t="s">
        <v>60</v>
      </c>
      <c r="D62" s="84">
        <v>2830432.78</v>
      </c>
      <c r="E62" s="40">
        <f t="shared" si="0"/>
        <v>0.024658343785861903</v>
      </c>
      <c r="F62" s="86">
        <v>58</v>
      </c>
      <c r="G62" s="40">
        <f t="shared" si="1"/>
        <v>0.025675077467906152</v>
      </c>
    </row>
    <row r="63" spans="1:7" ht="15.75">
      <c r="A63" s="10" t="s">
        <v>61</v>
      </c>
      <c r="D63" s="84">
        <v>10103682.64</v>
      </c>
      <c r="E63" s="40">
        <f t="shared" si="0"/>
        <v>0.08802190315233871</v>
      </c>
      <c r="F63" s="86">
        <v>206</v>
      </c>
      <c r="G63" s="40">
        <f t="shared" si="1"/>
        <v>0.09119079238601151</v>
      </c>
    </row>
    <row r="64" spans="1:7" ht="15.75">
      <c r="A64" s="15" t="s">
        <v>62</v>
      </c>
      <c r="B64" s="36"/>
      <c r="C64" s="36"/>
      <c r="D64" s="85">
        <v>10283499.89</v>
      </c>
      <c r="E64" s="44">
        <f t="shared" si="0"/>
        <v>0.0895884464740735</v>
      </c>
      <c r="F64" s="87">
        <v>258</v>
      </c>
      <c r="G64" s="44">
        <f t="shared" si="1"/>
        <v>0.11420982735723771</v>
      </c>
    </row>
    <row r="65" spans="1:7" ht="15.75">
      <c r="A65" s="70" t="s">
        <v>63</v>
      </c>
      <c r="B65" s="36"/>
      <c r="C65" s="36"/>
      <c r="D65" s="43">
        <f>SUM(D54:D64)</f>
        <v>114786005.28000002</v>
      </c>
      <c r="E65" s="44">
        <f>SUM(E54:E64)</f>
        <v>0.9999999999999999</v>
      </c>
      <c r="F65" s="46">
        <f>SUM(F54:F64)</f>
        <v>2259</v>
      </c>
      <c r="G65" s="44">
        <f>SUM(G54:G64)</f>
        <v>1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69</v>
      </c>
    </row>
  </sheetData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38992</v>
      </c>
      <c r="E4" s="3"/>
    </row>
    <row r="5" spans="1:5" ht="15.75">
      <c r="A5" s="2" t="s">
        <v>15</v>
      </c>
      <c r="D5" s="73">
        <v>0.0494563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71702684</v>
      </c>
      <c r="E9" s="75">
        <v>3083334</v>
      </c>
      <c r="F9" s="75">
        <v>329682</v>
      </c>
      <c r="G9" s="9">
        <f>+D9/460000000</f>
        <v>0.1558754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76">
        <v>195704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111702684</v>
      </c>
      <c r="E11" s="18">
        <f>SUM(E9:E10)</f>
        <v>3083334</v>
      </c>
      <c r="F11" s="18">
        <f>SUM(F9:F10)</f>
        <v>525386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77" t="s">
        <v>258</v>
      </c>
      <c r="F17" s="21">
        <v>11750000</v>
      </c>
    </row>
    <row r="18" spans="1:6" ht="15.75">
      <c r="A18" s="77" t="s">
        <v>259</v>
      </c>
      <c r="F18" s="21">
        <v>0</v>
      </c>
    </row>
    <row r="19" spans="1:6" ht="15.75">
      <c r="A19" s="77" t="s">
        <v>260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261</v>
      </c>
      <c r="F30" s="74">
        <v>104630</v>
      </c>
    </row>
    <row r="31" spans="1:6" ht="15.75">
      <c r="A31" s="24" t="s">
        <v>196</v>
      </c>
      <c r="F31" s="74">
        <v>0</v>
      </c>
    </row>
    <row r="32" spans="1:6" ht="15.75">
      <c r="A32" s="77" t="s">
        <v>262</v>
      </c>
      <c r="F32" s="21">
        <f>D50</f>
        <v>111702649.95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+'Sept 06'!E35+E36</f>
        <v>120</v>
      </c>
      <c r="F35" s="79">
        <f>+'Sept 06'!F35+F36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+'Sept 06'!$E$37</f>
        <v>4358</v>
      </c>
      <c r="F37" s="26">
        <f>+'Sept 06'!$F$37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f>((2745752.31+1674392.1-1336776.36)/114786005.28)*12</f>
        <v>0.3223425757325039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109420115.92</v>
      </c>
      <c r="E43" s="81">
        <v>2128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1326506.63</v>
      </c>
      <c r="E44" s="83">
        <v>16</v>
      </c>
      <c r="F44" s="31"/>
    </row>
    <row r="45" spans="1:9" ht="15.75">
      <c r="A45" s="32" t="s">
        <v>36</v>
      </c>
      <c r="B45" s="33"/>
      <c r="C45" s="11"/>
      <c r="D45" s="82">
        <v>514355.08</v>
      </c>
      <c r="E45" s="83">
        <v>7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f>144080.71+20793.94</f>
        <v>164874.65</v>
      </c>
      <c r="E46" s="83">
        <f>3+1</f>
        <v>4</v>
      </c>
      <c r="F46" s="31"/>
      <c r="G46" s="88"/>
    </row>
    <row r="47" spans="1:6" ht="15.75">
      <c r="A47" s="10" t="s">
        <v>27</v>
      </c>
      <c r="B47" s="33"/>
      <c r="C47" s="11"/>
      <c r="D47" s="82">
        <v>275521.62</v>
      </c>
      <c r="E47" s="83">
        <v>7</v>
      </c>
      <c r="F47" s="31"/>
    </row>
    <row r="48" spans="1:6" ht="15.75">
      <c r="A48" s="10" t="s">
        <v>38</v>
      </c>
      <c r="B48" s="33"/>
      <c r="C48" s="11"/>
      <c r="D48" s="82">
        <v>1189.1</v>
      </c>
      <c r="E48" s="83">
        <v>1</v>
      </c>
      <c r="F48" s="31"/>
    </row>
    <row r="49" spans="1:7" ht="15.75">
      <c r="A49" s="10" t="s">
        <v>222</v>
      </c>
      <c r="B49" s="33"/>
      <c r="C49" s="11"/>
      <c r="D49" s="82">
        <v>86.95</v>
      </c>
      <c r="E49" s="83">
        <v>1</v>
      </c>
      <c r="F49" s="31"/>
      <c r="G49" s="88"/>
    </row>
    <row r="50" spans="1:6" ht="15.75">
      <c r="A50" s="15"/>
      <c r="B50" s="36"/>
      <c r="C50" s="16"/>
      <c r="D50" s="37">
        <f>SUM(D43:D49)</f>
        <v>111702649.95</v>
      </c>
      <c r="E50" s="38">
        <f>SUM(E43:E49)</f>
        <v>2164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84">
        <v>5899163.44</v>
      </c>
      <c r="E54" s="40">
        <f aca="true" t="shared" si="0" ref="E54:E64">D54/D$65</f>
        <v>0.052811311483125664</v>
      </c>
      <c r="F54" s="86">
        <v>105</v>
      </c>
      <c r="G54" s="40">
        <f aca="true" t="shared" si="1" ref="G54:G64">F54/F$65</f>
        <v>0.04852125693160813</v>
      </c>
    </row>
    <row r="55" spans="1:7" ht="15.75">
      <c r="A55" s="10" t="s">
        <v>55</v>
      </c>
      <c r="D55" s="84">
        <v>11206880.66</v>
      </c>
      <c r="E55" s="40">
        <f t="shared" si="0"/>
        <v>0.10032779584921567</v>
      </c>
      <c r="F55" s="86">
        <v>256</v>
      </c>
      <c r="G55" s="40">
        <f t="shared" si="1"/>
        <v>0.11829944547134935</v>
      </c>
    </row>
    <row r="56" spans="1:7" ht="15.75">
      <c r="A56" s="32" t="s">
        <v>67</v>
      </c>
      <c r="D56" s="84">
        <v>6300244.75</v>
      </c>
      <c r="E56" s="40">
        <f t="shared" si="0"/>
        <v>0.05640192737432905</v>
      </c>
      <c r="F56" s="86">
        <v>174</v>
      </c>
      <c r="G56" s="40">
        <f t="shared" si="1"/>
        <v>0.08040665434380777</v>
      </c>
    </row>
    <row r="57" spans="1:7" ht="15.75">
      <c r="A57" s="10" t="s">
        <v>56</v>
      </c>
      <c r="D57" s="84">
        <v>3297852.88</v>
      </c>
      <c r="E57" s="40">
        <f t="shared" si="0"/>
        <v>0.029523497262385227</v>
      </c>
      <c r="F57" s="86">
        <v>65</v>
      </c>
      <c r="G57" s="40">
        <f t="shared" si="1"/>
        <v>0.030036968576709795</v>
      </c>
    </row>
    <row r="58" spans="1:7" ht="15.75">
      <c r="A58" s="10" t="s">
        <v>57</v>
      </c>
      <c r="D58" s="84">
        <v>12157502.61</v>
      </c>
      <c r="E58" s="40">
        <f t="shared" si="0"/>
        <v>0.108838085895383</v>
      </c>
      <c r="F58" s="86">
        <v>251</v>
      </c>
      <c r="G58" s="40">
        <f t="shared" si="1"/>
        <v>0.11598890942698706</v>
      </c>
    </row>
    <row r="59" spans="1:7" ht="15.75">
      <c r="A59" s="10" t="s">
        <v>66</v>
      </c>
      <c r="D59" s="84">
        <v>661506.54</v>
      </c>
      <c r="E59" s="40">
        <f t="shared" si="0"/>
        <v>0.005922030858677942</v>
      </c>
      <c r="F59" s="86">
        <v>27</v>
      </c>
      <c r="G59" s="40">
        <f t="shared" si="1"/>
        <v>0.012476894639556377</v>
      </c>
    </row>
    <row r="60" spans="1:8" ht="15.75">
      <c r="A60" s="10" t="s">
        <v>58</v>
      </c>
      <c r="D60" s="84">
        <f>28337244.01+10596800.58</f>
        <v>38934044.59</v>
      </c>
      <c r="E60" s="40">
        <f t="shared" si="0"/>
        <v>0.3485507694528961</v>
      </c>
      <c r="F60" s="86">
        <f>455+127</f>
        <v>582</v>
      </c>
      <c r="G60" s="40">
        <f t="shared" si="1"/>
        <v>0.2689463955637708</v>
      </c>
      <c r="H60" s="42" t="str">
        <f>IF(E60&gt;80%,"ERROR"," ")</f>
        <v> </v>
      </c>
    </row>
    <row r="61" spans="1:7" ht="15.75">
      <c r="A61" s="10" t="s">
        <v>59</v>
      </c>
      <c r="D61" s="84">
        <v>10418658.57</v>
      </c>
      <c r="E61" s="40">
        <f t="shared" si="0"/>
        <v>0.09327136441851262</v>
      </c>
      <c r="F61" s="86">
        <v>206</v>
      </c>
      <c r="G61" s="40">
        <f t="shared" si="1"/>
        <v>0.09519408502772643</v>
      </c>
    </row>
    <row r="62" spans="1:7" ht="15.75">
      <c r="A62" s="10" t="s">
        <v>60</v>
      </c>
      <c r="D62" s="84">
        <v>2792331.57</v>
      </c>
      <c r="E62" s="40">
        <f t="shared" si="0"/>
        <v>0.024997899076251953</v>
      </c>
      <c r="F62" s="86">
        <v>54</v>
      </c>
      <c r="G62" s="40">
        <f t="shared" si="1"/>
        <v>0.024953789279112754</v>
      </c>
    </row>
    <row r="63" spans="1:7" ht="15.75">
      <c r="A63" s="10" t="s">
        <v>61</v>
      </c>
      <c r="D63" s="84">
        <v>9941170.84</v>
      </c>
      <c r="E63" s="40">
        <f t="shared" si="0"/>
        <v>0.08899673234654538</v>
      </c>
      <c r="F63" s="86">
        <v>197</v>
      </c>
      <c r="G63" s="40">
        <f t="shared" si="1"/>
        <v>0.09103512014787431</v>
      </c>
    </row>
    <row r="64" spans="1:7" ht="15.75">
      <c r="A64" s="15" t="s">
        <v>62</v>
      </c>
      <c r="B64" s="36"/>
      <c r="C64" s="36"/>
      <c r="D64" s="85">
        <v>10093293.5</v>
      </c>
      <c r="E64" s="44">
        <f t="shared" si="0"/>
        <v>0.0903585859826775</v>
      </c>
      <c r="F64" s="87">
        <v>247</v>
      </c>
      <c r="G64" s="44">
        <f t="shared" si="1"/>
        <v>0.11414048059149723</v>
      </c>
    </row>
    <row r="65" spans="1:7" ht="15.75">
      <c r="A65" s="70" t="s">
        <v>63</v>
      </c>
      <c r="B65" s="36"/>
      <c r="C65" s="36"/>
      <c r="D65" s="43">
        <f>SUM(D54:D64)</f>
        <v>111702649.94999999</v>
      </c>
      <c r="E65" s="44">
        <f>SUM(E54:E64)</f>
        <v>1</v>
      </c>
      <c r="F65" s="46">
        <f>SUM(F54:F64)</f>
        <v>2164</v>
      </c>
      <c r="G65" s="44">
        <f>SUM(G54:G64)</f>
        <v>1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69</v>
      </c>
    </row>
  </sheetData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3.25390625" style="2" bestFit="1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90">
        <v>39022</v>
      </c>
      <c r="E4" s="3"/>
    </row>
    <row r="5" spans="1:5" ht="15.75">
      <c r="A5" s="2" t="s">
        <v>15</v>
      </c>
      <c r="D5" s="73">
        <v>0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75">
        <v>0</v>
      </c>
      <c r="E9" s="75">
        <v>71702684</v>
      </c>
      <c r="F9" s="75">
        <v>307970</v>
      </c>
      <c r="G9" s="9">
        <f>+D9/460000000</f>
        <v>0</v>
      </c>
    </row>
    <row r="10" spans="1:7" ht="15.75">
      <c r="A10" s="10" t="s">
        <v>5</v>
      </c>
      <c r="B10" s="11"/>
      <c r="C10" s="12">
        <v>85</v>
      </c>
      <c r="D10" s="13">
        <v>0</v>
      </c>
      <c r="E10" s="13">
        <v>40000000</v>
      </c>
      <c r="F10" s="76">
        <v>190540</v>
      </c>
      <c r="G10" s="14">
        <f>+D10/40000000</f>
        <v>0</v>
      </c>
    </row>
    <row r="11" spans="1:7" ht="15.75">
      <c r="A11" s="15"/>
      <c r="B11" s="16"/>
      <c r="C11" s="16"/>
      <c r="D11" s="17">
        <f>SUM(D9:D10)</f>
        <v>0</v>
      </c>
      <c r="E11" s="18">
        <f>SUM(E9:E10)</f>
        <v>111702684</v>
      </c>
      <c r="F11" s="18">
        <f>SUM(F9:F10)</f>
        <v>498510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25000000</v>
      </c>
    </row>
    <row r="15" spans="1:6" ht="15.75">
      <c r="A15" s="2" t="s">
        <v>44</v>
      </c>
      <c r="F15" s="21">
        <v>-25000000</v>
      </c>
    </row>
    <row r="16" ht="15.75">
      <c r="F16" s="21"/>
    </row>
    <row r="17" spans="1:6" ht="15.75">
      <c r="A17" s="77" t="s">
        <v>263</v>
      </c>
      <c r="F17" s="21">
        <v>11750000</v>
      </c>
    </row>
    <row r="18" spans="1:6" ht="15.75">
      <c r="A18" s="77" t="s">
        <v>264</v>
      </c>
      <c r="F18" s="21">
        <v>-11750000</v>
      </c>
    </row>
    <row r="19" spans="1:6" ht="15.75">
      <c r="A19" s="77" t="s">
        <v>265</v>
      </c>
      <c r="F19" s="21">
        <v>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77" t="s">
        <v>266</v>
      </c>
      <c r="F30" s="92">
        <v>104630</v>
      </c>
    </row>
    <row r="31" spans="1:6" ht="15.75">
      <c r="A31" s="24" t="s">
        <v>196</v>
      </c>
      <c r="F31" s="74">
        <v>0</v>
      </c>
    </row>
    <row r="32" spans="1:6" ht="15.75">
      <c r="A32" s="77" t="s">
        <v>267</v>
      </c>
      <c r="F32" s="21">
        <f>D50</f>
        <v>0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78">
        <f>+'Oct 06'!E35+E36</f>
        <v>120</v>
      </c>
      <c r="F35" s="79">
        <f>+'Oct 06'!F35+F36</f>
        <v>1518493.68</v>
      </c>
    </row>
    <row r="36" spans="1:6" ht="15.75">
      <c r="A36" s="2" t="s">
        <v>7</v>
      </c>
      <c r="E36" s="78">
        <v>0</v>
      </c>
      <c r="F36" s="79">
        <v>0</v>
      </c>
    </row>
    <row r="37" spans="1:6" ht="15.75">
      <c r="A37" s="2" t="s">
        <v>33</v>
      </c>
      <c r="E37" s="25">
        <f>+'Oct 06'!$E$37</f>
        <v>4358</v>
      </c>
      <c r="F37" s="26">
        <f>+'Oct 06'!$F$37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72">
        <v>1</v>
      </c>
    </row>
    <row r="40" ht="15.75">
      <c r="F40" s="21"/>
    </row>
    <row r="41" spans="1:6" ht="15.75">
      <c r="A41" s="2" t="s">
        <v>34</v>
      </c>
      <c r="F41" s="21"/>
    </row>
    <row r="42" spans="1:8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  <c r="H42" s="59" t="s">
        <v>185</v>
      </c>
    </row>
    <row r="43" spans="1:9" ht="15.75">
      <c r="A43" s="5" t="s">
        <v>11</v>
      </c>
      <c r="B43" s="28"/>
      <c r="C43" s="6"/>
      <c r="D43" s="80">
        <v>0</v>
      </c>
      <c r="E43" s="81">
        <v>0</v>
      </c>
      <c r="F43" s="31"/>
      <c r="G43" s="88"/>
      <c r="I43" s="89"/>
    </row>
    <row r="44" spans="1:6" ht="15.75">
      <c r="A44" s="32" t="s">
        <v>35</v>
      </c>
      <c r="B44" s="33"/>
      <c r="C44" s="11"/>
      <c r="D44" s="82">
        <v>0</v>
      </c>
      <c r="E44" s="83">
        <v>0</v>
      </c>
      <c r="F44" s="31"/>
    </row>
    <row r="45" spans="1:9" ht="15.75">
      <c r="A45" s="32" t="s">
        <v>36</v>
      </c>
      <c r="B45" s="33"/>
      <c r="C45" s="11"/>
      <c r="D45" s="82">
        <v>0</v>
      </c>
      <c r="E45" s="83">
        <v>0</v>
      </c>
      <c r="F45" s="31"/>
      <c r="G45" s="88"/>
      <c r="I45" s="89"/>
    </row>
    <row r="46" spans="1:7" ht="15.75">
      <c r="A46" s="10" t="s">
        <v>37</v>
      </c>
      <c r="B46" s="33"/>
      <c r="C46" s="11"/>
      <c r="D46" s="82">
        <v>0</v>
      </c>
      <c r="E46" s="83">
        <v>0</v>
      </c>
      <c r="F46" s="31"/>
      <c r="G46" s="88"/>
    </row>
    <row r="47" spans="1:6" ht="15.75">
      <c r="A47" s="10" t="s">
        <v>27</v>
      </c>
      <c r="B47" s="33"/>
      <c r="C47" s="11"/>
      <c r="D47" s="82">
        <v>0</v>
      </c>
      <c r="E47" s="83">
        <v>0</v>
      </c>
      <c r="F47" s="31"/>
    </row>
    <row r="48" spans="1:6" ht="15.75">
      <c r="A48" s="10" t="s">
        <v>38</v>
      </c>
      <c r="B48" s="33"/>
      <c r="C48" s="11"/>
      <c r="D48" s="82">
        <v>0</v>
      </c>
      <c r="E48" s="83">
        <v>0</v>
      </c>
      <c r="F48" s="31"/>
    </row>
    <row r="49" spans="1:7" ht="15.75">
      <c r="A49" s="10" t="s">
        <v>222</v>
      </c>
      <c r="B49" s="33"/>
      <c r="C49" s="11"/>
      <c r="D49" s="82">
        <v>0</v>
      </c>
      <c r="E49" s="83">
        <v>0</v>
      </c>
      <c r="F49" s="31"/>
      <c r="G49" s="88"/>
    </row>
    <row r="50" spans="1:6" ht="15.75">
      <c r="A50" s="15"/>
      <c r="B50" s="36"/>
      <c r="C50" s="16"/>
      <c r="D50" s="37">
        <f>SUM(D43:D49)</f>
        <v>0</v>
      </c>
      <c r="E50" s="38">
        <f>SUM(E43:E49)</f>
        <v>0</v>
      </c>
      <c r="F50" s="31"/>
    </row>
    <row r="51" spans="4:6" ht="15.75">
      <c r="D51" s="21"/>
      <c r="F51" s="21"/>
    </row>
    <row r="52" spans="1:6" ht="15.75">
      <c r="A52" s="2" t="s">
        <v>50</v>
      </c>
      <c r="F52" s="21"/>
    </row>
    <row r="53" spans="1:7" s="59" customFormat="1" ht="44.25" customHeight="1">
      <c r="A53" s="64" t="s">
        <v>51</v>
      </c>
      <c r="B53" s="65"/>
      <c r="C53" s="65"/>
      <c r="D53" s="66" t="s">
        <v>9</v>
      </c>
      <c r="E53" s="67" t="s">
        <v>52</v>
      </c>
      <c r="F53" s="68" t="s">
        <v>10</v>
      </c>
      <c r="G53" s="69" t="s">
        <v>53</v>
      </c>
    </row>
    <row r="54" spans="1:7" ht="15.75">
      <c r="A54" s="10" t="s">
        <v>54</v>
      </c>
      <c r="D54" s="84">
        <v>0</v>
      </c>
      <c r="E54" s="40">
        <v>0</v>
      </c>
      <c r="F54" s="86">
        <v>0</v>
      </c>
      <c r="G54" s="40">
        <v>0</v>
      </c>
    </row>
    <row r="55" spans="1:7" ht="15.75">
      <c r="A55" s="10" t="s">
        <v>55</v>
      </c>
      <c r="D55" s="84">
        <v>0</v>
      </c>
      <c r="E55" s="40">
        <v>0</v>
      </c>
      <c r="F55" s="86">
        <v>0</v>
      </c>
      <c r="G55" s="40">
        <v>0</v>
      </c>
    </row>
    <row r="56" spans="1:7" ht="15.75">
      <c r="A56" s="32" t="s">
        <v>67</v>
      </c>
      <c r="D56" s="84">
        <v>0</v>
      </c>
      <c r="E56" s="40">
        <v>0</v>
      </c>
      <c r="F56" s="86">
        <v>0</v>
      </c>
      <c r="G56" s="40">
        <v>0</v>
      </c>
    </row>
    <row r="57" spans="1:7" ht="15.75">
      <c r="A57" s="10" t="s">
        <v>56</v>
      </c>
      <c r="D57" s="84">
        <v>0</v>
      </c>
      <c r="E57" s="40">
        <v>0</v>
      </c>
      <c r="F57" s="86">
        <v>0</v>
      </c>
      <c r="G57" s="40">
        <v>0</v>
      </c>
    </row>
    <row r="58" spans="1:7" ht="15.75">
      <c r="A58" s="10" t="s">
        <v>57</v>
      </c>
      <c r="D58" s="84">
        <v>0</v>
      </c>
      <c r="E58" s="40">
        <v>0</v>
      </c>
      <c r="F58" s="86">
        <v>0</v>
      </c>
      <c r="G58" s="40">
        <v>0</v>
      </c>
    </row>
    <row r="59" spans="1:7" ht="15.75">
      <c r="A59" s="10" t="s">
        <v>66</v>
      </c>
      <c r="D59" s="84">
        <v>0</v>
      </c>
      <c r="E59" s="40">
        <v>0</v>
      </c>
      <c r="F59" s="86">
        <v>0</v>
      </c>
      <c r="G59" s="40">
        <v>0</v>
      </c>
    </row>
    <row r="60" spans="1:8" ht="15.75">
      <c r="A60" s="10" t="s">
        <v>58</v>
      </c>
      <c r="D60" s="84">
        <v>0</v>
      </c>
      <c r="E60" s="40">
        <v>0</v>
      </c>
      <c r="F60" s="86">
        <v>0</v>
      </c>
      <c r="G60" s="40">
        <v>0</v>
      </c>
      <c r="H60" s="42" t="str">
        <f>IF(E60&gt;80%,"ERROR"," ")</f>
        <v> </v>
      </c>
    </row>
    <row r="61" spans="1:7" ht="15.75">
      <c r="A61" s="10" t="s">
        <v>59</v>
      </c>
      <c r="D61" s="84">
        <v>0</v>
      </c>
      <c r="E61" s="40">
        <v>0</v>
      </c>
      <c r="F61" s="86">
        <v>0</v>
      </c>
      <c r="G61" s="40">
        <v>0</v>
      </c>
    </row>
    <row r="62" spans="1:7" ht="15.75">
      <c r="A62" s="10" t="s">
        <v>60</v>
      </c>
      <c r="D62" s="84">
        <v>0</v>
      </c>
      <c r="E62" s="40">
        <v>0</v>
      </c>
      <c r="F62" s="86">
        <v>0</v>
      </c>
      <c r="G62" s="40">
        <v>0</v>
      </c>
    </row>
    <row r="63" spans="1:7" ht="15.75">
      <c r="A63" s="10" t="s">
        <v>61</v>
      </c>
      <c r="D63" s="84">
        <v>0</v>
      </c>
      <c r="E63" s="40">
        <v>0</v>
      </c>
      <c r="F63" s="86">
        <v>0</v>
      </c>
      <c r="G63" s="40">
        <v>0</v>
      </c>
    </row>
    <row r="64" spans="1:7" ht="15.75">
      <c r="A64" s="15" t="s">
        <v>62</v>
      </c>
      <c r="B64" s="36"/>
      <c r="C64" s="36"/>
      <c r="D64" s="85">
        <v>0</v>
      </c>
      <c r="E64" s="44">
        <v>0</v>
      </c>
      <c r="F64" s="87">
        <v>0</v>
      </c>
      <c r="G64" s="44">
        <v>0</v>
      </c>
    </row>
    <row r="65" spans="1:7" ht="15.75">
      <c r="A65" s="70" t="s">
        <v>63</v>
      </c>
      <c r="B65" s="36"/>
      <c r="C65" s="36"/>
      <c r="D65" s="43">
        <f>SUM(D54:D64)</f>
        <v>0</v>
      </c>
      <c r="E65" s="44">
        <f>SUM(E54:E64)</f>
        <v>0</v>
      </c>
      <c r="F65" s="46">
        <f>SUM(F54:F64)</f>
        <v>0</v>
      </c>
      <c r="G65" s="44">
        <f>SUM(G54:G64)</f>
        <v>0</v>
      </c>
    </row>
    <row r="66" spans="1:7" ht="15.75">
      <c r="A66" s="47"/>
      <c r="B66" s="33"/>
      <c r="C66" s="33"/>
      <c r="D66" s="48"/>
      <c r="E66" s="49"/>
      <c r="F66" s="50"/>
      <c r="G66" s="49"/>
    </row>
    <row r="67" spans="1:6" ht="15.75">
      <c r="A67" s="24" t="s">
        <v>39</v>
      </c>
      <c r="E67" s="25" t="s">
        <v>26</v>
      </c>
      <c r="F67" s="25" t="s">
        <v>19</v>
      </c>
    </row>
    <row r="68" spans="5:6" ht="15.75">
      <c r="E68" s="25"/>
      <c r="F68" s="26"/>
    </row>
    <row r="69" spans="1:6" ht="15.75">
      <c r="A69" s="22" t="s">
        <v>20</v>
      </c>
      <c r="E69" s="25">
        <v>0</v>
      </c>
      <c r="F69" s="26">
        <v>0</v>
      </c>
    </row>
    <row r="70" spans="1:6" ht="15.75">
      <c r="A70" s="24" t="s">
        <v>21</v>
      </c>
      <c r="E70" s="25">
        <v>0</v>
      </c>
      <c r="F70" s="26">
        <v>0</v>
      </c>
    </row>
    <row r="71" spans="1:6" ht="15.75">
      <c r="A71" s="2" t="s">
        <v>12</v>
      </c>
      <c r="E71" s="25">
        <v>0</v>
      </c>
      <c r="F71" s="26">
        <v>0</v>
      </c>
    </row>
    <row r="72" spans="1:6" ht="15.75">
      <c r="A72" s="24" t="s">
        <v>22</v>
      </c>
      <c r="E72" s="25"/>
      <c r="F72" s="26">
        <f>F69-F73-F70-F71</f>
        <v>0</v>
      </c>
    </row>
    <row r="73" spans="1:6" ht="15.75">
      <c r="A73" s="2" t="s">
        <v>23</v>
      </c>
      <c r="E73" s="25"/>
      <c r="F73" s="51">
        <v>0</v>
      </c>
    </row>
    <row r="74" spans="5:6" ht="15.75">
      <c r="E74" s="25"/>
      <c r="F74" s="26"/>
    </row>
    <row r="75" spans="1:6" ht="15.75">
      <c r="A75" s="2" t="s">
        <v>24</v>
      </c>
      <c r="E75" s="25"/>
      <c r="F75" s="52">
        <v>0</v>
      </c>
    </row>
    <row r="76" spans="1:6" ht="15.75">
      <c r="A76" s="2" t="s">
        <v>13</v>
      </c>
      <c r="E76" s="25"/>
      <c r="F76" s="26">
        <v>0</v>
      </c>
    </row>
    <row r="77" spans="5:6" ht="15.75">
      <c r="E77" s="25"/>
      <c r="F77" s="26"/>
    </row>
    <row r="78" spans="1:6" ht="15.75">
      <c r="A78" s="2" t="s">
        <v>25</v>
      </c>
      <c r="E78" s="25"/>
      <c r="F78" s="52">
        <v>0</v>
      </c>
    </row>
    <row r="79" spans="1:6" ht="15.75">
      <c r="A79" s="2" t="s">
        <v>40</v>
      </c>
      <c r="E79" s="25"/>
      <c r="F79" s="53">
        <v>0</v>
      </c>
    </row>
    <row r="80" spans="5:6" ht="15.75">
      <c r="E80" s="25"/>
      <c r="F80" s="26"/>
    </row>
    <row r="81" ht="15.75">
      <c r="F81" s="21"/>
    </row>
    <row r="82" ht="15.75">
      <c r="F82" s="21"/>
    </row>
    <row r="83" ht="15.75">
      <c r="F83" s="21"/>
    </row>
    <row r="84" spans="1:6" ht="15.75">
      <c r="A84" s="28" t="s">
        <v>14</v>
      </c>
      <c r="B84" s="28"/>
      <c r="C84" s="28"/>
      <c r="F84" s="21"/>
    </row>
    <row r="85" ht="15.75">
      <c r="A85" s="2" t="s">
        <v>69</v>
      </c>
    </row>
  </sheetData>
  <printOptions/>
  <pageMargins left="0.75" right="0.75" top="1" bottom="1" header="0.5" footer="0.5"/>
  <pageSetup horizontalDpi="600" verticalDpi="600" orientation="portrait" paperSize="9" scale="85" r:id="rId2"/>
  <rowBreaks count="1" manualBreakCount="1">
    <brk id="51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37988</v>
      </c>
      <c r="E4" s="3"/>
    </row>
    <row r="5" spans="1:5" ht="15.75">
      <c r="A5" s="2" t="s">
        <v>15</v>
      </c>
      <c r="D5" s="4">
        <v>0.0389625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358628926</v>
      </c>
      <c r="E9" s="8">
        <v>12561036</v>
      </c>
      <c r="F9" s="8">
        <v>1333448</v>
      </c>
      <c r="G9" s="9">
        <f>+D9/460000000</f>
        <v>0.7796281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163628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398628926</v>
      </c>
      <c r="E11" s="18">
        <f>SUM(E9:E10)</f>
        <v>12561036</v>
      </c>
      <c r="F11" s="18">
        <f>SUM(F9:F10)</f>
        <v>1497076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123</v>
      </c>
      <c r="F17" s="21">
        <v>11750000</v>
      </c>
    </row>
    <row r="18" spans="1:6" ht="15.75">
      <c r="A18" s="22" t="s">
        <v>124</v>
      </c>
      <c r="F18" s="21">
        <v>0</v>
      </c>
    </row>
    <row r="19" spans="1:6" ht="15.75">
      <c r="A19" s="22" t="s">
        <v>125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126</v>
      </c>
      <c r="F30" s="21">
        <v>233069.76</v>
      </c>
    </row>
    <row r="31" spans="1:6" ht="15.75">
      <c r="A31" s="24" t="s">
        <v>68</v>
      </c>
      <c r="F31" s="21">
        <v>13934.37</v>
      </c>
    </row>
    <row r="32" spans="1:6" ht="15.75">
      <c r="A32" s="22" t="s">
        <v>127</v>
      </c>
      <c r="F32" s="21">
        <f>D49</f>
        <v>392693799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</f>
        <v>6</v>
      </c>
      <c r="F35" s="26">
        <f>30000+0+0+21150+35000+6000+10000+49950</f>
        <v>152100</v>
      </c>
    </row>
    <row r="36" spans="1:6" ht="15.75">
      <c r="A36" s="2" t="s">
        <v>7</v>
      </c>
      <c r="E36" s="25">
        <v>1</v>
      </c>
      <c r="F36" s="26">
        <v>49950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27">
        <v>0.3715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f>388586197-64291</f>
        <v>388521906</v>
      </c>
      <c r="E43" s="30">
        <v>6024</v>
      </c>
      <c r="F43" s="31"/>
    </row>
    <row r="44" spans="1:6" ht="15.75">
      <c r="A44" s="32" t="s">
        <v>35</v>
      </c>
      <c r="B44" s="33"/>
      <c r="C44" s="11"/>
      <c r="D44" s="34">
        <v>1658697</v>
      </c>
      <c r="E44" s="35">
        <v>24</v>
      </c>
      <c r="F44" s="31"/>
    </row>
    <row r="45" spans="1:6" ht="15.75">
      <c r="A45" s="32" t="s">
        <v>36</v>
      </c>
      <c r="B45" s="33"/>
      <c r="C45" s="11"/>
      <c r="D45" s="34">
        <v>966099</v>
      </c>
      <c r="E45" s="35">
        <v>9</v>
      </c>
      <c r="F45" s="31"/>
    </row>
    <row r="46" spans="1:6" ht="15.75">
      <c r="A46" s="10" t="s">
        <v>37</v>
      </c>
      <c r="B46" s="33"/>
      <c r="C46" s="11"/>
      <c r="D46" s="34">
        <f>617465+352007+144555</f>
        <v>1114027</v>
      </c>
      <c r="E46" s="35">
        <f>10+4+4</f>
        <v>18</v>
      </c>
      <c r="F46" s="31"/>
    </row>
    <row r="47" spans="1:6" ht="15.75">
      <c r="A47" s="10" t="s">
        <v>27</v>
      </c>
      <c r="B47" s="33"/>
      <c r="C47" s="11"/>
      <c r="D47" s="34">
        <v>433070</v>
      </c>
      <c r="E47" s="35">
        <v>7</v>
      </c>
      <c r="F47" s="31"/>
    </row>
    <row r="48" spans="1:6" ht="15.75">
      <c r="A48" s="10" t="s">
        <v>38</v>
      </c>
      <c r="B48" s="33"/>
      <c r="C48" s="11"/>
      <c r="D48" s="34">
        <v>0</v>
      </c>
      <c r="E48" s="35">
        <v>0</v>
      </c>
      <c r="F48" s="31"/>
    </row>
    <row r="49" spans="1:6" ht="15.75">
      <c r="A49" s="15"/>
      <c r="B49" s="36"/>
      <c r="C49" s="16"/>
      <c r="D49" s="37">
        <f>SUM(D43:D48)</f>
        <v>392693799</v>
      </c>
      <c r="E49" s="38">
        <f>SUM(E43:E48)</f>
        <v>6082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16119415</v>
      </c>
      <c r="E53" s="40">
        <f aca="true" t="shared" si="0" ref="E53:E63">D53/D$64</f>
        <v>0.04104830542536782</v>
      </c>
      <c r="F53" s="41">
        <v>289</v>
      </c>
      <c r="G53" s="40">
        <f aca="true" t="shared" si="1" ref="G53:G63">F53/F$64</f>
        <v>0.0475172640578757</v>
      </c>
    </row>
    <row r="54" spans="1:7" ht="15.75">
      <c r="A54" s="10" t="s">
        <v>55</v>
      </c>
      <c r="D54" s="39">
        <v>31836808</v>
      </c>
      <c r="E54" s="40">
        <f t="shared" si="0"/>
        <v>0.08107285646239604</v>
      </c>
      <c r="F54" s="41">
        <v>654</v>
      </c>
      <c r="G54" s="40">
        <f t="shared" si="1"/>
        <v>0.107530417625781</v>
      </c>
    </row>
    <row r="55" spans="1:7" ht="15.75">
      <c r="A55" s="32" t="s">
        <v>67</v>
      </c>
      <c r="D55" s="39">
        <v>18670044</v>
      </c>
      <c r="E55" s="40">
        <f t="shared" si="0"/>
        <v>0.04754351621427055</v>
      </c>
      <c r="F55" s="41">
        <v>398</v>
      </c>
      <c r="G55" s="40">
        <f t="shared" si="1"/>
        <v>0.0654390003288392</v>
      </c>
    </row>
    <row r="56" spans="1:7" ht="15.75">
      <c r="A56" s="10" t="s">
        <v>56</v>
      </c>
      <c r="D56" s="39">
        <v>11459253</v>
      </c>
      <c r="E56" s="40">
        <f t="shared" si="0"/>
        <v>0.029181140698379095</v>
      </c>
      <c r="F56" s="41">
        <v>200</v>
      </c>
      <c r="G56" s="40">
        <f t="shared" si="1"/>
        <v>0.03288391976323578</v>
      </c>
    </row>
    <row r="57" spans="1:7" ht="15.75">
      <c r="A57" s="10" t="s">
        <v>57</v>
      </c>
      <c r="D57" s="39">
        <v>43270744</v>
      </c>
      <c r="E57" s="40">
        <f t="shared" si="0"/>
        <v>0.11018952708239735</v>
      </c>
      <c r="F57" s="41">
        <v>770</v>
      </c>
      <c r="G57" s="40">
        <f t="shared" si="1"/>
        <v>0.12660309108845774</v>
      </c>
    </row>
    <row r="58" spans="1:7" ht="15.75">
      <c r="A58" s="10" t="s">
        <v>66</v>
      </c>
      <c r="D58" s="39">
        <v>1666273</v>
      </c>
      <c r="E58" s="40">
        <f t="shared" si="0"/>
        <v>0.004243186432388763</v>
      </c>
      <c r="F58" s="41">
        <v>58</v>
      </c>
      <c r="G58" s="40">
        <f t="shared" si="1"/>
        <v>0.009536336731338375</v>
      </c>
    </row>
    <row r="59" spans="1:8" ht="15.75">
      <c r="A59" s="10" t="s">
        <v>58</v>
      </c>
      <c r="D59" s="39">
        <f>85841119+66865422-64290</f>
        <v>152642251</v>
      </c>
      <c r="E59" s="40">
        <f t="shared" si="0"/>
        <v>0.38870552931751284</v>
      </c>
      <c r="F59" s="41">
        <f>996+633</f>
        <v>1629</v>
      </c>
      <c r="G59" s="40">
        <f t="shared" si="1"/>
        <v>0.2678395264715554</v>
      </c>
      <c r="H59" s="42" t="str">
        <f>IF(E59&gt;80%,"ERROR"," ")</f>
        <v> </v>
      </c>
    </row>
    <row r="60" spans="1:7" ht="15.75">
      <c r="A60" s="10" t="s">
        <v>59</v>
      </c>
      <c r="D60" s="39">
        <v>39127975</v>
      </c>
      <c r="E60" s="40">
        <f t="shared" si="0"/>
        <v>0.09963991053497638</v>
      </c>
      <c r="F60" s="41">
        <v>574</v>
      </c>
      <c r="G60" s="40">
        <f t="shared" si="1"/>
        <v>0.09437684972048668</v>
      </c>
    </row>
    <row r="61" spans="1:7" ht="15.75">
      <c r="A61" s="10" t="s">
        <v>60</v>
      </c>
      <c r="D61" s="39">
        <v>15946311</v>
      </c>
      <c r="E61" s="40">
        <f t="shared" si="0"/>
        <v>0.04060749377914165</v>
      </c>
      <c r="F61" s="41">
        <v>240</v>
      </c>
      <c r="G61" s="40">
        <f t="shared" si="1"/>
        <v>0.039460703715882936</v>
      </c>
    </row>
    <row r="62" spans="1:7" ht="15.75">
      <c r="A62" s="10" t="s">
        <v>61</v>
      </c>
      <c r="D62" s="39">
        <v>28890975</v>
      </c>
      <c r="E62" s="40">
        <f t="shared" si="0"/>
        <v>0.07357125341314595</v>
      </c>
      <c r="F62" s="41">
        <v>525</v>
      </c>
      <c r="G62" s="40">
        <f t="shared" si="1"/>
        <v>0.08632028937849391</v>
      </c>
    </row>
    <row r="63" spans="1:7" ht="15.75">
      <c r="A63" s="15" t="s">
        <v>62</v>
      </c>
      <c r="B63" s="36"/>
      <c r="C63" s="36"/>
      <c r="D63" s="43">
        <v>33063750</v>
      </c>
      <c r="E63" s="44">
        <f t="shared" si="0"/>
        <v>0.08419728064002355</v>
      </c>
      <c r="F63" s="45">
        <v>745</v>
      </c>
      <c r="G63" s="44">
        <f t="shared" si="1"/>
        <v>0.12249260111805327</v>
      </c>
    </row>
    <row r="64" spans="1:7" ht="15.75">
      <c r="A64" s="70" t="s">
        <v>63</v>
      </c>
      <c r="B64" s="36"/>
      <c r="C64" s="36"/>
      <c r="D64" s="43">
        <f>SUM(D53:D63)</f>
        <v>392693799</v>
      </c>
      <c r="E64" s="44">
        <f>SUM(E53:E63)</f>
        <v>0.9999999999999999</v>
      </c>
      <c r="F64" s="46">
        <f>SUM(F53:F63)</f>
        <v>6082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38019</v>
      </c>
      <c r="E4" s="3"/>
    </row>
    <row r="5" spans="1:5" ht="15.75">
      <c r="A5" s="2" t="s">
        <v>15</v>
      </c>
      <c r="D5" s="4">
        <v>0.039925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350795356</v>
      </c>
      <c r="E9" s="8">
        <v>7833570</v>
      </c>
      <c r="F9" s="8">
        <v>1268542</v>
      </c>
      <c r="G9" s="9">
        <f>+D9/460000000</f>
        <v>0.7625986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160800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390795356</v>
      </c>
      <c r="E11" s="18">
        <f>SUM(E9:E10)</f>
        <v>7833570</v>
      </c>
      <c r="F11" s="18">
        <f>SUM(F9:F10)</f>
        <v>1429342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128</v>
      </c>
      <c r="F17" s="21">
        <v>11750000</v>
      </c>
    </row>
    <row r="18" spans="1:6" ht="15.75">
      <c r="A18" s="22" t="s">
        <v>129</v>
      </c>
      <c r="F18" s="21">
        <v>0</v>
      </c>
    </row>
    <row r="19" spans="1:6" ht="15.75">
      <c r="A19" s="22" t="s">
        <v>130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131</v>
      </c>
      <c r="F30" s="21">
        <v>266042.93</v>
      </c>
    </row>
    <row r="31" spans="1:6" ht="15.75">
      <c r="A31" s="24" t="s">
        <v>68</v>
      </c>
      <c r="F31" s="21">
        <v>15200.55</v>
      </c>
    </row>
    <row r="32" spans="1:6" ht="15.75">
      <c r="A32" s="22" t="s">
        <v>132</v>
      </c>
      <c r="F32" s="21">
        <f>D49</f>
        <v>386647118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</f>
        <v>6</v>
      </c>
      <c r="F35" s="26">
        <f>30000+0+0+21150+35000+6000+10000+49950</f>
        <v>152100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27">
        <v>0.2371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f>382382598-250583</f>
        <v>382132015</v>
      </c>
      <c r="E43" s="30">
        <v>5921</v>
      </c>
      <c r="F43" s="31"/>
    </row>
    <row r="44" spans="1:6" ht="15.75">
      <c r="A44" s="32" t="s">
        <v>35</v>
      </c>
      <c r="B44" s="33"/>
      <c r="C44" s="11"/>
      <c r="D44" s="34">
        <v>2440766</v>
      </c>
      <c r="E44" s="35">
        <v>34</v>
      </c>
      <c r="F44" s="31"/>
    </row>
    <row r="45" spans="1:6" ht="15.75">
      <c r="A45" s="32" t="s">
        <v>36</v>
      </c>
      <c r="B45" s="33"/>
      <c r="C45" s="11"/>
      <c r="D45" s="34">
        <v>886485</v>
      </c>
      <c r="E45" s="35">
        <v>12</v>
      </c>
      <c r="F45" s="31"/>
    </row>
    <row r="46" spans="1:6" ht="15.75">
      <c r="A46" s="10" t="s">
        <v>37</v>
      </c>
      <c r="B46" s="33"/>
      <c r="C46" s="11"/>
      <c r="D46" s="34">
        <f>344182+38586+132316</f>
        <v>515084</v>
      </c>
      <c r="E46" s="35">
        <f>7+2+3</f>
        <v>12</v>
      </c>
      <c r="F46" s="31"/>
    </row>
    <row r="47" spans="1:6" ht="15.75">
      <c r="A47" s="10" t="s">
        <v>27</v>
      </c>
      <c r="B47" s="33"/>
      <c r="C47" s="11"/>
      <c r="D47" s="34">
        <v>672768</v>
      </c>
      <c r="E47" s="35">
        <v>8</v>
      </c>
      <c r="F47" s="31"/>
    </row>
    <row r="48" spans="1:6" ht="15.75">
      <c r="A48" s="10" t="s">
        <v>38</v>
      </c>
      <c r="B48" s="33"/>
      <c r="C48" s="11"/>
      <c r="D48" s="34">
        <v>0</v>
      </c>
      <c r="E48" s="35">
        <v>0</v>
      </c>
      <c r="F48" s="31"/>
    </row>
    <row r="49" spans="1:6" ht="15.75">
      <c r="A49" s="15"/>
      <c r="B49" s="36"/>
      <c r="C49" s="16"/>
      <c r="D49" s="37">
        <f>SUM(D43:D48)</f>
        <v>386647118</v>
      </c>
      <c r="E49" s="38">
        <f>SUM(E43:E48)</f>
        <v>5987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15950867</v>
      </c>
      <c r="E53" s="40">
        <f aca="true" t="shared" si="0" ref="E53:E63">D53/D$64</f>
        <v>0.04125432793216889</v>
      </c>
      <c r="F53" s="41">
        <v>286</v>
      </c>
      <c r="G53" s="40">
        <f aca="true" t="shared" si="1" ref="G53:G63">F53/F$64</f>
        <v>0.0477701686988475</v>
      </c>
    </row>
    <row r="54" spans="1:7" ht="15.75">
      <c r="A54" s="10" t="s">
        <v>55</v>
      </c>
      <c r="D54" s="39">
        <v>31372605</v>
      </c>
      <c r="E54" s="40">
        <f t="shared" si="0"/>
        <v>0.08114014960794302</v>
      </c>
      <c r="F54" s="41">
        <v>648</v>
      </c>
      <c r="G54" s="40">
        <f t="shared" si="1"/>
        <v>0.10823450810088525</v>
      </c>
    </row>
    <row r="55" spans="1:7" ht="15.75">
      <c r="A55" s="32" t="s">
        <v>67</v>
      </c>
      <c r="D55" s="39">
        <v>18421300</v>
      </c>
      <c r="E55" s="40">
        <f t="shared" si="0"/>
        <v>0.04764370182115259</v>
      </c>
      <c r="F55" s="41">
        <v>390</v>
      </c>
      <c r="G55" s="40">
        <f t="shared" si="1"/>
        <v>0.06514113913479205</v>
      </c>
    </row>
    <row r="56" spans="1:7" ht="15.75">
      <c r="A56" s="10" t="s">
        <v>56</v>
      </c>
      <c r="D56" s="39">
        <v>11392705</v>
      </c>
      <c r="E56" s="40">
        <f t="shared" si="0"/>
        <v>0.02946538191964488</v>
      </c>
      <c r="F56" s="41">
        <v>197</v>
      </c>
      <c r="G56" s="40">
        <f t="shared" si="1"/>
        <v>0.03290462669116419</v>
      </c>
    </row>
    <row r="57" spans="1:7" ht="15.75">
      <c r="A57" s="10" t="s">
        <v>57</v>
      </c>
      <c r="D57" s="39">
        <v>42628768</v>
      </c>
      <c r="E57" s="40">
        <f t="shared" si="0"/>
        <v>0.11025238781166863</v>
      </c>
      <c r="F57" s="41">
        <v>761</v>
      </c>
      <c r="G57" s="40">
        <f t="shared" si="1"/>
        <v>0.12710873559378655</v>
      </c>
    </row>
    <row r="58" spans="1:7" ht="15.75">
      <c r="A58" s="10" t="s">
        <v>66</v>
      </c>
      <c r="D58" s="39">
        <v>1600628</v>
      </c>
      <c r="E58" s="40">
        <f t="shared" si="0"/>
        <v>0.004139764466057652</v>
      </c>
      <c r="F58" s="41">
        <v>57</v>
      </c>
      <c r="G58" s="40">
        <f t="shared" si="1"/>
        <v>0.009520628027392683</v>
      </c>
    </row>
    <row r="59" spans="1:8" ht="15.75">
      <c r="A59" s="10" t="s">
        <v>58</v>
      </c>
      <c r="D59" s="39">
        <f>66199953+84159512-250584</f>
        <v>150108881</v>
      </c>
      <c r="E59" s="40">
        <f t="shared" si="0"/>
        <v>0.38823225109361864</v>
      </c>
      <c r="F59" s="41">
        <f>973+622</f>
        <v>1595</v>
      </c>
      <c r="G59" s="40">
        <f t="shared" si="1"/>
        <v>0.26641055620511106</v>
      </c>
      <c r="H59" s="42" t="str">
        <f>IF(E59&gt;80%,"ERROR"," ")</f>
        <v> </v>
      </c>
    </row>
    <row r="60" spans="1:7" ht="15.75">
      <c r="A60" s="10" t="s">
        <v>59</v>
      </c>
      <c r="D60" s="39">
        <v>38643798</v>
      </c>
      <c r="E60" s="40">
        <f t="shared" si="0"/>
        <v>0.09994590985157686</v>
      </c>
      <c r="F60" s="41">
        <v>566</v>
      </c>
      <c r="G60" s="40">
        <f t="shared" si="1"/>
        <v>0.09453816602639051</v>
      </c>
    </row>
    <row r="61" spans="1:7" ht="15.75">
      <c r="A61" s="10" t="s">
        <v>60</v>
      </c>
      <c r="D61" s="39">
        <v>15530152</v>
      </c>
      <c r="E61" s="40">
        <f t="shared" si="0"/>
        <v>0.04016621688616854</v>
      </c>
      <c r="F61" s="41">
        <v>237</v>
      </c>
      <c r="G61" s="40">
        <f t="shared" si="1"/>
        <v>0.03958576916652748</v>
      </c>
    </row>
    <row r="62" spans="1:7" ht="15.75">
      <c r="A62" s="10" t="s">
        <v>61</v>
      </c>
      <c r="D62" s="39">
        <v>28412609</v>
      </c>
      <c r="E62" s="40">
        <f t="shared" si="0"/>
        <v>0.07348460049817311</v>
      </c>
      <c r="F62" s="41">
        <v>516</v>
      </c>
      <c r="G62" s="40">
        <f t="shared" si="1"/>
        <v>0.08618673793218641</v>
      </c>
    </row>
    <row r="63" spans="1:7" ht="15.75">
      <c r="A63" s="15" t="s">
        <v>62</v>
      </c>
      <c r="B63" s="36"/>
      <c r="C63" s="36"/>
      <c r="D63" s="43">
        <v>32584805</v>
      </c>
      <c r="E63" s="44">
        <f t="shared" si="0"/>
        <v>0.08427530811182718</v>
      </c>
      <c r="F63" s="45">
        <v>734</v>
      </c>
      <c r="G63" s="44">
        <f t="shared" si="1"/>
        <v>0.12259896442291632</v>
      </c>
    </row>
    <row r="64" spans="1:7" ht="15.75">
      <c r="A64" s="70" t="s">
        <v>63</v>
      </c>
      <c r="B64" s="36"/>
      <c r="C64" s="36"/>
      <c r="D64" s="43">
        <f>SUM(D53:D63)</f>
        <v>386647118</v>
      </c>
      <c r="E64" s="44">
        <f>SUM(E53:E63)</f>
        <v>0.9999999999999999</v>
      </c>
      <c r="F64" s="46">
        <f>SUM(F53:F63)</f>
        <v>5987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38047</v>
      </c>
      <c r="E4" s="3"/>
    </row>
    <row r="5" spans="1:5" ht="15.75">
      <c r="A5" s="2" t="s">
        <v>15</v>
      </c>
      <c r="D5" s="4">
        <v>0.04155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342463100</v>
      </c>
      <c r="E9" s="8">
        <v>8332256</v>
      </c>
      <c r="F9" s="8">
        <v>1146596</v>
      </c>
      <c r="G9" s="9">
        <f>+D9/460000000</f>
        <v>0.744485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148184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382463100</v>
      </c>
      <c r="E11" s="18">
        <f>SUM(E9:E10)</f>
        <v>8332256</v>
      </c>
      <c r="F11" s="18">
        <f>SUM(F9:F10)</f>
        <v>1294780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133</v>
      </c>
      <c r="F17" s="21">
        <v>11750000</v>
      </c>
    </row>
    <row r="18" spans="1:6" ht="15.75">
      <c r="A18" s="22" t="s">
        <v>134</v>
      </c>
      <c r="F18" s="21">
        <v>0</v>
      </c>
    </row>
    <row r="19" spans="1:6" ht="15.75">
      <c r="A19" s="22" t="s">
        <v>135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136</v>
      </c>
      <c r="F30" s="21">
        <v>325046.47</v>
      </c>
    </row>
    <row r="31" spans="1:6" ht="15.75">
      <c r="A31" s="24" t="s">
        <v>68</v>
      </c>
      <c r="F31" s="21">
        <v>12006.3</v>
      </c>
    </row>
    <row r="32" spans="1:6" ht="15.75">
      <c r="A32" s="22" t="s">
        <v>137</v>
      </c>
      <c r="F32" s="21">
        <f>D49</f>
        <v>378053871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</f>
        <v>6</v>
      </c>
      <c r="F35" s="26">
        <f>30000+0+0+21150+35000+6000+10000+49950</f>
        <v>152100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27">
        <v>0.2544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f>373735584-202727</f>
        <v>373532857</v>
      </c>
      <c r="E43" s="30">
        <v>5810</v>
      </c>
      <c r="F43" s="31"/>
    </row>
    <row r="44" spans="1:6" ht="15.75">
      <c r="A44" s="32" t="s">
        <v>35</v>
      </c>
      <c r="B44" s="33"/>
      <c r="C44" s="11"/>
      <c r="D44" s="34">
        <v>2294292</v>
      </c>
      <c r="E44" s="35">
        <v>33</v>
      </c>
      <c r="F44" s="31"/>
    </row>
    <row r="45" spans="1:6" ht="15.75">
      <c r="A45" s="32" t="s">
        <v>36</v>
      </c>
      <c r="B45" s="33"/>
      <c r="C45" s="11"/>
      <c r="D45" s="34">
        <v>756826</v>
      </c>
      <c r="E45" s="35">
        <v>13</v>
      </c>
      <c r="F45" s="31"/>
    </row>
    <row r="46" spans="1:6" ht="15.75">
      <c r="A46" s="10" t="s">
        <v>37</v>
      </c>
      <c r="B46" s="33"/>
      <c r="C46" s="11"/>
      <c r="D46" s="34">
        <f>787390+40062+133091</f>
        <v>960543</v>
      </c>
      <c r="E46" s="35">
        <f>10+2+3</f>
        <v>15</v>
      </c>
      <c r="F46" s="31"/>
    </row>
    <row r="47" spans="1:6" ht="15.75">
      <c r="A47" s="10" t="s">
        <v>27</v>
      </c>
      <c r="B47" s="33"/>
      <c r="C47" s="11"/>
      <c r="D47" s="34">
        <v>509353</v>
      </c>
      <c r="E47" s="35">
        <v>7</v>
      </c>
      <c r="F47" s="31"/>
    </row>
    <row r="48" spans="1:6" ht="15.75">
      <c r="A48" s="10" t="s">
        <v>38</v>
      </c>
      <c r="B48" s="33"/>
      <c r="C48" s="11"/>
      <c r="D48" s="34">
        <v>0</v>
      </c>
      <c r="E48" s="35">
        <v>0</v>
      </c>
      <c r="F48" s="31"/>
    </row>
    <row r="49" spans="1:6" ht="15.75">
      <c r="A49" s="15"/>
      <c r="B49" s="36"/>
      <c r="C49" s="16"/>
      <c r="D49" s="37">
        <f>SUM(D43:D48)</f>
        <v>378053871</v>
      </c>
      <c r="E49" s="38">
        <f>SUM(E43:E48)</f>
        <v>5878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15804652</v>
      </c>
      <c r="E53" s="40">
        <f aca="true" t="shared" si="0" ref="E53:E63">D53/D$64</f>
        <v>0.04180529075973937</v>
      </c>
      <c r="F53" s="41">
        <v>282</v>
      </c>
      <c r="G53" s="40">
        <f aca="true" t="shared" si="1" ref="G53:G63">F53/F$64</f>
        <v>0.04797550187138482</v>
      </c>
    </row>
    <row r="54" spans="1:7" ht="15.75">
      <c r="A54" s="10" t="s">
        <v>55</v>
      </c>
      <c r="D54" s="39">
        <v>29972748</v>
      </c>
      <c r="E54" s="40">
        <f t="shared" si="0"/>
        <v>0.07928168522839964</v>
      </c>
      <c r="F54" s="41">
        <v>623</v>
      </c>
      <c r="G54" s="40">
        <f t="shared" si="1"/>
        <v>0.10598843143926506</v>
      </c>
    </row>
    <row r="55" spans="1:7" ht="15.75">
      <c r="A55" s="32" t="s">
        <v>67</v>
      </c>
      <c r="D55" s="39">
        <v>17833027</v>
      </c>
      <c r="E55" s="40">
        <f t="shared" si="0"/>
        <v>0.047170597546930024</v>
      </c>
      <c r="F55" s="41">
        <v>384</v>
      </c>
      <c r="G55" s="40">
        <f t="shared" si="1"/>
        <v>0.06532834297380061</v>
      </c>
    </row>
    <row r="56" spans="1:7" ht="15.75">
      <c r="A56" s="10" t="s">
        <v>56</v>
      </c>
      <c r="D56" s="39">
        <v>11110989</v>
      </c>
      <c r="E56" s="40">
        <f t="shared" si="0"/>
        <v>0.02938996225752176</v>
      </c>
      <c r="F56" s="41">
        <v>191</v>
      </c>
      <c r="G56" s="40">
        <f t="shared" si="1"/>
        <v>0.03249404559373937</v>
      </c>
    </row>
    <row r="57" spans="1:7" ht="15.75">
      <c r="A57" s="10" t="s">
        <v>57</v>
      </c>
      <c r="D57" s="39">
        <v>41465216</v>
      </c>
      <c r="E57" s="40">
        <f t="shared" si="0"/>
        <v>0.109680707382573</v>
      </c>
      <c r="F57" s="41">
        <v>746</v>
      </c>
      <c r="G57" s="40">
        <f t="shared" si="1"/>
        <v>0.12691391629806056</v>
      </c>
    </row>
    <row r="58" spans="1:7" ht="15.75">
      <c r="A58" s="10" t="s">
        <v>66</v>
      </c>
      <c r="D58" s="39">
        <v>1557937</v>
      </c>
      <c r="E58" s="40">
        <f t="shared" si="0"/>
        <v>0.0041209391557850234</v>
      </c>
      <c r="F58" s="41">
        <v>56</v>
      </c>
      <c r="G58" s="40">
        <f t="shared" si="1"/>
        <v>0.00952705001701259</v>
      </c>
    </row>
    <row r="59" spans="1:8" ht="15.75">
      <c r="A59" s="10" t="s">
        <v>58</v>
      </c>
      <c r="D59" s="39">
        <f>65351004+82952082-202727</f>
        <v>148100359</v>
      </c>
      <c r="E59" s="40">
        <f t="shared" si="0"/>
        <v>0.3917440617874271</v>
      </c>
      <c r="F59" s="41">
        <f>962+615</f>
        <v>1577</v>
      </c>
      <c r="G59" s="40">
        <f t="shared" si="1"/>
        <v>0.268288533514801</v>
      </c>
      <c r="H59" s="42" t="str">
        <f>IF(E59&gt;80%,"ERROR"," ")</f>
        <v> </v>
      </c>
    </row>
    <row r="60" spans="1:7" ht="15.75">
      <c r="A60" s="10" t="s">
        <v>59</v>
      </c>
      <c r="D60" s="39">
        <v>36966670</v>
      </c>
      <c r="E60" s="40">
        <f t="shared" si="0"/>
        <v>0.09778148786631523</v>
      </c>
      <c r="F60" s="41">
        <v>552</v>
      </c>
      <c r="G60" s="40">
        <f t="shared" si="1"/>
        <v>0.09390949302483838</v>
      </c>
    </row>
    <row r="61" spans="1:7" ht="15.75">
      <c r="A61" s="10" t="s">
        <v>60</v>
      </c>
      <c r="D61" s="39">
        <v>15248315</v>
      </c>
      <c r="E61" s="40">
        <f t="shared" si="0"/>
        <v>0.040333709478139426</v>
      </c>
      <c r="F61" s="41">
        <v>234</v>
      </c>
      <c r="G61" s="40">
        <f t="shared" si="1"/>
        <v>0.03980945899965975</v>
      </c>
    </row>
    <row r="62" spans="1:7" ht="15.75">
      <c r="A62" s="10" t="s">
        <v>61</v>
      </c>
      <c r="D62" s="39">
        <v>27863490</v>
      </c>
      <c r="E62" s="40">
        <f t="shared" si="0"/>
        <v>0.07370243274139097</v>
      </c>
      <c r="F62" s="41">
        <v>507</v>
      </c>
      <c r="G62" s="40">
        <f t="shared" si="1"/>
        <v>0.08625382783259612</v>
      </c>
    </row>
    <row r="63" spans="1:7" ht="15.75">
      <c r="A63" s="15" t="s">
        <v>62</v>
      </c>
      <c r="B63" s="36"/>
      <c r="C63" s="36"/>
      <c r="D63" s="43">
        <v>32130468</v>
      </c>
      <c r="E63" s="44">
        <f t="shared" si="0"/>
        <v>0.08498912579577846</v>
      </c>
      <c r="F63" s="45">
        <v>726</v>
      </c>
      <c r="G63" s="44">
        <f t="shared" si="1"/>
        <v>0.12351139843484178</v>
      </c>
    </row>
    <row r="64" spans="1:7" ht="15.75">
      <c r="A64" s="70" t="s">
        <v>63</v>
      </c>
      <c r="B64" s="36"/>
      <c r="C64" s="36"/>
      <c r="D64" s="43">
        <f>SUM(D53:D63)</f>
        <v>378053871</v>
      </c>
      <c r="E64" s="44">
        <f>SUM(E53:E63)</f>
        <v>1</v>
      </c>
      <c r="F64" s="46">
        <f>SUM(F53:F63)</f>
        <v>5878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38078</v>
      </c>
      <c r="E4" s="3"/>
    </row>
    <row r="5" spans="1:5" ht="15.75">
      <c r="A5" s="2" t="s">
        <v>15</v>
      </c>
      <c r="D5" s="4">
        <v>0.0416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332906462</v>
      </c>
      <c r="E9" s="8">
        <v>9556638</v>
      </c>
      <c r="F9" s="8">
        <v>1286436</v>
      </c>
      <c r="G9" s="9">
        <f>+D9/460000000</f>
        <v>0.7237097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169568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372906462</v>
      </c>
      <c r="E11" s="18">
        <f>SUM(E9:E10)</f>
        <v>9556638</v>
      </c>
      <c r="F11" s="18">
        <f>SUM(F9:F10)</f>
        <v>1456004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85</v>
      </c>
      <c r="F17" s="21">
        <v>11750000</v>
      </c>
    </row>
    <row r="18" spans="1:6" ht="15.75">
      <c r="A18" s="22" t="s">
        <v>86</v>
      </c>
      <c r="F18" s="21">
        <v>0</v>
      </c>
    </row>
    <row r="19" spans="1:6" ht="15.75">
      <c r="A19" s="22" t="s">
        <v>87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88</v>
      </c>
      <c r="F30" s="21">
        <v>224800</v>
      </c>
    </row>
    <row r="31" spans="1:6" ht="15.75">
      <c r="A31" s="24" t="s">
        <v>68</v>
      </c>
      <c r="F31" s="21">
        <v>12797</v>
      </c>
    </row>
    <row r="32" spans="1:6" ht="15.75">
      <c r="A32" s="22" t="s">
        <v>89</v>
      </c>
      <c r="F32" s="21">
        <f>D49</f>
        <v>367500110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</f>
        <v>6</v>
      </c>
      <c r="F35" s="26">
        <f>30000+0+0+21150+35000+6000+10000+49950</f>
        <v>152100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27">
        <f>((8175793+4762303-3080018)/383334636)*12</f>
        <v>0.3085996539065674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362596495</v>
      </c>
      <c r="E43" s="30">
        <v>5703</v>
      </c>
      <c r="F43" s="31"/>
    </row>
    <row r="44" spans="1:6" ht="15.75">
      <c r="A44" s="32" t="s">
        <v>35</v>
      </c>
      <c r="B44" s="33"/>
      <c r="C44" s="11"/>
      <c r="D44" s="34">
        <v>1909665</v>
      </c>
      <c r="E44" s="35">
        <v>33</v>
      </c>
      <c r="F44" s="31"/>
    </row>
    <row r="45" spans="1:6" ht="15.75">
      <c r="A45" s="32" t="s">
        <v>36</v>
      </c>
      <c r="B45" s="33"/>
      <c r="C45" s="11"/>
      <c r="D45" s="34">
        <v>1100978</v>
      </c>
      <c r="E45" s="35">
        <v>15</v>
      </c>
      <c r="F45" s="31"/>
    </row>
    <row r="46" spans="1:6" ht="15.75">
      <c r="A46" s="10" t="s">
        <v>37</v>
      </c>
      <c r="B46" s="33"/>
      <c r="C46" s="11"/>
      <c r="D46" s="34">
        <f>895337+81943+618382</f>
        <v>1595662</v>
      </c>
      <c r="E46" s="35">
        <f>10+3+6</f>
        <v>19</v>
      </c>
      <c r="F46" s="31"/>
    </row>
    <row r="47" spans="1:6" ht="15.75">
      <c r="A47" s="10" t="s">
        <v>27</v>
      </c>
      <c r="B47" s="33"/>
      <c r="C47" s="11"/>
      <c r="D47" s="34">
        <v>297310</v>
      </c>
      <c r="E47" s="35">
        <v>3</v>
      </c>
      <c r="F47" s="31"/>
    </row>
    <row r="48" spans="1:6" ht="15.75">
      <c r="A48" s="10" t="s">
        <v>38</v>
      </c>
      <c r="B48" s="33"/>
      <c r="C48" s="11"/>
      <c r="D48" s="34">
        <v>0</v>
      </c>
      <c r="E48" s="35">
        <v>0</v>
      </c>
      <c r="F48" s="31"/>
    </row>
    <row r="49" spans="1:6" ht="15.75">
      <c r="A49" s="15"/>
      <c r="B49" s="36"/>
      <c r="C49" s="16"/>
      <c r="D49" s="37">
        <f>SUM(D43:D48)</f>
        <v>367500110</v>
      </c>
      <c r="E49" s="38">
        <f>SUM(E43:E48)</f>
        <v>5773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15501871.17</v>
      </c>
      <c r="E53" s="40">
        <f aca="true" t="shared" si="0" ref="E53:E63">D53/D$64</f>
        <v>0.04218194973801379</v>
      </c>
      <c r="F53" s="41">
        <v>274</v>
      </c>
      <c r="G53" s="40">
        <f aca="true" t="shared" si="1" ref="G53:G63">F53/F$64</f>
        <v>0.04746232461458514</v>
      </c>
    </row>
    <row r="54" spans="1:7" ht="15.75">
      <c r="A54" s="10" t="s">
        <v>55</v>
      </c>
      <c r="D54" s="39">
        <v>36478765.91</v>
      </c>
      <c r="E54" s="40">
        <f t="shared" si="0"/>
        <v>0.09926191833526835</v>
      </c>
      <c r="F54" s="41">
        <v>744</v>
      </c>
      <c r="G54" s="40">
        <f t="shared" si="1"/>
        <v>0.1288758011432531</v>
      </c>
    </row>
    <row r="55" spans="1:7" ht="15.75">
      <c r="A55" s="32" t="s">
        <v>67</v>
      </c>
      <c r="D55" s="39">
        <v>17462105.21</v>
      </c>
      <c r="E55" s="40">
        <f t="shared" si="0"/>
        <v>0.047515918317887096</v>
      </c>
      <c r="F55" s="41">
        <v>378</v>
      </c>
      <c r="G55" s="40">
        <f t="shared" si="1"/>
        <v>0.06547722154858826</v>
      </c>
    </row>
    <row r="56" spans="1:7" ht="15.75">
      <c r="A56" s="10" t="s">
        <v>56</v>
      </c>
      <c r="D56" s="39">
        <v>10945836.75</v>
      </c>
      <c r="E56" s="40">
        <f t="shared" si="0"/>
        <v>0.029784580878374326</v>
      </c>
      <c r="F56" s="41">
        <v>191</v>
      </c>
      <c r="G56" s="40">
        <f t="shared" si="1"/>
        <v>0.03308505109994803</v>
      </c>
    </row>
    <row r="57" spans="1:7" ht="15.75">
      <c r="A57" s="10" t="s">
        <v>57</v>
      </c>
      <c r="D57" s="39">
        <v>38330650.37</v>
      </c>
      <c r="E57" s="40">
        <f t="shared" si="0"/>
        <v>0.10430105821429812</v>
      </c>
      <c r="F57" s="41">
        <v>670</v>
      </c>
      <c r="G57" s="40">
        <f t="shared" si="1"/>
        <v>0.11605750909405854</v>
      </c>
    </row>
    <row r="58" spans="1:7" ht="15.75">
      <c r="A58" s="10" t="s">
        <v>66</v>
      </c>
      <c r="D58" s="39">
        <v>1524913.53</v>
      </c>
      <c r="E58" s="40">
        <f t="shared" si="0"/>
        <v>0.004149423329085581</v>
      </c>
      <c r="F58" s="41">
        <v>57</v>
      </c>
      <c r="G58" s="40">
        <f t="shared" si="1"/>
        <v>0.009873549281136325</v>
      </c>
    </row>
    <row r="59" spans="1:8" ht="15.75">
      <c r="A59" s="10" t="s">
        <v>58</v>
      </c>
      <c r="D59" s="39">
        <f>108833742.4+34013318.51+466878.36</f>
        <v>143313939.27</v>
      </c>
      <c r="E59" s="40">
        <f t="shared" si="0"/>
        <v>0.3899697860180257</v>
      </c>
      <c r="F59" s="41">
        <f>3+1241+296</f>
        <v>1540</v>
      </c>
      <c r="G59" s="40">
        <f t="shared" si="1"/>
        <v>0.2667590507535077</v>
      </c>
      <c r="H59" s="42" t="str">
        <f>IF(E59&gt;80%,"ERROR"," ")</f>
        <v> </v>
      </c>
    </row>
    <row r="60" spans="1:7" ht="15.75">
      <c r="A60" s="10" t="s">
        <v>59</v>
      </c>
      <c r="D60" s="39">
        <v>36113369.77</v>
      </c>
      <c r="E60" s="40">
        <f t="shared" si="0"/>
        <v>0.09826764342207128</v>
      </c>
      <c r="F60" s="41">
        <v>553</v>
      </c>
      <c r="G60" s="40">
        <f t="shared" si="1"/>
        <v>0.09579075004330503</v>
      </c>
    </row>
    <row r="61" spans="1:7" ht="15.75">
      <c r="A61" s="10" t="s">
        <v>60</v>
      </c>
      <c r="D61" s="39">
        <v>9593906.82</v>
      </c>
      <c r="E61" s="40">
        <f t="shared" si="0"/>
        <v>0.026105861081828857</v>
      </c>
      <c r="F61" s="41">
        <v>157</v>
      </c>
      <c r="G61" s="40">
        <f t="shared" si="1"/>
        <v>0.02719556556383163</v>
      </c>
    </row>
    <row r="62" spans="1:7" ht="15.75">
      <c r="A62" s="10" t="s">
        <v>61</v>
      </c>
      <c r="D62" s="39">
        <v>26969817.68</v>
      </c>
      <c r="E62" s="40">
        <f t="shared" si="0"/>
        <v>0.07338723702095866</v>
      </c>
      <c r="F62" s="41">
        <v>499</v>
      </c>
      <c r="G62" s="40">
        <f t="shared" si="1"/>
        <v>0.08643686125064957</v>
      </c>
    </row>
    <row r="63" spans="1:7" ht="15.75">
      <c r="A63" s="15" t="s">
        <v>62</v>
      </c>
      <c r="B63" s="36"/>
      <c r="C63" s="36"/>
      <c r="D63" s="43">
        <v>31264933.55</v>
      </c>
      <c r="E63" s="44">
        <f t="shared" si="0"/>
        <v>0.08507462364418819</v>
      </c>
      <c r="F63" s="45">
        <v>710</v>
      </c>
      <c r="G63" s="44">
        <f t="shared" si="1"/>
        <v>0.12298631560713667</v>
      </c>
    </row>
    <row r="64" spans="1:7" ht="15.75">
      <c r="A64" s="70" t="s">
        <v>63</v>
      </c>
      <c r="B64" s="36"/>
      <c r="C64" s="36"/>
      <c r="D64" s="43">
        <f>SUM(D53:D63)</f>
        <v>367500110.03000003</v>
      </c>
      <c r="E64" s="44">
        <f>SUM(E53:E63)</f>
        <v>0.9999999999999999</v>
      </c>
      <c r="F64" s="46">
        <f>SUM(F53:F63)</f>
        <v>5773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38111</v>
      </c>
      <c r="E4" s="3"/>
    </row>
    <row r="5" spans="1:5" ht="15.75">
      <c r="A5" s="2" t="s">
        <v>15</v>
      </c>
      <c r="D5" s="4">
        <v>0.0431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323189744</v>
      </c>
      <c r="E9" s="8">
        <v>9716718</v>
      </c>
      <c r="F9" s="8">
        <v>1332712</v>
      </c>
      <c r="G9" s="9">
        <f>+D9/460000000</f>
        <v>0.7025864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180688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363189744</v>
      </c>
      <c r="E11" s="18">
        <f>SUM(E9:E10)</f>
        <v>9716718</v>
      </c>
      <c r="F11" s="18">
        <f>SUM(F9:F10)</f>
        <v>1513400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90</v>
      </c>
      <c r="F17" s="21">
        <v>11750000</v>
      </c>
    </row>
    <row r="18" spans="1:6" ht="15.75">
      <c r="A18" s="22" t="s">
        <v>91</v>
      </c>
      <c r="F18" s="21">
        <v>0</v>
      </c>
    </row>
    <row r="19" spans="1:6" ht="15.75">
      <c r="A19" s="22" t="s">
        <v>92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93</v>
      </c>
      <c r="F30" s="21">
        <v>259595</v>
      </c>
    </row>
    <row r="31" spans="1:6" ht="15.75">
      <c r="A31" s="24" t="s">
        <v>68</v>
      </c>
      <c r="F31" s="21">
        <v>11395</v>
      </c>
    </row>
    <row r="32" spans="1:6" ht="15.75">
      <c r="A32" s="22" t="s">
        <v>94</v>
      </c>
      <c r="F32" s="21">
        <f>D49</f>
        <v>356691097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</f>
        <v>6</v>
      </c>
      <c r="F35" s="26">
        <f>30000+0+0+21150+35000+6000+10000+49950</f>
        <v>152100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27">
        <f>((7960933.35+5222809.83-3351004.34)/374069059)*12</f>
        <v>0.3154307025430831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351179161</v>
      </c>
      <c r="E43" s="30">
        <v>5559</v>
      </c>
      <c r="F43" s="31"/>
    </row>
    <row r="44" spans="1:6" ht="15.75">
      <c r="A44" s="32" t="s">
        <v>35</v>
      </c>
      <c r="B44" s="33"/>
      <c r="C44" s="11"/>
      <c r="D44" s="34">
        <v>2647336</v>
      </c>
      <c r="E44" s="35">
        <v>37</v>
      </c>
      <c r="F44" s="31"/>
    </row>
    <row r="45" spans="1:6" ht="15.75">
      <c r="A45" s="32" t="s">
        <v>36</v>
      </c>
      <c r="B45" s="33"/>
      <c r="C45" s="11"/>
      <c r="D45" s="34">
        <v>959362</v>
      </c>
      <c r="E45" s="35">
        <v>18</v>
      </c>
      <c r="F45" s="31"/>
    </row>
    <row r="46" spans="1:6" ht="15.75">
      <c r="A46" s="10" t="s">
        <v>37</v>
      </c>
      <c r="B46" s="33"/>
      <c r="C46" s="11"/>
      <c r="D46" s="34">
        <f>1083287+302674+153100</f>
        <v>1539061</v>
      </c>
      <c r="E46" s="35">
        <f>17+8+6</f>
        <v>31</v>
      </c>
      <c r="F46" s="31"/>
    </row>
    <row r="47" spans="1:6" ht="15.75">
      <c r="A47" s="10" t="s">
        <v>27</v>
      </c>
      <c r="B47" s="33"/>
      <c r="C47" s="11"/>
      <c r="D47" s="34">
        <v>366177</v>
      </c>
      <c r="E47" s="35">
        <v>3</v>
      </c>
      <c r="F47" s="31"/>
    </row>
    <row r="48" spans="1:6" ht="15.75">
      <c r="A48" s="10" t="s">
        <v>38</v>
      </c>
      <c r="B48" s="33"/>
      <c r="C48" s="11"/>
      <c r="D48" s="34">
        <v>0</v>
      </c>
      <c r="E48" s="35">
        <v>0</v>
      </c>
      <c r="F48" s="31"/>
    </row>
    <row r="49" spans="1:6" ht="15.75">
      <c r="A49" s="15"/>
      <c r="B49" s="36"/>
      <c r="C49" s="16"/>
      <c r="D49" s="37">
        <f>SUM(D43:D48)</f>
        <v>356691097</v>
      </c>
      <c r="E49" s="38">
        <f>SUM(E43:E48)</f>
        <v>5648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14941955.71</v>
      </c>
      <c r="E53" s="40">
        <f aca="true" t="shared" si="0" ref="E53:E63">D53/D$64</f>
        <v>0.041890464466072044</v>
      </c>
      <c r="F53" s="41">
        <v>266</v>
      </c>
      <c r="G53" s="40">
        <f aca="true" t="shared" si="1" ref="G53:G63">F53/F$64</f>
        <v>0.047096317280453256</v>
      </c>
    </row>
    <row r="54" spans="1:7" ht="15.75">
      <c r="A54" s="10" t="s">
        <v>55</v>
      </c>
      <c r="D54" s="39">
        <v>34905412.92</v>
      </c>
      <c r="E54" s="40">
        <f t="shared" si="0"/>
        <v>0.09785894082260214</v>
      </c>
      <c r="F54" s="41">
        <v>725</v>
      </c>
      <c r="G54" s="40">
        <f t="shared" si="1"/>
        <v>0.12836402266288952</v>
      </c>
    </row>
    <row r="55" spans="1:7" ht="15.75">
      <c r="A55" s="32" t="s">
        <v>67</v>
      </c>
      <c r="D55" s="39">
        <v>17228568.52</v>
      </c>
      <c r="E55" s="40">
        <f t="shared" si="0"/>
        <v>0.04830108932161648</v>
      </c>
      <c r="F55" s="41">
        <v>369</v>
      </c>
      <c r="G55" s="40">
        <f t="shared" si="1"/>
        <v>0.0653328611898017</v>
      </c>
    </row>
    <row r="56" spans="1:7" ht="15.75">
      <c r="A56" s="10" t="s">
        <v>56</v>
      </c>
      <c r="D56" s="39">
        <v>10465475.59</v>
      </c>
      <c r="E56" s="40">
        <f t="shared" si="0"/>
        <v>0.029340445242387842</v>
      </c>
      <c r="F56" s="41">
        <v>186</v>
      </c>
      <c r="G56" s="40">
        <f t="shared" si="1"/>
        <v>0.03293201133144476</v>
      </c>
    </row>
    <row r="57" spans="1:7" ht="15.75">
      <c r="A57" s="10" t="s">
        <v>57</v>
      </c>
      <c r="D57" s="39">
        <v>37509525.45</v>
      </c>
      <c r="E57" s="40">
        <f t="shared" si="0"/>
        <v>0.10515969083959024</v>
      </c>
      <c r="F57" s="41">
        <v>659</v>
      </c>
      <c r="G57" s="40">
        <f t="shared" si="1"/>
        <v>0.1166784702549575</v>
      </c>
    </row>
    <row r="58" spans="1:7" ht="15.75">
      <c r="A58" s="10" t="s">
        <v>66</v>
      </c>
      <c r="D58" s="39">
        <v>1598358.07</v>
      </c>
      <c r="E58" s="40">
        <f t="shared" si="0"/>
        <v>0.004481070834026351</v>
      </c>
      <c r="F58" s="41">
        <v>57</v>
      </c>
      <c r="G58" s="40">
        <f t="shared" si="1"/>
        <v>0.010092067988668555</v>
      </c>
    </row>
    <row r="59" spans="1:8" ht="15.75">
      <c r="A59" s="10" t="s">
        <v>58</v>
      </c>
      <c r="D59" s="39">
        <f>105030954.3+33952709.11</f>
        <v>138983663.41</v>
      </c>
      <c r="E59" s="40">
        <f t="shared" si="0"/>
        <v>0.3896471336442693</v>
      </c>
      <c r="F59" s="41">
        <f>1209+297</f>
        <v>1506</v>
      </c>
      <c r="G59" s="40">
        <f t="shared" si="1"/>
        <v>0.266643059490085</v>
      </c>
      <c r="H59" s="42" t="str">
        <f>IF(E59&gt;80%,"ERROR"," ")</f>
        <v> </v>
      </c>
    </row>
    <row r="60" spans="1:7" ht="15.75">
      <c r="A60" s="10" t="s">
        <v>59</v>
      </c>
      <c r="D60" s="39">
        <v>35135733.92</v>
      </c>
      <c r="E60" s="40">
        <f t="shared" si="0"/>
        <v>0.09850465640719813</v>
      </c>
      <c r="F60" s="41">
        <v>540</v>
      </c>
      <c r="G60" s="40">
        <f t="shared" si="1"/>
        <v>0.09560906515580736</v>
      </c>
    </row>
    <row r="61" spans="1:7" ht="15.75">
      <c r="A61" s="10" t="s">
        <v>60</v>
      </c>
      <c r="D61" s="39">
        <v>9407353.8</v>
      </c>
      <c r="E61" s="40">
        <f t="shared" si="0"/>
        <v>0.02637395182579268</v>
      </c>
      <c r="F61" s="41">
        <v>154</v>
      </c>
      <c r="G61" s="40">
        <f t="shared" si="1"/>
        <v>0.02726628895184136</v>
      </c>
    </row>
    <row r="62" spans="1:7" ht="15.75">
      <c r="A62" s="10" t="s">
        <v>61</v>
      </c>
      <c r="D62" s="39">
        <v>26014407.22</v>
      </c>
      <c r="E62" s="40">
        <f t="shared" si="0"/>
        <v>0.07293259479587481</v>
      </c>
      <c r="F62" s="41">
        <v>488</v>
      </c>
      <c r="G62" s="40">
        <f t="shared" si="1"/>
        <v>0.08640226628895184</v>
      </c>
    </row>
    <row r="63" spans="1:7" ht="15.75">
      <c r="A63" s="15" t="s">
        <v>62</v>
      </c>
      <c r="B63" s="36"/>
      <c r="C63" s="36"/>
      <c r="D63" s="43">
        <v>30500642.05</v>
      </c>
      <c r="E63" s="44">
        <f t="shared" si="0"/>
        <v>0.08550996180056994</v>
      </c>
      <c r="F63" s="45">
        <v>698</v>
      </c>
      <c r="G63" s="44">
        <f t="shared" si="1"/>
        <v>0.12358356940509915</v>
      </c>
    </row>
    <row r="64" spans="1:7" ht="15.75">
      <c r="A64" s="70" t="s">
        <v>63</v>
      </c>
      <c r="B64" s="36"/>
      <c r="C64" s="36"/>
      <c r="D64" s="43">
        <f>SUM(D53:D63)</f>
        <v>356691096.66</v>
      </c>
      <c r="E64" s="44">
        <f>SUM(E53:E63)</f>
        <v>0.9999999999999999</v>
      </c>
      <c r="F64" s="46">
        <f>SUM(F53:F63)</f>
        <v>5648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65</v>
      </c>
    </row>
    <row r="4" spans="1:5" ht="15.75">
      <c r="A4" s="2" t="s">
        <v>0</v>
      </c>
      <c r="D4" s="3">
        <v>38139</v>
      </c>
      <c r="E4" s="3"/>
    </row>
    <row r="5" spans="1:5" ht="15.75">
      <c r="A5" s="2" t="s">
        <v>15</v>
      </c>
      <c r="D5" s="4">
        <v>0.044775</v>
      </c>
      <c r="E5" s="3"/>
    </row>
    <row r="7" ht="15.75">
      <c r="A7" s="2" t="s">
        <v>1</v>
      </c>
    </row>
    <row r="8" spans="1:7" s="59" customFormat="1" ht="31.5">
      <c r="A8" s="54" t="s">
        <v>2</v>
      </c>
      <c r="B8" s="55"/>
      <c r="C8" s="56" t="s">
        <v>28</v>
      </c>
      <c r="D8" s="57" t="s">
        <v>3</v>
      </c>
      <c r="E8" s="57" t="s">
        <v>29</v>
      </c>
      <c r="F8" s="57" t="s">
        <v>16</v>
      </c>
      <c r="G8" s="58" t="s">
        <v>4</v>
      </c>
    </row>
    <row r="9" spans="1:7" ht="15.75">
      <c r="A9" s="5" t="s">
        <v>30</v>
      </c>
      <c r="B9" s="6"/>
      <c r="C9" s="7">
        <v>28</v>
      </c>
      <c r="D9" s="8">
        <v>311999370</v>
      </c>
      <c r="E9" s="8">
        <v>11190374</v>
      </c>
      <c r="F9" s="8">
        <v>1134866</v>
      </c>
      <c r="G9" s="9">
        <f>+D9/460000000</f>
        <v>0.6782595</v>
      </c>
    </row>
    <row r="10" spans="1:7" ht="15.75">
      <c r="A10" s="10" t="s">
        <v>5</v>
      </c>
      <c r="B10" s="11"/>
      <c r="C10" s="12">
        <v>85</v>
      </c>
      <c r="D10" s="13">
        <v>40000000</v>
      </c>
      <c r="E10" s="13">
        <v>0</v>
      </c>
      <c r="F10" s="13">
        <v>157900</v>
      </c>
      <c r="G10" s="14">
        <f>+D10/40000000</f>
        <v>1</v>
      </c>
    </row>
    <row r="11" spans="1:7" ht="15.75">
      <c r="A11" s="15"/>
      <c r="B11" s="16"/>
      <c r="C11" s="16"/>
      <c r="D11" s="17">
        <f>SUM(D9:D10)</f>
        <v>351999370</v>
      </c>
      <c r="E11" s="18">
        <f>SUM(E9:E10)</f>
        <v>11190374</v>
      </c>
      <c r="F11" s="18">
        <f>SUM(F9:F10)</f>
        <v>1292766</v>
      </c>
      <c r="G11" s="19"/>
    </row>
    <row r="13" spans="1:6" ht="15.75">
      <c r="A13" s="2" t="s">
        <v>42</v>
      </c>
      <c r="F13" s="20" t="s">
        <v>43</v>
      </c>
    </row>
    <row r="14" spans="1:6" ht="15.75">
      <c r="A14" s="2" t="s">
        <v>31</v>
      </c>
      <c r="F14" s="21">
        <v>60000000</v>
      </c>
    </row>
    <row r="15" spans="1:6" ht="15.75">
      <c r="A15" s="2" t="s">
        <v>44</v>
      </c>
      <c r="F15" s="21">
        <v>0</v>
      </c>
    </row>
    <row r="16" ht="15.75">
      <c r="F16" s="21"/>
    </row>
    <row r="17" spans="1:6" ht="15.75">
      <c r="A17" s="22" t="s">
        <v>95</v>
      </c>
      <c r="F17" s="21">
        <v>11750000</v>
      </c>
    </row>
    <row r="18" spans="1:6" ht="15.75">
      <c r="A18" s="22" t="s">
        <v>96</v>
      </c>
      <c r="F18" s="21">
        <v>0</v>
      </c>
    </row>
    <row r="19" spans="1:6" ht="15.75">
      <c r="A19" s="22" t="s">
        <v>97</v>
      </c>
      <c r="F19" s="21">
        <v>11750000</v>
      </c>
    </row>
    <row r="20" ht="15.75">
      <c r="F20" s="21"/>
    </row>
    <row r="21" spans="1:6" ht="15.75">
      <c r="A21" s="2" t="s">
        <v>45</v>
      </c>
      <c r="F21" s="23" t="s">
        <v>64</v>
      </c>
    </row>
    <row r="22" spans="1:6" ht="15.75">
      <c r="A22" s="2" t="s">
        <v>46</v>
      </c>
      <c r="F22" s="21">
        <v>0</v>
      </c>
    </row>
    <row r="23" spans="1:6" ht="15.75">
      <c r="A23" s="2" t="s">
        <v>47</v>
      </c>
      <c r="F23" s="21">
        <v>0</v>
      </c>
    </row>
    <row r="24" spans="1:6" ht="15.75">
      <c r="A24" s="2" t="s">
        <v>48</v>
      </c>
      <c r="F24" s="21">
        <v>0</v>
      </c>
    </row>
    <row r="25" ht="15.75">
      <c r="F25" s="21"/>
    </row>
    <row r="26" spans="1:6" ht="15.75">
      <c r="A26" s="2" t="s">
        <v>6</v>
      </c>
      <c r="F26" s="21">
        <v>0</v>
      </c>
    </row>
    <row r="27" spans="1:6" ht="15.75">
      <c r="A27" s="2" t="s">
        <v>17</v>
      </c>
      <c r="F27" s="21">
        <v>0</v>
      </c>
    </row>
    <row r="28" spans="1:6" ht="15.75">
      <c r="A28" s="2" t="s">
        <v>49</v>
      </c>
      <c r="F28" s="21">
        <v>0</v>
      </c>
    </row>
    <row r="29" ht="15.75">
      <c r="F29" s="21"/>
    </row>
    <row r="30" spans="1:6" ht="15.75">
      <c r="A30" s="22" t="s">
        <v>98</v>
      </c>
      <c r="F30" s="21">
        <v>160014</v>
      </c>
    </row>
    <row r="31" spans="1:6" ht="15.75">
      <c r="A31" s="24" t="s">
        <v>68</v>
      </c>
      <c r="F31" s="21">
        <v>3728</v>
      </c>
    </row>
    <row r="32" spans="1:6" ht="15.75">
      <c r="A32" s="22" t="s">
        <v>99</v>
      </c>
      <c r="F32" s="21">
        <f>D49</f>
        <v>345263806</v>
      </c>
    </row>
    <row r="33" ht="15.75">
      <c r="F33" s="21"/>
    </row>
    <row r="34" spans="5:6" ht="15.75">
      <c r="E34" s="25" t="s">
        <v>18</v>
      </c>
      <c r="F34" s="26" t="s">
        <v>19</v>
      </c>
    </row>
    <row r="35" spans="1:6" ht="15.75">
      <c r="A35" s="2" t="s">
        <v>32</v>
      </c>
      <c r="E35" s="25">
        <f>1+1+1+1+1+1</f>
        <v>6</v>
      </c>
      <c r="F35" s="26">
        <f>30000+0+0+21150+35000+6000+10000+49950</f>
        <v>152100</v>
      </c>
    </row>
    <row r="36" spans="1:6" ht="15.75">
      <c r="A36" s="2" t="s">
        <v>7</v>
      </c>
      <c r="E36" s="25">
        <v>0</v>
      </c>
      <c r="F36" s="26">
        <v>0</v>
      </c>
    </row>
    <row r="37" spans="1:6" ht="15.75">
      <c r="A37" s="2" t="s">
        <v>33</v>
      </c>
      <c r="E37" s="25">
        <f>213+196+194+254+121+208+149+149+179+139+110+109+106+109+142+105+155+68+68+85+95+77+97+122+123+103+131+126+118+119+40+94+88+56+77+33</f>
        <v>4358</v>
      </c>
      <c r="F37" s="26">
        <f>16315771+9803702+10586179+12120579+11973350+13584252+13663278+14521040.3+16329389+13181969.58+9259172.68+10608097.28+11119368.39+9102529.23+12482800.4+10864565.84+11875056.57+4929120.17+7236040.1+7497020.52+9647696+9270029.38+11247215+12750695.25+12217418.12+10323625.75+11378290.98+12282818.31+10166545.77+10108693.97+4223611.05+11016672.5+9311717.11+6003489.27+6942479.36+2725981</f>
        <v>376670259.88000005</v>
      </c>
    </row>
    <row r="38" spans="5:6" ht="15.75">
      <c r="E38" s="25"/>
      <c r="F38" s="26"/>
    </row>
    <row r="39" spans="1:6" ht="15.75">
      <c r="A39" s="2" t="s">
        <v>41</v>
      </c>
      <c r="E39" s="25"/>
      <c r="F39" s="27">
        <f>((3810890.36+10369953-2827738)/364955550)*12</f>
        <v>0.373298239525334</v>
      </c>
    </row>
    <row r="40" ht="15.75">
      <c r="F40" s="21"/>
    </row>
    <row r="41" spans="1:6" ht="15.75">
      <c r="A41" s="2" t="s">
        <v>34</v>
      </c>
      <c r="F41" s="21"/>
    </row>
    <row r="42" spans="1:6" s="59" customFormat="1" ht="47.25">
      <c r="A42" s="54" t="s">
        <v>8</v>
      </c>
      <c r="B42" s="60"/>
      <c r="C42" s="55"/>
      <c r="D42" s="61" t="s">
        <v>9</v>
      </c>
      <c r="E42" s="62" t="s">
        <v>10</v>
      </c>
      <c r="F42" s="63"/>
    </row>
    <row r="43" spans="1:6" ht="15.75">
      <c r="A43" s="5" t="s">
        <v>11</v>
      </c>
      <c r="B43" s="28"/>
      <c r="C43" s="6"/>
      <c r="D43" s="29">
        <v>339827999</v>
      </c>
      <c r="E43" s="30">
        <v>5441</v>
      </c>
      <c r="F43" s="31"/>
    </row>
    <row r="44" spans="1:6" ht="15.75">
      <c r="A44" s="32" t="s">
        <v>35</v>
      </c>
      <c r="B44" s="33"/>
      <c r="C44" s="11"/>
      <c r="D44" s="34">
        <v>1936514</v>
      </c>
      <c r="E44" s="35">
        <v>28</v>
      </c>
      <c r="F44" s="31"/>
    </row>
    <row r="45" spans="1:6" ht="15.75">
      <c r="A45" s="32" t="s">
        <v>36</v>
      </c>
      <c r="B45" s="33"/>
      <c r="C45" s="11"/>
      <c r="D45" s="34">
        <v>1339511</v>
      </c>
      <c r="E45" s="35">
        <v>23</v>
      </c>
      <c r="F45" s="31"/>
    </row>
    <row r="46" spans="1:6" ht="15.75">
      <c r="A46" s="10" t="s">
        <v>37</v>
      </c>
      <c r="B46" s="33"/>
      <c r="C46" s="11"/>
      <c r="D46" s="34">
        <f>1142577+348928+273697</f>
        <v>1765202</v>
      </c>
      <c r="E46" s="35">
        <f>13+14</f>
        <v>27</v>
      </c>
      <c r="F46" s="31"/>
    </row>
    <row r="47" spans="1:6" ht="15.75">
      <c r="A47" s="10" t="s">
        <v>27</v>
      </c>
      <c r="B47" s="33"/>
      <c r="C47" s="11"/>
      <c r="D47" s="34">
        <v>394580</v>
      </c>
      <c r="E47" s="35">
        <v>4</v>
      </c>
      <c r="F47" s="31"/>
    </row>
    <row r="48" spans="1:6" ht="15.75">
      <c r="A48" s="10" t="s">
        <v>38</v>
      </c>
      <c r="B48" s="33"/>
      <c r="C48" s="11"/>
      <c r="D48" s="34">
        <v>0</v>
      </c>
      <c r="E48" s="35">
        <v>0</v>
      </c>
      <c r="F48" s="31"/>
    </row>
    <row r="49" spans="1:6" ht="15.75">
      <c r="A49" s="15"/>
      <c r="B49" s="36"/>
      <c r="C49" s="16"/>
      <c r="D49" s="37">
        <f>SUM(D43:D48)</f>
        <v>345263806</v>
      </c>
      <c r="E49" s="38">
        <f>SUM(E43:E48)</f>
        <v>5523</v>
      </c>
      <c r="F49" s="31"/>
    </row>
    <row r="50" spans="4:6" ht="15.75">
      <c r="D50" s="21"/>
      <c r="F50" s="21"/>
    </row>
    <row r="51" spans="1:6" ht="15.75">
      <c r="A51" s="2" t="s">
        <v>50</v>
      </c>
      <c r="F51" s="21"/>
    </row>
    <row r="52" spans="1:7" s="59" customFormat="1" ht="44.25" customHeight="1">
      <c r="A52" s="64" t="s">
        <v>51</v>
      </c>
      <c r="B52" s="65"/>
      <c r="C52" s="65"/>
      <c r="D52" s="66" t="s">
        <v>9</v>
      </c>
      <c r="E52" s="67" t="s">
        <v>52</v>
      </c>
      <c r="F52" s="68" t="s">
        <v>10</v>
      </c>
      <c r="G52" s="69" t="s">
        <v>53</v>
      </c>
    </row>
    <row r="53" spans="1:7" ht="15.75">
      <c r="A53" s="10" t="s">
        <v>54</v>
      </c>
      <c r="D53" s="39">
        <v>14227041.23</v>
      </c>
      <c r="E53" s="40">
        <f aca="true" t="shared" si="0" ref="E53:E63">D53/D$64</f>
        <v>0.0412062921034183</v>
      </c>
      <c r="F53" s="41">
        <v>259</v>
      </c>
      <c r="G53" s="40">
        <f aca="true" t="shared" si="1" ref="G53:G63">F53/F$64</f>
        <v>0.046894803548795945</v>
      </c>
    </row>
    <row r="54" spans="1:7" ht="15.75">
      <c r="A54" s="10" t="s">
        <v>55</v>
      </c>
      <c r="D54" s="39">
        <v>33037616.29</v>
      </c>
      <c r="E54" s="40">
        <f t="shared" si="0"/>
        <v>0.09568803837974052</v>
      </c>
      <c r="F54" s="41">
        <v>700</v>
      </c>
      <c r="G54" s="40">
        <f t="shared" si="1"/>
        <v>0.1267427122940431</v>
      </c>
    </row>
    <row r="55" spans="1:7" ht="15.75">
      <c r="A55" s="32" t="s">
        <v>67</v>
      </c>
      <c r="D55" s="39">
        <v>16872594.64</v>
      </c>
      <c r="E55" s="40">
        <f t="shared" si="0"/>
        <v>0.04886870376198453</v>
      </c>
      <c r="F55" s="41">
        <v>364</v>
      </c>
      <c r="G55" s="40">
        <f t="shared" si="1"/>
        <v>0.06590621039290241</v>
      </c>
    </row>
    <row r="56" spans="1:7" ht="15.75">
      <c r="A56" s="10" t="s">
        <v>56</v>
      </c>
      <c r="D56" s="39">
        <v>9991295.24</v>
      </c>
      <c r="E56" s="40">
        <f t="shared" si="0"/>
        <v>0.02893814838202538</v>
      </c>
      <c r="F56" s="41">
        <v>181</v>
      </c>
      <c r="G56" s="40">
        <f t="shared" si="1"/>
        <v>0.032772044178888286</v>
      </c>
    </row>
    <row r="57" spans="1:7" ht="15.75">
      <c r="A57" s="10" t="s">
        <v>57</v>
      </c>
      <c r="D57" s="39">
        <v>36832463.6</v>
      </c>
      <c r="E57" s="40">
        <f t="shared" si="0"/>
        <v>0.10667919136902101</v>
      </c>
      <c r="F57" s="41">
        <v>648</v>
      </c>
      <c r="G57" s="40">
        <f t="shared" si="1"/>
        <v>0.11732753938077133</v>
      </c>
    </row>
    <row r="58" spans="1:7" ht="15.75">
      <c r="A58" s="10" t="s">
        <v>66</v>
      </c>
      <c r="D58" s="39">
        <v>1451465.34</v>
      </c>
      <c r="E58" s="40">
        <f t="shared" si="0"/>
        <v>0.004203931359382682</v>
      </c>
      <c r="F58" s="41">
        <v>56</v>
      </c>
      <c r="G58" s="40">
        <f t="shared" si="1"/>
        <v>0.010139416983523447</v>
      </c>
    </row>
    <row r="59" spans="1:8" ht="15.75">
      <c r="A59" s="10" t="s">
        <v>58</v>
      </c>
      <c r="D59" s="39">
        <f>102248727+32864204.17</f>
        <v>135112931.17000002</v>
      </c>
      <c r="E59" s="40">
        <f t="shared" si="0"/>
        <v>0.39133245055901705</v>
      </c>
      <c r="F59" s="41">
        <f>290+1186</f>
        <v>1476</v>
      </c>
      <c r="G59" s="40">
        <f t="shared" si="1"/>
        <v>0.267246061922868</v>
      </c>
      <c r="H59" s="42" t="str">
        <f>IF(E59&gt;80%,"ERROR"," ")</f>
        <v> </v>
      </c>
    </row>
    <row r="60" spans="1:7" ht="15.75">
      <c r="A60" s="10" t="s">
        <v>59</v>
      </c>
      <c r="D60" s="39">
        <v>33469199.07</v>
      </c>
      <c r="E60" s="40">
        <f t="shared" si="0"/>
        <v>0.09693804713503851</v>
      </c>
      <c r="F60" s="41">
        <v>526</v>
      </c>
      <c r="G60" s="40">
        <f t="shared" si="1"/>
        <v>0.09523809523809523</v>
      </c>
    </row>
    <row r="61" spans="1:7" ht="15.75">
      <c r="A61" s="10" t="s">
        <v>60</v>
      </c>
      <c r="D61" s="39">
        <v>9356451.72</v>
      </c>
      <c r="E61" s="40">
        <f t="shared" si="0"/>
        <v>0.027099428222142757</v>
      </c>
      <c r="F61" s="41">
        <v>151</v>
      </c>
      <c r="G61" s="40">
        <f t="shared" si="1"/>
        <v>0.027340213652000723</v>
      </c>
    </row>
    <row r="62" spans="1:7" ht="15.75">
      <c r="A62" s="10" t="s">
        <v>61</v>
      </c>
      <c r="D62" s="39">
        <v>25661672.24</v>
      </c>
      <c r="E62" s="40">
        <f t="shared" si="0"/>
        <v>0.07432482587833342</v>
      </c>
      <c r="F62" s="41">
        <v>484</v>
      </c>
      <c r="G62" s="40">
        <f t="shared" si="1"/>
        <v>0.08763353250045265</v>
      </c>
    </row>
    <row r="63" spans="1:7" ht="15.75">
      <c r="A63" s="15" t="s">
        <v>62</v>
      </c>
      <c r="B63" s="36"/>
      <c r="C63" s="36"/>
      <c r="D63" s="43">
        <v>29251075.15</v>
      </c>
      <c r="E63" s="44">
        <f t="shared" si="0"/>
        <v>0.08472094284989573</v>
      </c>
      <c r="F63" s="45">
        <v>678</v>
      </c>
      <c r="G63" s="44">
        <f t="shared" si="1"/>
        <v>0.12275936990765889</v>
      </c>
    </row>
    <row r="64" spans="1:7" ht="15.75">
      <c r="A64" s="70" t="s">
        <v>63</v>
      </c>
      <c r="B64" s="36"/>
      <c r="C64" s="36"/>
      <c r="D64" s="43">
        <f>SUM(D53:D63)</f>
        <v>345263805.69000006</v>
      </c>
      <c r="E64" s="44">
        <f>SUM(E53:E63)</f>
        <v>0.9999999999999999</v>
      </c>
      <c r="F64" s="46">
        <f>SUM(F53:F63)</f>
        <v>5523</v>
      </c>
      <c r="G64" s="44">
        <f>SUM(G53:G63)</f>
        <v>1</v>
      </c>
    </row>
    <row r="65" spans="1:7" ht="15.75">
      <c r="A65" s="47"/>
      <c r="B65" s="33"/>
      <c r="C65" s="33"/>
      <c r="D65" s="48"/>
      <c r="E65" s="49"/>
      <c r="F65" s="50"/>
      <c r="G65" s="49"/>
    </row>
    <row r="66" spans="1:6" ht="15.75">
      <c r="A66" s="24" t="s">
        <v>39</v>
      </c>
      <c r="E66" s="25" t="s">
        <v>26</v>
      </c>
      <c r="F66" s="25" t="s">
        <v>19</v>
      </c>
    </row>
    <row r="67" spans="5:6" ht="15.75">
      <c r="E67" s="25"/>
      <c r="F67" s="26"/>
    </row>
    <row r="68" spans="1:6" ht="15.75">
      <c r="A68" s="22" t="s">
        <v>20</v>
      </c>
      <c r="E68" s="25">
        <v>0</v>
      </c>
      <c r="F68" s="26">
        <v>0</v>
      </c>
    </row>
    <row r="69" spans="1:6" ht="15.75">
      <c r="A69" s="24" t="s">
        <v>21</v>
      </c>
      <c r="E69" s="25">
        <v>0</v>
      </c>
      <c r="F69" s="26">
        <v>0</v>
      </c>
    </row>
    <row r="70" spans="1:6" ht="15.75">
      <c r="A70" s="2" t="s">
        <v>12</v>
      </c>
      <c r="E70" s="25">
        <v>0</v>
      </c>
      <c r="F70" s="26">
        <v>0</v>
      </c>
    </row>
    <row r="71" spans="1:6" ht="15.75">
      <c r="A71" s="24" t="s">
        <v>22</v>
      </c>
      <c r="E71" s="25"/>
      <c r="F71" s="26">
        <f>F68-F72-F69-F70</f>
        <v>0</v>
      </c>
    </row>
    <row r="72" spans="1:6" ht="15.75">
      <c r="A72" s="2" t="s">
        <v>23</v>
      </c>
      <c r="E72" s="25"/>
      <c r="F72" s="51">
        <v>0</v>
      </c>
    </row>
    <row r="73" spans="5:6" ht="15.75">
      <c r="E73" s="25"/>
      <c r="F73" s="26"/>
    </row>
    <row r="74" spans="1:6" ht="15.75">
      <c r="A74" s="2" t="s">
        <v>24</v>
      </c>
      <c r="E74" s="25"/>
      <c r="F74" s="52">
        <v>0</v>
      </c>
    </row>
    <row r="75" spans="1:6" ht="15.75">
      <c r="A75" s="2" t="s">
        <v>13</v>
      </c>
      <c r="E75" s="25"/>
      <c r="F75" s="26">
        <v>0</v>
      </c>
    </row>
    <row r="76" spans="5:6" ht="15.75">
      <c r="E76" s="25"/>
      <c r="F76" s="26"/>
    </row>
    <row r="77" spans="1:6" ht="15.75">
      <c r="A77" s="2" t="s">
        <v>25</v>
      </c>
      <c r="E77" s="25"/>
      <c r="F77" s="52">
        <v>0</v>
      </c>
    </row>
    <row r="78" spans="1:6" ht="15.75">
      <c r="A78" s="2" t="s">
        <v>40</v>
      </c>
      <c r="E78" s="25"/>
      <c r="F78" s="53">
        <v>0</v>
      </c>
    </row>
    <row r="79" spans="5:6" ht="15.75">
      <c r="E79" s="25"/>
      <c r="F79" s="26"/>
    </row>
    <row r="80" ht="15.75">
      <c r="F80" s="21"/>
    </row>
    <row r="81" ht="15.75">
      <c r="F81" s="21"/>
    </row>
    <row r="82" ht="15.75">
      <c r="F82" s="21"/>
    </row>
    <row r="83" spans="1:6" ht="15.75">
      <c r="A83" s="28" t="s">
        <v>14</v>
      </c>
      <c r="B83" s="28"/>
      <c r="C83" s="28"/>
      <c r="F83" s="21"/>
    </row>
    <row r="84" ht="15.75">
      <c r="A84" s="2" t="s">
        <v>69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2"/>
  <headerFooter alignWithMargins="0">
    <oddFooter>&amp;L&amp;10o:\inv\2001\Monthly Analysis\&amp;F&amp;A</oddFooter>
  </headerFooter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Hyde</dc:creator>
  <cp:keywords/>
  <dc:description/>
  <cp:lastModifiedBy>DoJulia</cp:lastModifiedBy>
  <cp:lastPrinted>2006-11-17T11:02:51Z</cp:lastPrinted>
  <dcterms:created xsi:type="dcterms:W3CDTF">1998-12-07T10:38:10Z</dcterms:created>
  <dcterms:modified xsi:type="dcterms:W3CDTF">2007-01-12T11:38:55Z</dcterms:modified>
  <cp:category/>
  <cp:version/>
  <cp:contentType/>
  <cp:contentStatus/>
</cp:coreProperties>
</file>