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40" tabRatio="666" firstSheet="25" activeTab="33"/>
  </bookViews>
  <sheets>
    <sheet name="Oct 03" sheetId="1" r:id="rId1"/>
    <sheet name="Nov 03" sheetId="2" r:id="rId2"/>
    <sheet name="Dec 03" sheetId="3" r:id="rId3"/>
    <sheet name="Jan 04" sheetId="4" r:id="rId4"/>
    <sheet name="Feb 04" sheetId="5" r:id="rId5"/>
    <sheet name="March 04" sheetId="6" r:id="rId6"/>
    <sheet name="April 04" sheetId="7" r:id="rId7"/>
    <sheet name="May 04" sheetId="8" r:id="rId8"/>
    <sheet name="June 04" sheetId="9" r:id="rId9"/>
    <sheet name="July 04" sheetId="10" r:id="rId10"/>
    <sheet name="August 04" sheetId="11" r:id="rId11"/>
    <sheet name="Sep 04" sheetId="12" r:id="rId12"/>
    <sheet name="Oct 04" sheetId="13" r:id="rId13"/>
    <sheet name="Nov 04" sheetId="14" r:id="rId14"/>
    <sheet name="Dec 04" sheetId="15" r:id="rId15"/>
    <sheet name="Jan 05" sheetId="16" r:id="rId16"/>
    <sheet name="Feb 05" sheetId="17" r:id="rId17"/>
    <sheet name="Mar 05" sheetId="18" r:id="rId18"/>
    <sheet name="Apr 05" sheetId="19" r:id="rId19"/>
    <sheet name="May 05" sheetId="20" r:id="rId20"/>
    <sheet name="Jun 05" sheetId="21" r:id="rId21"/>
    <sheet name="Jul 05" sheetId="22" r:id="rId22"/>
    <sheet name="Aug 05" sheetId="23" r:id="rId23"/>
    <sheet name="Sept 05" sheetId="24" r:id="rId24"/>
    <sheet name="Oct 05" sheetId="25" r:id="rId25"/>
    <sheet name="Nov 05" sheetId="26" r:id="rId26"/>
    <sheet name="Dec 05" sheetId="27" r:id="rId27"/>
    <sheet name="Jan 06" sheetId="28" r:id="rId28"/>
    <sheet name="Feb 06" sheetId="29" r:id="rId29"/>
    <sheet name="Mar 06" sheetId="30" r:id="rId30"/>
    <sheet name="Apr 06" sheetId="31" r:id="rId31"/>
    <sheet name="May 06" sheetId="32" r:id="rId32"/>
    <sheet name="Jun 06" sheetId="33" r:id="rId33"/>
    <sheet name="July 06" sheetId="34" r:id="rId34"/>
  </sheets>
  <definedNames>
    <definedName name="_xlnm.Print_Area" localSheetId="18">'Apr 05'!$A$1:$G$84</definedName>
    <definedName name="_xlnm.Print_Area" localSheetId="30">'Apr 06'!$A$1:$H$90</definedName>
    <definedName name="_xlnm.Print_Area" localSheetId="6">'April 04'!$A$1:$G$85</definedName>
    <definedName name="_xlnm.Print_Area" localSheetId="10">'August 04'!$A$1:$G$85</definedName>
    <definedName name="_xlnm.Print_Area" localSheetId="2">'Dec 03'!$A$1:$G$85</definedName>
    <definedName name="_xlnm.Print_Area" localSheetId="14">'Dec 04'!$A$1:$G$85</definedName>
    <definedName name="_xlnm.Print_Area" localSheetId="26">'Dec 05'!$A$1:$G$87</definedName>
    <definedName name="_xlnm.Print_Area" localSheetId="4">'Feb 04'!$A$1:$G$85</definedName>
    <definedName name="_xlnm.Print_Area" localSheetId="16">'Feb 05'!$A$1:$G$84</definedName>
    <definedName name="_xlnm.Print_Area" localSheetId="28">'Feb 06'!$A$1:$G$86</definedName>
    <definedName name="_xlnm.Print_Area" localSheetId="3">'Jan 04'!$A$1:$G$85</definedName>
    <definedName name="_xlnm.Print_Area" localSheetId="15">'Jan 05'!$A$1:$G$85</definedName>
    <definedName name="_xlnm.Print_Area" localSheetId="27">'Jan 06'!$A$1:$G$86</definedName>
    <definedName name="_xlnm.Print_Area" localSheetId="21">'Jul 05'!$A$1:$G$87</definedName>
    <definedName name="_xlnm.Print_Area" localSheetId="9">'July 04'!$A$1:$G$85</definedName>
    <definedName name="_xlnm.Print_Area" localSheetId="8">'June 04'!$A$1:$G$85</definedName>
    <definedName name="_xlnm.Print_Area" localSheetId="17">'Mar 05'!$A$1:$G$84</definedName>
    <definedName name="_xlnm.Print_Area" localSheetId="5">'March 04'!$A$1:$G$85</definedName>
    <definedName name="_xlnm.Print_Area" localSheetId="7">'May 04'!$A$1:$G$85</definedName>
    <definedName name="_xlnm.Print_Area" localSheetId="19">'May 05'!$A$1:$G$85</definedName>
    <definedName name="_xlnm.Print_Area" localSheetId="1">'Nov 03'!$A$1:$G$85</definedName>
    <definedName name="_xlnm.Print_Area" localSheetId="13">'Nov 04'!$A$1:$G$86</definedName>
    <definedName name="_xlnm.Print_Area" localSheetId="0">'Oct 03'!$A$1:$G$85</definedName>
    <definedName name="_xlnm.Print_Area" localSheetId="12">'Oct 04'!$A$1:$G$85</definedName>
    <definedName name="_xlnm.Print_Area" localSheetId="24">'Oct 05'!$A$1:$H$86</definedName>
    <definedName name="_xlnm.Print_Area" localSheetId="11">'Sep 04'!$A$1:$G$85</definedName>
    <definedName name="_xlnm.Print_Titles" localSheetId="6">'April 04'!$1:$2</definedName>
    <definedName name="_xlnm.Print_Titles" localSheetId="10">'August 04'!$1:$2</definedName>
    <definedName name="_xlnm.Print_Titles" localSheetId="2">'Dec 03'!$1:$2</definedName>
    <definedName name="_xlnm.Print_Titles" localSheetId="4">'Feb 04'!$1:$2</definedName>
    <definedName name="_xlnm.Print_Titles" localSheetId="3">'Jan 04'!$1:$2</definedName>
    <definedName name="_xlnm.Print_Titles" localSheetId="9">'July 04'!$1:$2</definedName>
    <definedName name="_xlnm.Print_Titles" localSheetId="8">'June 04'!$1:$2</definedName>
    <definedName name="_xlnm.Print_Titles" localSheetId="5">'March 04'!$1:$2</definedName>
    <definedName name="_xlnm.Print_Titles" localSheetId="7">'May 04'!$1:$2</definedName>
    <definedName name="_xlnm.Print_Titles" localSheetId="1">'Nov 03'!$1:$2</definedName>
    <definedName name="_xlnm.Print_Titles" localSheetId="0">'Oct 03'!$1:$2</definedName>
    <definedName name="_xlnm.Print_Titles" localSheetId="12">'Oct 04'!$1:$2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<sst xmlns="http://schemas.openxmlformats.org/spreadsheetml/2006/main" count="2747" uniqueCount="263">
  <si>
    <t>Interest Payment Date Prepared :</t>
  </si>
  <si>
    <t>Notes Outstanding</t>
  </si>
  <si>
    <t>Note Class</t>
  </si>
  <si>
    <t>Outstanding FRN</t>
  </si>
  <si>
    <t>Pool Factor</t>
  </si>
  <si>
    <t>B</t>
  </si>
  <si>
    <t>Principal Deficiency Ledger Balance</t>
  </si>
  <si>
    <t>Further Advances - this period</t>
  </si>
  <si>
    <t>Arrears Band</t>
  </si>
  <si>
    <t>Outstanding Balance of Mortgages</t>
  </si>
  <si>
    <t>Number of Mortgages</t>
  </si>
  <si>
    <t>Current</t>
  </si>
  <si>
    <t>MIG Payments Received</t>
  </si>
  <si>
    <t>MIG Claims Outstanding</t>
  </si>
  <si>
    <t>Authorised Signatory</t>
  </si>
  <si>
    <t>Note Rate LIBOR</t>
  </si>
  <si>
    <t>Interest Payment</t>
  </si>
  <si>
    <t>Realised Loss</t>
  </si>
  <si>
    <t xml:space="preserve">Number </t>
  </si>
  <si>
    <t>Value</t>
  </si>
  <si>
    <t>Properties Sold (Balance At Sale)</t>
  </si>
  <si>
    <t>Sale Proceeds</t>
  </si>
  <si>
    <t>Further Recovery (Amount)</t>
  </si>
  <si>
    <t>Surplus/(Loss)</t>
  </si>
  <si>
    <t>Total Recovery as a Percentage of Balance</t>
  </si>
  <si>
    <t>Cumulative Market Value Decline</t>
  </si>
  <si>
    <t>Number</t>
  </si>
  <si>
    <t>Litigation</t>
  </si>
  <si>
    <t>Margin bps</t>
  </si>
  <si>
    <t>Principal Repayment</t>
  </si>
  <si>
    <t>A</t>
  </si>
  <si>
    <t>Redraw Facility Outstanding</t>
  </si>
  <si>
    <t xml:space="preserve">Further Advances - cumulative </t>
  </si>
  <si>
    <t>Further/Substitute Mortgages - cumulative</t>
  </si>
  <si>
    <t>Portfolio Split</t>
  </si>
  <si>
    <t>Over 1 month - 2 months</t>
  </si>
  <si>
    <t>Over 2 months - 3 months</t>
  </si>
  <si>
    <t>Over 3 months</t>
  </si>
  <si>
    <t>Possession</t>
  </si>
  <si>
    <t>Cumulative</t>
  </si>
  <si>
    <t>Cumulative Average Sale Period (months)</t>
  </si>
  <si>
    <t>Annualised Repayment Rate</t>
  </si>
  <si>
    <t>First Flexible No.2 PLC Monthly Analysis</t>
  </si>
  <si>
    <t>B Note Lock-Out Period :</t>
  </si>
  <si>
    <t>Yes</t>
  </si>
  <si>
    <t>Drawings / Repayments on Redraw Facility</t>
  </si>
  <si>
    <t>Liquidity Trigger Event Occurred :</t>
  </si>
  <si>
    <t>Liquidity Reserve Balance :</t>
  </si>
  <si>
    <t>Increase/Decrease to Liquidity Reserve :</t>
  </si>
  <si>
    <t>Liquidity Reserve Required Amount :</t>
  </si>
  <si>
    <t>Cumulative Loss :</t>
  </si>
  <si>
    <t>Geographical Split</t>
  </si>
  <si>
    <t>Area</t>
  </si>
  <si>
    <t>% Outstanding Balance</t>
  </si>
  <si>
    <t>% Number of Mortgages</t>
  </si>
  <si>
    <t>East Anglia</t>
  </si>
  <si>
    <t>East Midlands</t>
  </si>
  <si>
    <t>North</t>
  </si>
  <si>
    <t>North West</t>
  </si>
  <si>
    <t>South East inc London</t>
  </si>
  <si>
    <t>South West</t>
  </si>
  <si>
    <t>Wales</t>
  </si>
  <si>
    <t>West Midlands</t>
  </si>
  <si>
    <t>Yorkshire &amp; Humberside</t>
  </si>
  <si>
    <t>Total</t>
  </si>
  <si>
    <t>No</t>
  </si>
  <si>
    <t>N Ireland</t>
  </si>
  <si>
    <t xml:space="preserve"> </t>
  </si>
  <si>
    <t>Additional Release from Reserves to Margin</t>
  </si>
  <si>
    <t xml:space="preserve">          </t>
  </si>
  <si>
    <t>Mortgage Trust Services plc</t>
  </si>
  <si>
    <t>Reserve Fund Balance as at September 2004</t>
  </si>
  <si>
    <t>Increase / Decrease to Reserve Fund on 1st Octoberber 2004</t>
  </si>
  <si>
    <t>Reserve Fund Required Amount in October 2004</t>
  </si>
  <si>
    <t>Gross Excess Spread as at September 2004</t>
  </si>
  <si>
    <t>Balances Of Mortgages Outstanding at 20th September 2004</t>
  </si>
  <si>
    <t>Further/Substitute Mortgages - 1st August 2003</t>
  </si>
  <si>
    <t>Reserve Fund Balance as at August 2004</t>
  </si>
  <si>
    <t>Increase / Decrease to Reserve Fund on 1st September 2004</t>
  </si>
  <si>
    <t>Reserve Fund Required Amount in September 2004</t>
  </si>
  <si>
    <t>Gross Excess Spread as at August 2004</t>
  </si>
  <si>
    <t>Balances Of Mortgages Outstanding at 18th August 2004</t>
  </si>
  <si>
    <t>Reserve Fund Balance as at October 2004</t>
  </si>
  <si>
    <t>Increase / Decrease to Reserve Fund on 1st November 2004</t>
  </si>
  <si>
    <t>Reserve Fund Required Amount in November 2004</t>
  </si>
  <si>
    <t>Gross Excess Spread as at October 2004</t>
  </si>
  <si>
    <t>Balances Of Mortgages Outstanding at 19th October 2004</t>
  </si>
  <si>
    <t>Further/Substitute Mortgages - 1st November 2004</t>
  </si>
  <si>
    <t>Reserve Fund Balance as at March 2004</t>
  </si>
  <si>
    <t>Increase / Decrease to Reserve Fund on 1st April 2004</t>
  </si>
  <si>
    <t>Reserve Fund Required Amount in April 2004</t>
  </si>
  <si>
    <t>Gross Excess Spread as at March 2004</t>
  </si>
  <si>
    <t>Balances Of Mortgages Outstanding at 31st March 2004</t>
  </si>
  <si>
    <t>Reserve Fund Balance as at April 2004</t>
  </si>
  <si>
    <t>Increase / Decrease to Reserve Fund on 4th May 2004</t>
  </si>
  <si>
    <t>Reserve Fund Required Amount in May 2004</t>
  </si>
  <si>
    <t>Gross Excess Spread as at April 2004</t>
  </si>
  <si>
    <t>Balances Of Mortgages Outstanding at 30th April 2004</t>
  </si>
  <si>
    <t>Reserve Fund Balance as at May 2004</t>
  </si>
  <si>
    <t>Increase / Decrease to Reserve Fund on 1st June 2004</t>
  </si>
  <si>
    <t>Reserve Fund Required Amount in June 2004</t>
  </si>
  <si>
    <t>Gross Excess Spread as at May 2004</t>
  </si>
  <si>
    <t>Balances Of Mortgages Outstanding at 31st May 2004</t>
  </si>
  <si>
    <t>Reserve Fund Balance as at June 2004</t>
  </si>
  <si>
    <t>Increase / Decrease to Reserve Fund on 1st July 2004</t>
  </si>
  <si>
    <t>Reserve Fund Required Amount in July 2004</t>
  </si>
  <si>
    <t>Gross Excess Spread as at June 2004</t>
  </si>
  <si>
    <t>Balances Of Mortgages Outstanding at 18th June 2004</t>
  </si>
  <si>
    <t>Reserve Fund Balance as at July 2004</t>
  </si>
  <si>
    <t>Increase / Decrease to Reserve Fund on 2nd August 2004</t>
  </si>
  <si>
    <t>Reserve Fund Required Amount in August 2004</t>
  </si>
  <si>
    <t>Gross Excess Spread as at July 2004</t>
  </si>
  <si>
    <t>Balances Of Mortgages Outstanding at 20th July 2004</t>
  </si>
  <si>
    <t>Mortgage Trust Services Plc</t>
  </si>
  <si>
    <t>Reserve Fund Balance as at September 2003</t>
  </si>
  <si>
    <t>Increase / Decrease to Reserve Fund on 1st October 2003</t>
  </si>
  <si>
    <t>Reserve Fund Required Amount in October 2003</t>
  </si>
  <si>
    <t>Gross Excess Spread as at September 2003</t>
  </si>
  <si>
    <t>Balances Of Mortgages Outstanding at 30th September 2003</t>
  </si>
  <si>
    <t>Reserve Fund Balance as at October 2003</t>
  </si>
  <si>
    <t>Increase / Decrease to Reserve Fund on 3rd November 2003</t>
  </si>
  <si>
    <t>Reserve Fund Required Amount in November 2003</t>
  </si>
  <si>
    <t>Gross Excess Spread as at October 2003</t>
  </si>
  <si>
    <t>Balances Of Mortgages Outstanding at 31st October 2003</t>
  </si>
  <si>
    <t>Reserve Fund Balance as at November 2003</t>
  </si>
  <si>
    <t>Increase / Decrease to Reserve Fund on 1st December 2003</t>
  </si>
  <si>
    <t>Reserve Fund Required Amount in December 2003</t>
  </si>
  <si>
    <t>Gross Excess Spread as at November 2003</t>
  </si>
  <si>
    <t>Balances Of Mortgages Outstanding at 30th November 2003</t>
  </si>
  <si>
    <t>Reserve Fund Balance as at December 2003</t>
  </si>
  <si>
    <t>Increase / Decrease to Reserve Fund on 2nd January 2004</t>
  </si>
  <si>
    <t>Reserve Fund Required Amount in January 2004</t>
  </si>
  <si>
    <t>Gross Excess Spread as at December 2003</t>
  </si>
  <si>
    <t>Balances Of Mortgages Outstanding at 31st December 2003</t>
  </si>
  <si>
    <t>Reserve Fund Balance as at January 2004</t>
  </si>
  <si>
    <t>Increase / Decrease to Reserve Fund on 2nd February 2004</t>
  </si>
  <si>
    <t>Reserve Fund Required Amount in February 2004</t>
  </si>
  <si>
    <t>Gross Excess Spread as at January 2004</t>
  </si>
  <si>
    <t>Balances Of Mortgages Outstanding at 31st January 2004</t>
  </si>
  <si>
    <t>Reserve Fund Balance as at February 2004</t>
  </si>
  <si>
    <t>Increase / Decrease to Reserve Fund on 1st March 2004</t>
  </si>
  <si>
    <t>Reserve Fund Required Amount in March 2004</t>
  </si>
  <si>
    <t>Gross Excess Spread as at February 2004</t>
  </si>
  <si>
    <t>Balances Of Mortgages Outstanding at 29th February 2004</t>
  </si>
  <si>
    <t>Gross Excess Spread as at November 2004</t>
  </si>
  <si>
    <t>Balances Of Mortgages Outstanding at 18th November 2004</t>
  </si>
  <si>
    <t>Reserve Fund Balance as at November 2004</t>
  </si>
  <si>
    <t>Increase / Decrease to Reserve Fund on 1st December 2004</t>
  </si>
  <si>
    <t>Reserve Fund Required Amount in December 2004</t>
  </si>
  <si>
    <t>Reserve Fund Balance as at December 2004</t>
  </si>
  <si>
    <t>Increase / Decrease to Reserve Fund on 4th January 2005</t>
  </si>
  <si>
    <t>Reserve Fund Required Amount in January 2005</t>
  </si>
  <si>
    <t>Gross Excess Spread as at December 2004</t>
  </si>
  <si>
    <t>Balances Of Mortgages Outstanding at 17th December 2004</t>
  </si>
  <si>
    <t>Reserve Fund Balance as at January 2005</t>
  </si>
  <si>
    <t>Increase / Decrease to Reserve Fund on 1st February 2005</t>
  </si>
  <si>
    <t>Reserve Fund Required Amount in February 2005</t>
  </si>
  <si>
    <t>Gross Excess Spread as at January 2005</t>
  </si>
  <si>
    <t>Balances Of Mortgages Outstanding at 19th January 2005</t>
  </si>
  <si>
    <t>Further/Substitute Mortgages - 1st February 2005</t>
  </si>
  <si>
    <t>Further/Substitute Mortgages - 1st March 2005</t>
  </si>
  <si>
    <t>Reserve Fund Balance as at March 2005</t>
  </si>
  <si>
    <t>Increase / Decrease to Reserve Fund on 1st April 2005</t>
  </si>
  <si>
    <t>Reserve Fund Required Amount in April 2005</t>
  </si>
  <si>
    <t>Gross Excess Spread as at March 2005</t>
  </si>
  <si>
    <t>Balances Of Mortgages Outstanding at 17th March 2005</t>
  </si>
  <si>
    <t>Increase / Decrease to Reserve Fund on 1st March 2005</t>
  </si>
  <si>
    <t>Reserve Fund Required Amount in March 2005</t>
  </si>
  <si>
    <t>Gross Excess Spread as at February 2005</t>
  </si>
  <si>
    <t>Balances Of Mortgages Outstanding at 16th February 2005</t>
  </si>
  <si>
    <t>Further/Substitute Mortgages - 1st April 2005</t>
  </si>
  <si>
    <t>Reserve Fund Balance as at April 2005</t>
  </si>
  <si>
    <t>Increase / Decrease to Reserve Fund on 3rd May 2005</t>
  </si>
  <si>
    <t>Reserve Fund Required Amount in May 2005</t>
  </si>
  <si>
    <t>Gross Excess Spread as at April 2005</t>
  </si>
  <si>
    <t>Balances Of Mortgages Outstanding at 19th April 2005</t>
  </si>
  <si>
    <t>Further/Substitute Mortgages - 3rd May 2005</t>
  </si>
  <si>
    <t>Reserve Fund Balance as at May 2005</t>
  </si>
  <si>
    <t>Increase / Decrease to Reserve Fund on 1st June 2005</t>
  </si>
  <si>
    <t>Reserve Fund Required Amount in June 2005</t>
  </si>
  <si>
    <t>Gross Excess Spread as at May 2005</t>
  </si>
  <si>
    <t>Balances Of Mortgages Outstanding at 18th May 2005</t>
  </si>
  <si>
    <t>Further/Substitute Mortgages - 1st June 2005</t>
  </si>
  <si>
    <t>Receiver of Rent</t>
  </si>
  <si>
    <t>Reserve Fund Balance as at June 2005</t>
  </si>
  <si>
    <t>Increase / Decrease to Reserve Fund on 1st July 2005</t>
  </si>
  <si>
    <t>Reserve Fund Required Amount in July 2005</t>
  </si>
  <si>
    <t>Gross Excess Spread as at June 2005</t>
  </si>
  <si>
    <t>Balances Of Mortgages Outstanding at 20th June 2005</t>
  </si>
  <si>
    <t>Further/Substitute Mortgages - 1st July 2005</t>
  </si>
  <si>
    <t>Scotland</t>
  </si>
  <si>
    <t>Reserve Fund Balance as at July 2005</t>
  </si>
  <si>
    <t>Increase / Decrease to Reserve Fund on 1st August 2005</t>
  </si>
  <si>
    <t>Reserve Fund Required Amount in August 2005</t>
  </si>
  <si>
    <t>Gross Excess Spread as at July 2005</t>
  </si>
  <si>
    <t>Balances Of Mortgages Outstanding at 19th July 2005</t>
  </si>
  <si>
    <t>Further/Substitute Mortgages - 1st August 2005</t>
  </si>
  <si>
    <t>Reserve Fund Balance as at August 2005</t>
  </si>
  <si>
    <t>Increase / Decrease to Reserve Fund on 1st September 2005</t>
  </si>
  <si>
    <t>Reserve Fund Required Amount in September 2005</t>
  </si>
  <si>
    <t>Gross Excess Spread as at August 2005</t>
  </si>
  <si>
    <t>Balances Of Mortgages Outstanding at 18th August 2005</t>
  </si>
  <si>
    <t>Further/Substitute Mortgages - 1st September 2005</t>
  </si>
  <si>
    <t>Reserve Fund Balance as at September 2005</t>
  </si>
  <si>
    <t>Increase / Decrease to Reserve Fund on 3rd October 2005</t>
  </si>
  <si>
    <t>Reserve Fund Required Amount in October 2005</t>
  </si>
  <si>
    <t>Gross Excess Spread as at September 2005</t>
  </si>
  <si>
    <t>Balances Of Mortgages Outstanding at 20th September 2005</t>
  </si>
  <si>
    <t>Further/Substitute Mortgages - 3rd October 2005</t>
  </si>
  <si>
    <t>Reserve Fund Balance as at October 2005</t>
  </si>
  <si>
    <t>Increase / Decrease to Reserve Fund on 1st November 2005</t>
  </si>
  <si>
    <t>Reserve Fund Required Amount in November 2005</t>
  </si>
  <si>
    <t>Gross Excess Spread as at October 2005</t>
  </si>
  <si>
    <t>Balances Of Mortgages Outstanding at 19th October 2005</t>
  </si>
  <si>
    <t>Further/Substitute Mortgages - 1st November 2005</t>
  </si>
  <si>
    <t>Reserve Fund Balance as at November 2005</t>
  </si>
  <si>
    <t>Increase / Decrease to Reserve Fund on 1st December 2005</t>
  </si>
  <si>
    <t>Reserve Fund Required Amount in December 2005</t>
  </si>
  <si>
    <t>Gross Excess Spread as at November 2005</t>
  </si>
  <si>
    <t>Balances Of Mortgages Outstanding at 18th November 2005</t>
  </si>
  <si>
    <t>Further/Substitute Mortgages - 1st December 2005</t>
  </si>
  <si>
    <t>Reserve Fund Balance as at December 2005</t>
  </si>
  <si>
    <t>Reserve Fund Required Amount in January 2006</t>
  </si>
  <si>
    <t>Gross Excess Spread as at December 2005</t>
  </si>
  <si>
    <t>Balances Of Mortgages Outstanding at 16th December 2005</t>
  </si>
  <si>
    <t>Increase / Decrease to Reserve Fund on 3rd January 2006</t>
  </si>
  <si>
    <t>Further/Substitute Mortgages - 3rd January 2006</t>
  </si>
  <si>
    <t>Reserve Fund Balance as at January 2006</t>
  </si>
  <si>
    <t>Increase / Decrease to Reserve Fund on 1st February 2006</t>
  </si>
  <si>
    <t>Reserve Fund Required Amount in February 2006</t>
  </si>
  <si>
    <t>Gross Excess Spread as at January 2006</t>
  </si>
  <si>
    <t>Balances Of Mortgages Outstanding at 19th January 2006</t>
  </si>
  <si>
    <t>Further/Substitute Mortgages - 1st February 2006</t>
  </si>
  <si>
    <t>Reserve Fund Balance as at February 2006</t>
  </si>
  <si>
    <t>Increase / Decrease to Reserve Fund on 1st March 2006</t>
  </si>
  <si>
    <t>Reserve Fund Required Amount in March 2006</t>
  </si>
  <si>
    <t>Balances Of Mortgages Outstanding at 16th February 2006</t>
  </si>
  <si>
    <t>Further/Substitute Mortgages - 1st March 2006</t>
  </si>
  <si>
    <t>Gross Excess Spread as at February 2006</t>
  </si>
  <si>
    <t>Reserve Fund Balance as at March 2006</t>
  </si>
  <si>
    <t>Increase / Decrease to Reserve Fund on 3rd April 2006</t>
  </si>
  <si>
    <t>Reserve Fund Required Amount in April 2006</t>
  </si>
  <si>
    <t>Gross Excess Spread as at March 2006</t>
  </si>
  <si>
    <t>Balances Of Mortgages Outstanding at 21st March 2006</t>
  </si>
  <si>
    <t>Further/Substitute Mortgages - 3rd April 2006</t>
  </si>
  <si>
    <t>Reserve Fund Balance as at April 2006</t>
  </si>
  <si>
    <t>Increase / Decrease to Reserve Fund on 2nd May 2006</t>
  </si>
  <si>
    <t>Reserve Fund Required Amount in May 2006</t>
  </si>
  <si>
    <t>Gross Excess Spread as at April 2006</t>
  </si>
  <si>
    <t>Balances Of Mortgages Outstanding at 18th April 2006</t>
  </si>
  <si>
    <t>Further/Substitute Mortgages - 2nd May 2006</t>
  </si>
  <si>
    <t>Reserve Fund Balance as at May 2006</t>
  </si>
  <si>
    <t>Increase / Decrease to Reserve Fund on 1st June 2006</t>
  </si>
  <si>
    <t>Reserve Fund Required Amount in June 2006</t>
  </si>
  <si>
    <t>Gross Excess Spread as at May 2006</t>
  </si>
  <si>
    <t>Balances Of Mortgages Outstanding at 18th May 2006</t>
  </si>
  <si>
    <t>Further/Substitute Mortgages - 1st June 2006</t>
  </si>
  <si>
    <t>Reserve Fund Balance as at June 2006</t>
  </si>
  <si>
    <t>Increase / Decrease to Reserve Fund on 3rd July 2006</t>
  </si>
  <si>
    <t>Reserve Fund Required Amount in July 2006</t>
  </si>
  <si>
    <t>Gross Excess Spread as at June 2006</t>
  </si>
  <si>
    <t>Balances Of Mortgages Outstanding at 20th June 2006</t>
  </si>
  <si>
    <t>Further/Substitute Mortgages - 3rd July 2006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</si>
</sst>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%"/>
    <numFmt numFmtId="183" formatCode="0.0000%"/>
    <numFmt numFmtId="184" formatCode="0.00000%"/>
    <numFmt numFmtId="185" formatCode="0.000000"/>
    <numFmt numFmtId="186" formatCode="0.0000000"/>
    <numFmt numFmtId="187" formatCode="0.0000000%"/>
    <numFmt numFmtId="188" formatCode="0.0%"/>
    <numFmt numFmtId="189" formatCode="#,##0_ ;\-#,##0\ "/>
    <numFmt numFmtId="190" formatCode="#,##0;\(#,##0\)"/>
    <numFmt numFmtId="191" formatCode="&quot;£&quot;#,##0;\(&quot;£&quot;#,##0\)"/>
    <numFmt numFmtId="192" formatCode="&quot;£&quot;#,##0.0;\-&quot;£&quot;#,##0.0"/>
    <numFmt numFmtId="193" formatCode="0.0000"/>
    <numFmt numFmtId="194" formatCode="0.000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u val="single"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15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5" fontId="5" fillId="2" borderId="2" xfId="0" applyNumberFormat="1" applyFont="1" applyFill="1" applyBorder="1" applyAlignment="1">
      <alignment horizontal="center"/>
    </xf>
    <xf numFmtId="186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5" fontId="5" fillId="2" borderId="5" xfId="0" applyNumberFormat="1" applyFont="1" applyFill="1" applyBorder="1" applyAlignment="1">
      <alignment horizontal="center"/>
    </xf>
    <xf numFmtId="186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5" fontId="5" fillId="2" borderId="9" xfId="0" applyNumberFormat="1" applyFont="1" applyFill="1" applyBorder="1" applyAlignment="1">
      <alignment horizontal="center"/>
    </xf>
    <xf numFmtId="5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5" fontId="5" fillId="2" borderId="0" xfId="0" applyNumberFormat="1" applyFont="1" applyFill="1" applyAlignment="1">
      <alignment/>
    </xf>
    <xf numFmtId="0" fontId="5" fillId="2" borderId="0" xfId="0" applyFont="1" applyFill="1" applyAlignment="1" quotePrefix="1">
      <alignment horizontal="left"/>
    </xf>
    <xf numFmtId="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5" fontId="5" fillId="2" borderId="0" xfId="0" applyNumberFormat="1" applyFont="1" applyFill="1" applyAlignment="1">
      <alignment horizontal="right"/>
    </xf>
    <xf numFmtId="14" fontId="5" fillId="2" borderId="0" xfId="0" applyNumberFormat="1" applyFont="1" applyFill="1" applyAlignment="1">
      <alignment/>
    </xf>
    <xf numFmtId="10" fontId="5" fillId="2" borderId="0" xfId="0" applyNumberFormat="1" applyFont="1" applyFill="1" applyAlignment="1">
      <alignment horizontal="right"/>
    </xf>
    <xf numFmtId="0" fontId="5" fillId="2" borderId="12" xfId="0" applyFont="1" applyFill="1" applyBorder="1" applyAlignment="1">
      <alignment/>
    </xf>
    <xf numFmtId="5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 quotePrefix="1">
      <alignment horizontal="left"/>
    </xf>
    <xf numFmtId="5" fontId="5" fillId="2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5" fontId="5" fillId="2" borderId="9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5" fontId="5" fillId="2" borderId="6" xfId="0" applyNumberFormat="1" applyFont="1" applyFill="1" applyBorder="1" applyAlignment="1">
      <alignment/>
    </xf>
    <xf numFmtId="10" fontId="5" fillId="2" borderId="6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10" fontId="5" fillId="2" borderId="5" xfId="0" applyNumberFormat="1" applyFont="1" applyFill="1" applyBorder="1" applyAlignment="1">
      <alignment/>
    </xf>
    <xf numFmtId="5" fontId="5" fillId="2" borderId="11" xfId="0" applyNumberFormat="1" applyFont="1" applyFill="1" applyBorder="1" applyAlignment="1">
      <alignment/>
    </xf>
    <xf numFmtId="10" fontId="5" fillId="2" borderId="11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189" fontId="5" fillId="2" borderId="11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5" fontId="5" fillId="2" borderId="0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190" fontId="5" fillId="2" borderId="0" xfId="0" applyNumberFormat="1" applyFont="1" applyFill="1" applyAlignment="1">
      <alignment horizontal="right"/>
    </xf>
    <xf numFmtId="10" fontId="5" fillId="2" borderId="0" xfId="19" applyNumberFormat="1" applyFont="1" applyFill="1" applyAlignment="1">
      <alignment horizontal="right"/>
    </xf>
    <xf numFmtId="189" fontId="5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/>
    </xf>
    <xf numFmtId="0" fontId="8" fillId="2" borderId="12" xfId="0" applyFont="1" applyFill="1" applyBorder="1" applyAlignment="1">
      <alignment/>
    </xf>
    <xf numFmtId="0" fontId="8" fillId="2" borderId="2" xfId="0" applyFont="1" applyFill="1" applyBorder="1" applyAlignment="1" quotePrefix="1">
      <alignment horizontal="left" wrapText="1"/>
    </xf>
    <xf numFmtId="5" fontId="8" fillId="2" borderId="2" xfId="0" applyNumberFormat="1" applyFont="1" applyFill="1" applyBorder="1" applyAlignment="1">
      <alignment horizontal="left" wrapText="1"/>
    </xf>
    <xf numFmtId="5" fontId="8" fillId="2" borderId="4" xfId="0" applyNumberFormat="1" applyFont="1" applyFill="1" applyBorder="1" applyAlignment="1">
      <alignment horizontal="left" wrapText="1"/>
    </xf>
    <xf numFmtId="0" fontId="8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8" fillId="2" borderId="9" xfId="0" applyFont="1" applyFill="1" applyBorder="1" applyAlignment="1" quotePrefix="1">
      <alignment horizontal="left" wrapText="1"/>
    </xf>
    <xf numFmtId="0" fontId="8" fillId="2" borderId="9" xfId="0" applyFont="1" applyFill="1" applyBorder="1" applyAlignment="1">
      <alignment wrapText="1"/>
    </xf>
    <xf numFmtId="5" fontId="8" fillId="2" borderId="9" xfId="0" applyNumberFormat="1" applyFont="1" applyFill="1" applyBorder="1" applyAlignment="1">
      <alignment horizontal="left" wrapText="1"/>
    </xf>
    <xf numFmtId="0" fontId="8" fillId="2" borderId="10" xfId="0" applyFont="1" applyFill="1" applyBorder="1" applyAlignment="1">
      <alignment wrapText="1"/>
    </xf>
    <xf numFmtId="0" fontId="8" fillId="2" borderId="7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184" fontId="10" fillId="2" borderId="0" xfId="0" applyNumberFormat="1" applyFont="1" applyFill="1" applyAlignment="1">
      <alignment/>
    </xf>
    <xf numFmtId="5" fontId="10" fillId="2" borderId="0" xfId="0" applyNumberFormat="1" applyFont="1" applyFill="1" applyAlignment="1">
      <alignment/>
    </xf>
    <xf numFmtId="10" fontId="10" fillId="2" borderId="0" xfId="0" applyNumberFormat="1" applyFont="1" applyFill="1" applyAlignment="1">
      <alignment horizontal="right"/>
    </xf>
    <xf numFmtId="5" fontId="10" fillId="2" borderId="2" xfId="0" applyNumberFormat="1" applyFont="1" applyFill="1" applyBorder="1" applyAlignment="1">
      <alignment horizontal="center"/>
    </xf>
    <xf numFmtId="5" fontId="10" fillId="2" borderId="5" xfId="0" applyNumberFormat="1" applyFont="1" applyFill="1" applyBorder="1" applyAlignment="1">
      <alignment horizontal="center"/>
    </xf>
    <xf numFmtId="5" fontId="10" fillId="2" borderId="2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5" fontId="1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5" fontId="10" fillId="2" borderId="6" xfId="0" applyNumberFormat="1" applyFont="1" applyFill="1" applyBorder="1" applyAlignment="1">
      <alignment/>
    </xf>
    <xf numFmtId="5" fontId="10" fillId="2" borderId="11" xfId="0" applyNumberFormat="1" applyFont="1" applyFill="1" applyBorder="1" applyAlignment="1">
      <alignment/>
    </xf>
    <xf numFmtId="37" fontId="10" fillId="2" borderId="6" xfId="0" applyNumberFormat="1" applyFont="1" applyFill="1" applyBorder="1" applyAlignment="1">
      <alignment/>
    </xf>
    <xf numFmtId="37" fontId="10" fillId="2" borderId="11" xfId="0" applyNumberFormat="1" applyFont="1" applyFill="1" applyBorder="1" applyAlignment="1">
      <alignment/>
    </xf>
    <xf numFmtId="0" fontId="10" fillId="2" borderId="0" xfId="0" applyFont="1" applyFill="1" applyAlignment="1" quotePrefix="1">
      <alignment horizontal="left"/>
    </xf>
    <xf numFmtId="0" fontId="10" fillId="2" borderId="0" xfId="0" applyFont="1" applyFill="1" applyAlignment="1">
      <alignment horizontal="right"/>
    </xf>
    <xf numFmtId="5" fontId="10" fillId="2" borderId="0" xfId="0" applyNumberFormat="1" applyFont="1" applyFill="1" applyAlignment="1">
      <alignment horizontal="right"/>
    </xf>
    <xf numFmtId="39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190500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209550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171450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</xdr:col>
      <xdr:colOff>209550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190500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180975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171450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209550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171450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209550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190500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200025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2" ht="15.75"/>
    <row r="4" spans="1:5" ht="15.75">
      <c r="A4" s="2" t="s">
        <v>0</v>
      </c>
      <c r="D4" s="3">
        <v>37895</v>
      </c>
      <c r="E4" s="3" t="s">
        <v>69</v>
      </c>
    </row>
    <row r="5" spans="1:8" ht="15.75">
      <c r="A5" s="2" t="s">
        <v>15</v>
      </c>
      <c r="D5" s="4">
        <v>0.0364875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244192904.4</v>
      </c>
      <c r="E9" s="9">
        <v>4809603.6</v>
      </c>
      <c r="F9" s="9">
        <v>806527.2</v>
      </c>
      <c r="G9" s="10">
        <f>+D9/276000000</f>
        <v>0.8847569000000001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87796.8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268192904.4</v>
      </c>
      <c r="E11" s="19">
        <f>SUM(E9:E10)</f>
        <v>4809603.6</v>
      </c>
      <c r="F11" s="19">
        <f>SUM(F9:F10)</f>
        <v>894324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114</v>
      </c>
      <c r="F17" s="22">
        <v>7500000</v>
      </c>
      <c r="G17" s="5"/>
    </row>
    <row r="18" spans="1:6" ht="15.75">
      <c r="A18" s="23" t="s">
        <v>115</v>
      </c>
      <c r="F18" s="22">
        <v>0</v>
      </c>
    </row>
    <row r="19" spans="1:6" ht="15.75">
      <c r="A19" s="23" t="s">
        <v>116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117</v>
      </c>
      <c r="F30" s="22">
        <v>297251.03</v>
      </c>
    </row>
    <row r="31" spans="1:6" ht="15.75">
      <c r="A31" s="25" t="s">
        <v>68</v>
      </c>
      <c r="F31" s="22">
        <v>16232.36</v>
      </c>
    </row>
    <row r="32" spans="1:6" ht="15.75">
      <c r="A32" s="23" t="s">
        <v>118</v>
      </c>
      <c r="F32" s="22">
        <f>D50</f>
        <v>266032912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</f>
        <v>101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</f>
        <v>3180856.92</v>
      </c>
    </row>
    <row r="36" spans="1:6" ht="15.75">
      <c r="A36" s="2" t="s">
        <v>7</v>
      </c>
      <c r="E36" s="26">
        <v>1</v>
      </c>
      <c r="F36" s="27">
        <v>34786.94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v>0.2135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f>262515517-49319</f>
        <v>262466198</v>
      </c>
      <c r="E44" s="32">
        <v>3604</v>
      </c>
      <c r="F44" s="33"/>
    </row>
    <row r="45" spans="1:6" ht="15.75">
      <c r="A45" s="34" t="s">
        <v>35</v>
      </c>
      <c r="B45" s="5"/>
      <c r="C45" s="12"/>
      <c r="D45" s="35">
        <v>2061872</v>
      </c>
      <c r="E45" s="36">
        <v>14</v>
      </c>
      <c r="F45" s="33"/>
    </row>
    <row r="46" spans="1:6" ht="15.75">
      <c r="A46" s="34" t="s">
        <v>36</v>
      </c>
      <c r="B46" s="5"/>
      <c r="C46" s="12"/>
      <c r="D46" s="35">
        <v>507459</v>
      </c>
      <c r="E46" s="36">
        <v>5</v>
      </c>
      <c r="F46" s="33"/>
    </row>
    <row r="47" spans="1:6" ht="15.75">
      <c r="A47" s="11" t="s">
        <v>37</v>
      </c>
      <c r="B47" s="5"/>
      <c r="C47" s="12"/>
      <c r="D47" s="35">
        <v>547696</v>
      </c>
      <c r="E47" s="36">
        <v>2</v>
      </c>
      <c r="F47" s="33"/>
    </row>
    <row r="48" spans="1:6" ht="15.75">
      <c r="A48" s="11" t="s">
        <v>27</v>
      </c>
      <c r="B48" s="5"/>
      <c r="C48" s="12"/>
      <c r="D48" s="35">
        <v>399056</v>
      </c>
      <c r="E48" s="36">
        <v>3</v>
      </c>
      <c r="F48" s="33" t="s">
        <v>67</v>
      </c>
    </row>
    <row r="49" spans="1:6" ht="15.75">
      <c r="A49" s="11" t="s">
        <v>38</v>
      </c>
      <c r="B49" s="5"/>
      <c r="C49" s="12"/>
      <c r="D49" s="35">
        <v>50631</v>
      </c>
      <c r="E49" s="36">
        <v>1</v>
      </c>
      <c r="F49" s="33"/>
    </row>
    <row r="50" spans="1:7" ht="15.75">
      <c r="A50" s="16"/>
      <c r="B50" s="37"/>
      <c r="C50" s="17"/>
      <c r="D50" s="38">
        <f>SUM(D44:D49)</f>
        <v>266032912</v>
      </c>
      <c r="E50" s="39">
        <f>SUM(E44:E49)</f>
        <v>3629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10980258</v>
      </c>
      <c r="E54" s="41">
        <f aca="true" t="shared" si="0" ref="E54:E63">D54/D$64</f>
        <v>0.0412740586021928</v>
      </c>
      <c r="F54" s="42">
        <v>168</v>
      </c>
      <c r="G54" s="41">
        <f aca="true" t="shared" si="1" ref="G54:G63">F54/F$64</f>
        <v>0.04629374483328741</v>
      </c>
    </row>
    <row r="55" spans="1:7" ht="15.75">
      <c r="A55" s="11" t="s">
        <v>56</v>
      </c>
      <c r="D55" s="40">
        <v>9883132</v>
      </c>
      <c r="E55" s="41">
        <f t="shared" si="0"/>
        <v>0.037150035030252195</v>
      </c>
      <c r="F55" s="42">
        <v>165</v>
      </c>
      <c r="G55" s="41">
        <f t="shared" si="1"/>
        <v>0.04546707081840728</v>
      </c>
    </row>
    <row r="56" spans="1:7" ht="15.75">
      <c r="A56" s="11" t="s">
        <v>66</v>
      </c>
      <c r="D56" s="40">
        <v>74795</v>
      </c>
      <c r="E56" s="41">
        <f t="shared" si="0"/>
        <v>0.0002811494240983236</v>
      </c>
      <c r="F56" s="42">
        <v>1</v>
      </c>
      <c r="G56" s="41">
        <f t="shared" si="1"/>
        <v>0.0002755580049600441</v>
      </c>
    </row>
    <row r="57" spans="1:7" ht="15.75">
      <c r="A57" s="11" t="s">
        <v>57</v>
      </c>
      <c r="D57" s="40">
        <v>5361734</v>
      </c>
      <c r="E57" s="41">
        <f t="shared" si="0"/>
        <v>0.020154401046438945</v>
      </c>
      <c r="F57" s="42">
        <v>65</v>
      </c>
      <c r="G57" s="41">
        <f t="shared" si="1"/>
        <v>0.017911270322402865</v>
      </c>
    </row>
    <row r="58" spans="1:7" ht="15.75">
      <c r="A58" s="11" t="s">
        <v>58</v>
      </c>
      <c r="D58" s="40">
        <v>23367666</v>
      </c>
      <c r="E58" s="41">
        <f t="shared" si="0"/>
        <v>0.08783750034657366</v>
      </c>
      <c r="F58" s="42">
        <v>286</v>
      </c>
      <c r="G58" s="41">
        <f t="shared" si="1"/>
        <v>0.0788095894185726</v>
      </c>
    </row>
    <row r="59" spans="1:8" ht="15.75">
      <c r="A59" s="11" t="s">
        <v>59</v>
      </c>
      <c r="D59" s="40">
        <f>107933606+46539202-49319</f>
        <v>154423489</v>
      </c>
      <c r="E59" s="41">
        <f t="shared" si="0"/>
        <v>0.580467611466058</v>
      </c>
      <c r="F59" s="42">
        <f>750+1238</f>
        <v>1988</v>
      </c>
      <c r="G59" s="41">
        <f t="shared" si="1"/>
        <v>0.5478093138605676</v>
      </c>
      <c r="H59" s="43" t="str">
        <f>IF(E59&gt;80%,"ERROR"," ")</f>
        <v> </v>
      </c>
    </row>
    <row r="60" spans="1:7" ht="15.75">
      <c r="A60" s="11" t="s">
        <v>60</v>
      </c>
      <c r="D60" s="40">
        <v>29308324</v>
      </c>
      <c r="E60" s="41">
        <f t="shared" si="0"/>
        <v>0.11016803815612107</v>
      </c>
      <c r="F60" s="42">
        <v>434</v>
      </c>
      <c r="G60" s="41">
        <f t="shared" si="1"/>
        <v>0.11959217415265913</v>
      </c>
    </row>
    <row r="61" spans="1:7" ht="15.75">
      <c r="A61" s="11" t="s">
        <v>61</v>
      </c>
      <c r="D61" s="40">
        <v>8985197</v>
      </c>
      <c r="E61" s="41">
        <f t="shared" si="0"/>
        <v>0.03377475716237696</v>
      </c>
      <c r="F61" s="42">
        <v>153</v>
      </c>
      <c r="G61" s="41">
        <f t="shared" si="1"/>
        <v>0.042160374758886746</v>
      </c>
    </row>
    <row r="62" spans="1:7" ht="15.75">
      <c r="A62" s="11" t="s">
        <v>62</v>
      </c>
      <c r="D62" s="40">
        <v>12969083</v>
      </c>
      <c r="E62" s="44">
        <f t="shared" si="0"/>
        <v>0.04874991933328911</v>
      </c>
      <c r="F62" s="42">
        <v>204</v>
      </c>
      <c r="G62" s="41">
        <f t="shared" si="1"/>
        <v>0.05621383301184899</v>
      </c>
    </row>
    <row r="63" spans="1:7" ht="15.75">
      <c r="A63" s="16" t="s">
        <v>63</v>
      </c>
      <c r="B63" s="37"/>
      <c r="C63" s="37"/>
      <c r="D63" s="45">
        <v>10679234</v>
      </c>
      <c r="E63" s="46">
        <f t="shared" si="0"/>
        <v>0.040142529432598925</v>
      </c>
      <c r="F63" s="47">
        <v>165</v>
      </c>
      <c r="G63" s="46">
        <f t="shared" si="1"/>
        <v>0.04546707081840728</v>
      </c>
    </row>
    <row r="64" spans="1:7" ht="15.75">
      <c r="A64" s="73" t="s">
        <v>64</v>
      </c>
      <c r="B64" s="37"/>
      <c r="C64" s="37"/>
      <c r="D64" s="45">
        <f>SUM(D54:D63)</f>
        <v>266032912</v>
      </c>
      <c r="E64" s="46">
        <f>SUM(E54:E63)</f>
        <v>0.9999999999999999</v>
      </c>
      <c r="F64" s="48">
        <f>SUM(F54:F63)</f>
        <v>3629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113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38169</v>
      </c>
      <c r="E4" s="3" t="s">
        <v>69</v>
      </c>
    </row>
    <row r="5" spans="1:8" ht="15.75">
      <c r="A5" s="2" t="s">
        <v>15</v>
      </c>
      <c r="D5" s="4">
        <v>0.046025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203893951</v>
      </c>
      <c r="E9" s="9">
        <v>5477331</v>
      </c>
      <c r="F9" s="9">
        <v>818174.4</v>
      </c>
      <c r="G9" s="10">
        <f>+D9/276000000</f>
        <v>0.7387461992753623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103819.2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227893951</v>
      </c>
      <c r="E11" s="19">
        <f>SUM(E9:E10)</f>
        <v>5477331</v>
      </c>
      <c r="F11" s="19">
        <f>SUM(F9:F10)</f>
        <v>921993.6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103</v>
      </c>
      <c r="F17" s="22">
        <v>7500000</v>
      </c>
      <c r="G17" s="5"/>
    </row>
    <row r="18" spans="1:6" ht="15.75">
      <c r="A18" s="23" t="s">
        <v>104</v>
      </c>
      <c r="F18" s="22">
        <v>0</v>
      </c>
    </row>
    <row r="19" spans="1:6" ht="15.75">
      <c r="A19" s="23" t="s">
        <v>105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106</v>
      </c>
      <c r="F30" s="22">
        <v>245290</v>
      </c>
    </row>
    <row r="31" spans="1:6" ht="15.75">
      <c r="A31" s="25" t="s">
        <v>68</v>
      </c>
      <c r="F31" s="22">
        <v>1124</v>
      </c>
    </row>
    <row r="32" spans="1:6" ht="15.75">
      <c r="A32" s="23" t="s">
        <v>107</v>
      </c>
      <c r="F32" s="22">
        <f>D50</f>
        <v>227893984.25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</f>
        <v>119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</f>
        <v>3425071.57</v>
      </c>
    </row>
    <row r="36" spans="1:6" ht="15.75">
      <c r="A36" s="2" t="s">
        <v>7</v>
      </c>
      <c r="E36" s="26">
        <v>17</v>
      </c>
      <c r="F36" s="27">
        <v>209214.65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((4938243+1817321-1119189)/234215634)*12</f>
        <v>0.288778758466653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224993017</v>
      </c>
      <c r="E44" s="32">
        <v>3025</v>
      </c>
      <c r="F44" s="33"/>
    </row>
    <row r="45" spans="1:6" ht="15.75">
      <c r="A45" s="34" t="s">
        <v>35</v>
      </c>
      <c r="B45" s="5"/>
      <c r="C45" s="12"/>
      <c r="D45" s="35">
        <v>1454896</v>
      </c>
      <c r="E45" s="36">
        <v>19</v>
      </c>
      <c r="F45" s="33"/>
    </row>
    <row r="46" spans="1:6" ht="15.75">
      <c r="A46" s="34" t="s">
        <v>36</v>
      </c>
      <c r="B46" s="5"/>
      <c r="C46" s="12"/>
      <c r="D46" s="35">
        <v>538395</v>
      </c>
      <c r="E46" s="36">
        <v>4</v>
      </c>
      <c r="F46" s="33"/>
    </row>
    <row r="47" spans="1:6" ht="15.75">
      <c r="A47" s="11" t="s">
        <v>37</v>
      </c>
      <c r="B47" s="5"/>
      <c r="C47" s="12"/>
      <c r="D47" s="35">
        <f>513452+62871+331135</f>
        <v>907458</v>
      </c>
      <c r="E47" s="36">
        <f>7+3+7</f>
        <v>17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227893984.25</v>
      </c>
      <c r="E50" s="39">
        <f>SUM(E44:E49)</f>
        <v>3066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9058356.21</v>
      </c>
      <c r="E54" s="41">
        <f aca="true" t="shared" si="0" ref="E54:E63">D54/D$64</f>
        <v>0.039748114665524095</v>
      </c>
      <c r="F54" s="42">
        <v>141</v>
      </c>
      <c r="G54" s="41">
        <f aca="true" t="shared" si="1" ref="G54:G63">F54/F$64</f>
        <v>0.04598825831702544</v>
      </c>
    </row>
    <row r="55" spans="1:7" ht="15.75">
      <c r="A55" s="11" t="s">
        <v>56</v>
      </c>
      <c r="D55" s="40">
        <v>10696007.07</v>
      </c>
      <c r="E55" s="41">
        <f t="shared" si="0"/>
        <v>0.046934135247659506</v>
      </c>
      <c r="F55" s="42">
        <v>176</v>
      </c>
      <c r="G55" s="41">
        <f t="shared" si="1"/>
        <v>0.05740378343118069</v>
      </c>
    </row>
    <row r="56" spans="1:7" ht="15.75">
      <c r="A56" s="11" t="s">
        <v>66</v>
      </c>
      <c r="D56" s="40">
        <v>74795.1</v>
      </c>
      <c r="E56" s="41">
        <f t="shared" si="0"/>
        <v>0.0003282012919670048</v>
      </c>
      <c r="F56" s="42">
        <v>1</v>
      </c>
      <c r="G56" s="41">
        <f t="shared" si="1"/>
        <v>0.00032615786040443573</v>
      </c>
    </row>
    <row r="57" spans="1:7" ht="15.75">
      <c r="A57" s="11" t="s">
        <v>57</v>
      </c>
      <c r="D57" s="40">
        <v>5263116.21</v>
      </c>
      <c r="E57" s="41">
        <f t="shared" si="0"/>
        <v>0.02309458159551208</v>
      </c>
      <c r="F57" s="42">
        <v>57</v>
      </c>
      <c r="G57" s="41">
        <f t="shared" si="1"/>
        <v>0.018590998043052837</v>
      </c>
    </row>
    <row r="58" spans="1:7" ht="15.75">
      <c r="A58" s="11" t="s">
        <v>58</v>
      </c>
      <c r="D58" s="40">
        <v>19069979.03</v>
      </c>
      <c r="E58" s="41">
        <f t="shared" si="0"/>
        <v>0.08367916822665775</v>
      </c>
      <c r="F58" s="42">
        <v>225</v>
      </c>
      <c r="G58" s="41">
        <f t="shared" si="1"/>
        <v>0.07338551859099804</v>
      </c>
    </row>
    <row r="59" spans="1:8" ht="15.75">
      <c r="A59" s="11" t="s">
        <v>59</v>
      </c>
      <c r="D59" s="40">
        <f>65355968.64+65238958.53</f>
        <v>130594927.17</v>
      </c>
      <c r="E59" s="41">
        <f t="shared" si="0"/>
        <v>0.5730512269056515</v>
      </c>
      <c r="F59" s="42">
        <f>675+988</f>
        <v>1663</v>
      </c>
      <c r="G59" s="41">
        <f t="shared" si="1"/>
        <v>0.5424005218525767</v>
      </c>
      <c r="H59" s="43" t="str">
        <f>IF(E59&gt;80%,"ERROR"," ")</f>
        <v> </v>
      </c>
    </row>
    <row r="60" spans="1:7" ht="15.75">
      <c r="A60" s="11" t="s">
        <v>60</v>
      </c>
      <c r="D60" s="40">
        <v>26277928.17</v>
      </c>
      <c r="E60" s="41">
        <f t="shared" si="0"/>
        <v>0.11530768694219475</v>
      </c>
      <c r="F60" s="42">
        <v>377</v>
      </c>
      <c r="G60" s="41">
        <f t="shared" si="1"/>
        <v>0.12296151337247227</v>
      </c>
    </row>
    <row r="61" spans="1:7" ht="15.75">
      <c r="A61" s="11" t="s">
        <v>61</v>
      </c>
      <c r="D61" s="40">
        <v>6972236.82</v>
      </c>
      <c r="E61" s="41">
        <f t="shared" si="0"/>
        <v>0.030594211816334507</v>
      </c>
      <c r="F61" s="42">
        <v>117</v>
      </c>
      <c r="G61" s="41">
        <f t="shared" si="1"/>
        <v>0.03816046966731898</v>
      </c>
    </row>
    <row r="62" spans="1:7" ht="15.75">
      <c r="A62" s="11" t="s">
        <v>62</v>
      </c>
      <c r="D62" s="40">
        <v>10994886.44</v>
      </c>
      <c r="E62" s="44">
        <f t="shared" si="0"/>
        <v>0.04824561949430513</v>
      </c>
      <c r="F62" s="42">
        <v>169</v>
      </c>
      <c r="G62" s="41">
        <f t="shared" si="1"/>
        <v>0.05512067840834964</v>
      </c>
    </row>
    <row r="63" spans="1:7" ht="15.75">
      <c r="A63" s="16" t="s">
        <v>63</v>
      </c>
      <c r="B63" s="37"/>
      <c r="C63" s="37"/>
      <c r="D63" s="45">
        <v>8891751.84</v>
      </c>
      <c r="E63" s="46">
        <f t="shared" si="0"/>
        <v>0.0390170538141936</v>
      </c>
      <c r="F63" s="47">
        <v>140</v>
      </c>
      <c r="G63" s="46">
        <f t="shared" si="1"/>
        <v>0.045662100456621</v>
      </c>
    </row>
    <row r="64" spans="1:7" ht="15.75">
      <c r="A64" s="73" t="s">
        <v>64</v>
      </c>
      <c r="B64" s="37"/>
      <c r="C64" s="37"/>
      <c r="D64" s="45">
        <f>SUM(D54:D63)</f>
        <v>227893984.06000003</v>
      </c>
      <c r="E64" s="46">
        <f>SUM(E54:E63)</f>
        <v>0.9999999999999999</v>
      </c>
      <c r="F64" s="48">
        <f>SUM(F54:F63)</f>
        <v>3066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38201</v>
      </c>
      <c r="E4" s="3" t="s">
        <v>69</v>
      </c>
    </row>
    <row r="5" spans="1:8" ht="15.75">
      <c r="A5" s="2" t="s">
        <v>15</v>
      </c>
      <c r="D5" s="4">
        <v>0.0478063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199274263.2</v>
      </c>
      <c r="E9" s="9">
        <v>4619688</v>
      </c>
      <c r="F9" s="9">
        <v>872187.6</v>
      </c>
      <c r="G9" s="10">
        <f>+D9/276000000</f>
        <v>0.7220082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113364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223274263.2</v>
      </c>
      <c r="E11" s="19">
        <f>SUM(E9:E10)</f>
        <v>4619688</v>
      </c>
      <c r="F11" s="19">
        <f>SUM(F9:F10)</f>
        <v>985551.6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108</v>
      </c>
      <c r="F17" s="22">
        <v>7500000</v>
      </c>
      <c r="G17" s="5"/>
    </row>
    <row r="18" spans="1:6" ht="15.75">
      <c r="A18" s="23" t="s">
        <v>109</v>
      </c>
      <c r="F18" s="22">
        <v>0</v>
      </c>
    </row>
    <row r="19" spans="1:6" ht="15.75">
      <c r="A19" s="23" t="s">
        <v>110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111</v>
      </c>
      <c r="F30" s="22">
        <v>200501</v>
      </c>
    </row>
    <row r="31" spans="1:6" ht="15.75">
      <c r="A31" s="25" t="s">
        <v>68</v>
      </c>
      <c r="F31" s="22">
        <v>0</v>
      </c>
    </row>
    <row r="32" spans="1:6" ht="15.75">
      <c r="A32" s="23" t="s">
        <v>112</v>
      </c>
      <c r="F32" s="22">
        <f>D50</f>
        <v>223274259.92999998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</f>
        <v>130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</f>
        <v>3687984.23</v>
      </c>
    </row>
    <row r="36" spans="1:6" ht="15.75">
      <c r="A36" s="2" t="s">
        <v>7</v>
      </c>
      <c r="E36" s="26">
        <v>11</v>
      </c>
      <c r="F36" s="27">
        <v>262912.66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((5009481+1476538.02-1603414.9)/227893984)*12</f>
        <v>0.25709871060045175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221427976.92</v>
      </c>
      <c r="E44" s="32">
        <v>2989</v>
      </c>
      <c r="F44" s="33"/>
    </row>
    <row r="45" spans="1:6" ht="15.75">
      <c r="A45" s="34" t="s">
        <v>35</v>
      </c>
      <c r="B45" s="5"/>
      <c r="C45" s="12"/>
      <c r="D45" s="35">
        <v>904602.64</v>
      </c>
      <c r="E45" s="36">
        <v>9</v>
      </c>
      <c r="F45" s="33"/>
    </row>
    <row r="46" spans="1:6" ht="15.75">
      <c r="A46" s="34" t="s">
        <v>36</v>
      </c>
      <c r="B46" s="5"/>
      <c r="C46" s="12"/>
      <c r="D46" s="35">
        <v>148225.53</v>
      </c>
      <c r="E46" s="36">
        <v>3</v>
      </c>
      <c r="F46" s="33"/>
    </row>
    <row r="47" spans="1:6" ht="15.75">
      <c r="A47" s="11" t="s">
        <v>37</v>
      </c>
      <c r="B47" s="5"/>
      <c r="C47" s="12"/>
      <c r="D47" s="35">
        <f>654530.64+2029.78+10184.85+126491.32</f>
        <v>793236.5900000001</v>
      </c>
      <c r="E47" s="36">
        <f>6+1+1+2</f>
        <v>10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223274259.92999998</v>
      </c>
      <c r="E50" s="39">
        <f>SUM(E44:E49)</f>
        <v>3012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9079669.12</v>
      </c>
      <c r="E54" s="41">
        <f aca="true" t="shared" si="0" ref="E54:E63">D54/D$64</f>
        <v>0.04066599133660377</v>
      </c>
      <c r="F54" s="42">
        <v>140</v>
      </c>
      <c r="G54" s="41">
        <f aca="true" t="shared" si="1" ref="G54:G63">F54/F$64</f>
        <v>0.04648074369189907</v>
      </c>
    </row>
    <row r="55" spans="1:7" ht="15.75">
      <c r="A55" s="11" t="s">
        <v>56</v>
      </c>
      <c r="D55" s="40">
        <v>10630869.72</v>
      </c>
      <c r="E55" s="41">
        <f t="shared" si="0"/>
        <v>0.04761350333591049</v>
      </c>
      <c r="F55" s="42">
        <v>173</v>
      </c>
      <c r="G55" s="41">
        <f t="shared" si="1"/>
        <v>0.05743691899070385</v>
      </c>
    </row>
    <row r="56" spans="1:7" ht="15.75">
      <c r="A56" s="11" t="s">
        <v>66</v>
      </c>
      <c r="D56" s="40">
        <v>74795.16</v>
      </c>
      <c r="E56" s="41">
        <f t="shared" si="0"/>
        <v>0.00033499230956335704</v>
      </c>
      <c r="F56" s="42">
        <v>1</v>
      </c>
      <c r="G56" s="41">
        <f t="shared" si="1"/>
        <v>0.00033200531208499334</v>
      </c>
    </row>
    <row r="57" spans="1:7" ht="15.75">
      <c r="A57" s="11" t="s">
        <v>57</v>
      </c>
      <c r="D57" s="40">
        <v>5208000.63</v>
      </c>
      <c r="E57" s="41">
        <f t="shared" si="0"/>
        <v>0.023325575602099365</v>
      </c>
      <c r="F57" s="42">
        <v>56</v>
      </c>
      <c r="G57" s="41">
        <f t="shared" si="1"/>
        <v>0.01859229747675963</v>
      </c>
    </row>
    <row r="58" spans="1:7" ht="15.75">
      <c r="A58" s="11" t="s">
        <v>58</v>
      </c>
      <c r="D58" s="40">
        <v>19005618.02</v>
      </c>
      <c r="E58" s="41">
        <f t="shared" si="0"/>
        <v>0.0851222976887643</v>
      </c>
      <c r="F58" s="42">
        <v>220</v>
      </c>
      <c r="G58" s="41">
        <f t="shared" si="1"/>
        <v>0.07304116865869854</v>
      </c>
    </row>
    <row r="59" spans="1:8" ht="15.75">
      <c r="A59" s="11" t="s">
        <v>59</v>
      </c>
      <c r="D59" s="40">
        <f>64572627.86+63329340.86</f>
        <v>127901968.72</v>
      </c>
      <c r="E59" s="41">
        <f t="shared" si="0"/>
        <v>0.5728469047892009</v>
      </c>
      <c r="F59" s="42">
        <f>661+974</f>
        <v>1635</v>
      </c>
      <c r="G59" s="41">
        <f t="shared" si="1"/>
        <v>0.5428286852589641</v>
      </c>
      <c r="H59" s="43" t="str">
        <f>IF(E59&gt;80%,"ERROR"," ")</f>
        <v> </v>
      </c>
    </row>
    <row r="60" spans="1:7" ht="15.75">
      <c r="A60" s="11" t="s">
        <v>60</v>
      </c>
      <c r="D60" s="40">
        <v>25031545.24</v>
      </c>
      <c r="E60" s="41">
        <f t="shared" si="0"/>
        <v>0.11211120013497204</v>
      </c>
      <c r="F60" s="42">
        <v>371</v>
      </c>
      <c r="G60" s="41">
        <f t="shared" si="1"/>
        <v>0.12317397078353254</v>
      </c>
    </row>
    <row r="61" spans="1:7" ht="15.75">
      <c r="A61" s="11" t="s">
        <v>61</v>
      </c>
      <c r="D61" s="40">
        <v>6809260.15</v>
      </c>
      <c r="E61" s="41">
        <f t="shared" si="0"/>
        <v>0.030497291322944303</v>
      </c>
      <c r="F61" s="42">
        <v>114</v>
      </c>
      <c r="G61" s="41">
        <f t="shared" si="1"/>
        <v>0.037848605577689244</v>
      </c>
    </row>
    <row r="62" spans="1:7" ht="15.75">
      <c r="A62" s="11" t="s">
        <v>62</v>
      </c>
      <c r="D62" s="40">
        <v>10883831.13</v>
      </c>
      <c r="E62" s="44">
        <f t="shared" si="0"/>
        <v>0.04874646604320737</v>
      </c>
      <c r="F62" s="42">
        <v>166</v>
      </c>
      <c r="G62" s="41">
        <f t="shared" si="1"/>
        <v>0.0551128818061089</v>
      </c>
    </row>
    <row r="63" spans="1:7" ht="15.75">
      <c r="A63" s="16" t="s">
        <v>63</v>
      </c>
      <c r="B63" s="37"/>
      <c r="C63" s="37"/>
      <c r="D63" s="45">
        <v>8648702.04</v>
      </c>
      <c r="E63" s="46">
        <f t="shared" si="0"/>
        <v>0.0387357774367341</v>
      </c>
      <c r="F63" s="47">
        <v>136</v>
      </c>
      <c r="G63" s="46">
        <f t="shared" si="1"/>
        <v>0.0451527224435591</v>
      </c>
    </row>
    <row r="64" spans="1:7" ht="15.75">
      <c r="A64" s="73" t="s">
        <v>64</v>
      </c>
      <c r="B64" s="37"/>
      <c r="C64" s="37"/>
      <c r="D64" s="45">
        <f>SUM(D54:D63)</f>
        <v>223274259.93</v>
      </c>
      <c r="E64" s="46">
        <f>SUM(E54:E63)</f>
        <v>1</v>
      </c>
      <c r="F64" s="48">
        <f>SUM(F54:F63)</f>
        <v>3012</v>
      </c>
      <c r="G64" s="46">
        <f>SUM(G54:G63)</f>
        <v>0.9999999999999999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38231</v>
      </c>
      <c r="E4" s="3" t="s">
        <v>69</v>
      </c>
    </row>
    <row r="5" spans="1:8" ht="15.75">
      <c r="A5" s="2" t="s">
        <v>15</v>
      </c>
      <c r="D5" s="4">
        <v>0.0485125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195457072.8</v>
      </c>
      <c r="E9" s="9">
        <v>3817190.4</v>
      </c>
      <c r="F9" s="9">
        <v>828220.8</v>
      </c>
      <c r="G9" s="10">
        <f>+D9/276000000</f>
        <v>0.7081778000000001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109783.2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219457072.8</v>
      </c>
      <c r="E11" s="19">
        <f>SUM(E9:E10)</f>
        <v>3817190.4</v>
      </c>
      <c r="F11" s="19">
        <f>SUM(F9:F10)</f>
        <v>938004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77</v>
      </c>
      <c r="F17" s="22">
        <v>7500000</v>
      </c>
      <c r="G17" s="5"/>
    </row>
    <row r="18" spans="1:6" ht="15.75">
      <c r="A18" s="23" t="s">
        <v>78</v>
      </c>
      <c r="F18" s="22">
        <v>0</v>
      </c>
    </row>
    <row r="19" spans="1:6" ht="15.75">
      <c r="A19" s="23" t="s">
        <v>79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80</v>
      </c>
      <c r="F30" s="22">
        <v>165596</v>
      </c>
    </row>
    <row r="31" spans="1:6" ht="15.75">
      <c r="A31" s="25" t="s">
        <v>68</v>
      </c>
      <c r="F31" s="22">
        <v>0</v>
      </c>
    </row>
    <row r="32" spans="1:6" ht="15.75">
      <c r="A32" s="23" t="s">
        <v>81</v>
      </c>
      <c r="F32" s="22">
        <f>D50</f>
        <v>219457067.71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</f>
        <v>143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</f>
        <v>4032227.16</v>
      </c>
    </row>
    <row r="36" spans="1:6" ht="15.75">
      <c r="A36" s="2" t="s">
        <v>7</v>
      </c>
      <c r="E36" s="26">
        <v>13</v>
      </c>
      <c r="F36" s="27">
        <v>344242.93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((3949637+1959713.93-1747913.1)/223274259.93)*12</f>
        <v>0.22365880408989422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215976458.09</v>
      </c>
      <c r="E44" s="32">
        <v>2921</v>
      </c>
      <c r="F44" s="33"/>
    </row>
    <row r="45" spans="1:6" ht="15.75">
      <c r="A45" s="34" t="s">
        <v>35</v>
      </c>
      <c r="B45" s="5"/>
      <c r="C45" s="12"/>
      <c r="D45" s="35">
        <v>2643275.3</v>
      </c>
      <c r="E45" s="36">
        <v>12</v>
      </c>
      <c r="F45" s="33"/>
    </row>
    <row r="46" spans="1:6" ht="15.75">
      <c r="A46" s="34" t="s">
        <v>36</v>
      </c>
      <c r="B46" s="5"/>
      <c r="C46" s="12"/>
      <c r="D46" s="35">
        <v>1335.34</v>
      </c>
      <c r="E46" s="36">
        <v>1</v>
      </c>
      <c r="F46" s="33"/>
    </row>
    <row r="47" spans="1:6" ht="15.75">
      <c r="A47" s="11" t="s">
        <v>37</v>
      </c>
      <c r="B47" s="5"/>
      <c r="C47" s="12"/>
      <c r="D47" s="35">
        <f>757127.73+72402+6251</f>
        <v>835780.73</v>
      </c>
      <c r="E47" s="36">
        <f>7+3+2</f>
        <v>12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219457067.71</v>
      </c>
      <c r="E50" s="39">
        <f>SUM(E44:E49)</f>
        <v>2947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9028815.95</v>
      </c>
      <c r="E54" s="41">
        <f aca="true" t="shared" si="0" ref="E54:E63">D54/D$64</f>
        <v>0.041141604804295094</v>
      </c>
      <c r="F54" s="42">
        <v>135</v>
      </c>
      <c r="G54" s="41">
        <f aca="true" t="shared" si="1" ref="G54:G63">F54/F$64</f>
        <v>0.04580929759077027</v>
      </c>
    </row>
    <row r="55" spans="1:7" ht="15.75">
      <c r="A55" s="11" t="s">
        <v>56</v>
      </c>
      <c r="D55" s="40">
        <v>10255388.45</v>
      </c>
      <c r="E55" s="41">
        <f t="shared" si="0"/>
        <v>0.046730727601600124</v>
      </c>
      <c r="F55" s="42">
        <v>171</v>
      </c>
      <c r="G55" s="41">
        <f t="shared" si="1"/>
        <v>0.058025110281642346</v>
      </c>
    </row>
    <row r="56" spans="1:7" ht="15.75">
      <c r="A56" s="11" t="s">
        <v>66</v>
      </c>
      <c r="D56" s="40">
        <v>74795.19</v>
      </c>
      <c r="E56" s="41">
        <f t="shared" si="0"/>
        <v>0.0003408192353552367</v>
      </c>
      <c r="F56" s="42">
        <v>1</v>
      </c>
      <c r="G56" s="41">
        <f t="shared" si="1"/>
        <v>0.00033932813030200206</v>
      </c>
    </row>
    <row r="57" spans="1:7" ht="15.75">
      <c r="A57" s="11" t="s">
        <v>57</v>
      </c>
      <c r="D57" s="40">
        <v>5024334.75</v>
      </c>
      <c r="E57" s="41">
        <f t="shared" si="0"/>
        <v>0.02289438569062722</v>
      </c>
      <c r="F57" s="42">
        <v>52</v>
      </c>
      <c r="G57" s="41">
        <f t="shared" si="1"/>
        <v>0.017645062775704105</v>
      </c>
    </row>
    <row r="58" spans="1:7" ht="15.75">
      <c r="A58" s="11" t="s">
        <v>58</v>
      </c>
      <c r="D58" s="40">
        <v>18818967.21</v>
      </c>
      <c r="E58" s="41">
        <f t="shared" si="0"/>
        <v>0.08575238614525174</v>
      </c>
      <c r="F58" s="42">
        <v>217</v>
      </c>
      <c r="G58" s="41">
        <f t="shared" si="1"/>
        <v>0.07363420427553444</v>
      </c>
    </row>
    <row r="59" spans="1:8" ht="15.75">
      <c r="A59" s="11" t="s">
        <v>59</v>
      </c>
      <c r="D59" s="40">
        <f>63647057.8+62484355.93</f>
        <v>126131413.72999999</v>
      </c>
      <c r="E59" s="41">
        <f t="shared" si="0"/>
        <v>0.5747430012776703</v>
      </c>
      <c r="F59" s="42">
        <f>646+958</f>
        <v>1604</v>
      </c>
      <c r="G59" s="41">
        <f t="shared" si="1"/>
        <v>0.5442823210044113</v>
      </c>
      <c r="H59" s="43" t="str">
        <f>IF(E59&gt;80%,"ERROR"," ")</f>
        <v> </v>
      </c>
    </row>
    <row r="60" spans="1:7" ht="15.75">
      <c r="A60" s="11" t="s">
        <v>60</v>
      </c>
      <c r="D60" s="40">
        <v>24667588.66</v>
      </c>
      <c r="E60" s="41">
        <f t="shared" si="0"/>
        <v>0.11240279896553117</v>
      </c>
      <c r="F60" s="42">
        <v>364</v>
      </c>
      <c r="G60" s="41">
        <f t="shared" si="1"/>
        <v>0.12351543942992874</v>
      </c>
    </row>
    <row r="61" spans="1:7" ht="15.75">
      <c r="A61" s="11" t="s">
        <v>61</v>
      </c>
      <c r="D61" s="40">
        <v>6507014</v>
      </c>
      <c r="E61" s="41">
        <f t="shared" si="0"/>
        <v>0.029650510091970082</v>
      </c>
      <c r="F61" s="42">
        <v>111</v>
      </c>
      <c r="G61" s="41">
        <f t="shared" si="1"/>
        <v>0.037665422463522225</v>
      </c>
    </row>
    <row r="62" spans="1:7" ht="15.75">
      <c r="A62" s="11" t="s">
        <v>62</v>
      </c>
      <c r="D62" s="40">
        <v>10573953.82</v>
      </c>
      <c r="E62" s="44">
        <f t="shared" si="0"/>
        <v>0.0481823343936152</v>
      </c>
      <c r="F62" s="42">
        <v>159</v>
      </c>
      <c r="G62" s="41">
        <f t="shared" si="1"/>
        <v>0.053953172718018326</v>
      </c>
    </row>
    <row r="63" spans="1:7" ht="15.75">
      <c r="A63" s="16" t="s">
        <v>63</v>
      </c>
      <c r="B63" s="37"/>
      <c r="C63" s="37"/>
      <c r="D63" s="45">
        <v>8374795.92</v>
      </c>
      <c r="E63" s="46">
        <f t="shared" si="0"/>
        <v>0.03816143179408402</v>
      </c>
      <c r="F63" s="47">
        <v>133</v>
      </c>
      <c r="G63" s="46">
        <f t="shared" si="1"/>
        <v>0.04513064133016627</v>
      </c>
    </row>
    <row r="64" spans="1:7" ht="15.75">
      <c r="A64" s="73" t="s">
        <v>64</v>
      </c>
      <c r="B64" s="37"/>
      <c r="C64" s="37"/>
      <c r="D64" s="45">
        <f>SUM(D54:D63)</f>
        <v>219457067.67999995</v>
      </c>
      <c r="E64" s="46">
        <f>SUM(E54:E63)</f>
        <v>1.0000000000000002</v>
      </c>
      <c r="F64" s="48">
        <f>SUM(F54:F63)</f>
        <v>2947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3" r:id="rId2"/>
  <rowBreaks count="1" manualBreakCount="1">
    <brk id="51" max="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38261</v>
      </c>
      <c r="E4" s="3" t="s">
        <v>69</v>
      </c>
    </row>
    <row r="5" spans="1:8" ht="15.75">
      <c r="A5" s="2" t="s">
        <v>15</v>
      </c>
      <c r="D5" s="4">
        <v>0.04845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192344262</v>
      </c>
      <c r="E9" s="9">
        <v>3112810.8</v>
      </c>
      <c r="F9" s="9">
        <v>823694.4</v>
      </c>
      <c r="G9" s="10">
        <f>+D9/276000000</f>
        <v>0.6968995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111172.8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216344262</v>
      </c>
      <c r="E11" s="19">
        <f>SUM(E9:E10)</f>
        <v>3112810.8</v>
      </c>
      <c r="F11" s="19">
        <f>SUM(F9:F10)</f>
        <v>934867.2000000001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71</v>
      </c>
      <c r="F17" s="22">
        <v>7500000</v>
      </c>
      <c r="G17" s="5"/>
    </row>
    <row r="18" spans="1:6" ht="15.75">
      <c r="A18" s="23" t="s">
        <v>72</v>
      </c>
      <c r="F18" s="22">
        <v>0</v>
      </c>
    </row>
    <row r="19" spans="1:6" ht="15.75">
      <c r="A19" s="23" t="s">
        <v>73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74</v>
      </c>
      <c r="F30" s="22">
        <v>227802</v>
      </c>
    </row>
    <row r="31" spans="1:6" ht="15.75">
      <c r="A31" s="25" t="s">
        <v>68</v>
      </c>
      <c r="F31" s="22">
        <v>0</v>
      </c>
    </row>
    <row r="32" spans="1:6" ht="15.75">
      <c r="A32" s="23" t="s">
        <v>75</v>
      </c>
      <c r="F32" s="22">
        <f>D50</f>
        <v>216344261.44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</f>
        <v>161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</f>
        <v>4386125.08</v>
      </c>
    </row>
    <row r="36" spans="1:6" ht="15.75">
      <c r="A36" s="2" t="s">
        <v>7</v>
      </c>
      <c r="E36" s="26">
        <v>18</v>
      </c>
      <c r="F36" s="27">
        <v>353897.92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((3495343+1479584.68-1508218.12)/219457067.68)*12</f>
        <v>0.1895610615770167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215146914.57</v>
      </c>
      <c r="E44" s="32">
        <v>2876</v>
      </c>
      <c r="F44" s="33"/>
    </row>
    <row r="45" spans="1:6" ht="15.75">
      <c r="A45" s="34" t="s">
        <v>35</v>
      </c>
      <c r="B45" s="5"/>
      <c r="C45" s="12"/>
      <c r="D45" s="35">
        <v>470901.31</v>
      </c>
      <c r="E45" s="36">
        <v>6</v>
      </c>
      <c r="F45" s="33"/>
    </row>
    <row r="46" spans="1:6" ht="15.75">
      <c r="A46" s="34" t="s">
        <v>36</v>
      </c>
      <c r="B46" s="5"/>
      <c r="C46" s="12"/>
      <c r="D46" s="35">
        <v>1335.34</v>
      </c>
      <c r="E46" s="36">
        <v>1</v>
      </c>
      <c r="F46" s="33"/>
    </row>
    <row r="47" spans="1:6" ht="15.75">
      <c r="A47" s="11" t="s">
        <v>37</v>
      </c>
      <c r="B47" s="5"/>
      <c r="C47" s="12"/>
      <c r="D47" s="35">
        <f>411093.44+115814.61+10184.85+5972.32</f>
        <v>543065.22</v>
      </c>
      <c r="E47" s="36">
        <f>3+2+1+1</f>
        <v>7</v>
      </c>
      <c r="F47" s="33"/>
    </row>
    <row r="48" spans="1:6" ht="15.75">
      <c r="A48" s="11" t="s">
        <v>27</v>
      </c>
      <c r="B48" s="5"/>
      <c r="C48" s="12"/>
      <c r="D48" s="35">
        <v>182045</v>
      </c>
      <c r="E48" s="36">
        <v>2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216344261.44</v>
      </c>
      <c r="E50" s="39">
        <f>SUM(E44:E49)</f>
        <v>2892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8650888.88</v>
      </c>
      <c r="E54" s="41">
        <f aca="true" t="shared" si="0" ref="E54:E63">D54/D$64</f>
        <v>0.03998668059147573</v>
      </c>
      <c r="F54" s="42">
        <v>132</v>
      </c>
      <c r="G54" s="41">
        <f aca="true" t="shared" si="1" ref="G54:G63">F54/F$64</f>
        <v>0.04564315352697095</v>
      </c>
    </row>
    <row r="55" spans="1:7" ht="15.75">
      <c r="A55" s="11" t="s">
        <v>56</v>
      </c>
      <c r="D55" s="40">
        <v>10236937.02</v>
      </c>
      <c r="E55" s="41">
        <f t="shared" si="0"/>
        <v>0.04731781167599431</v>
      </c>
      <c r="F55" s="42">
        <v>166</v>
      </c>
      <c r="G55" s="41">
        <f t="shared" si="1"/>
        <v>0.05739972337482711</v>
      </c>
    </row>
    <row r="56" spans="1:7" ht="15.75">
      <c r="A56" s="11" t="s">
        <v>66</v>
      </c>
      <c r="D56" s="40">
        <v>74795.22</v>
      </c>
      <c r="E56" s="41">
        <f t="shared" si="0"/>
        <v>0.00034572315208251264</v>
      </c>
      <c r="F56" s="42">
        <v>1</v>
      </c>
      <c r="G56" s="41">
        <f t="shared" si="1"/>
        <v>0.00034578146611341634</v>
      </c>
    </row>
    <row r="57" spans="1:7" ht="15.75">
      <c r="A57" s="11" t="s">
        <v>57</v>
      </c>
      <c r="D57" s="40">
        <v>4975584.11</v>
      </c>
      <c r="E57" s="41">
        <f t="shared" si="0"/>
        <v>0.022998456612078465</v>
      </c>
      <c r="F57" s="42">
        <v>51</v>
      </c>
      <c r="G57" s="41">
        <f t="shared" si="1"/>
        <v>0.017634854771784232</v>
      </c>
    </row>
    <row r="58" spans="1:7" ht="15.75">
      <c r="A58" s="11" t="s">
        <v>58</v>
      </c>
      <c r="D58" s="40">
        <v>18338122.1</v>
      </c>
      <c r="E58" s="41">
        <f t="shared" si="0"/>
        <v>0.08476361692212399</v>
      </c>
      <c r="F58" s="42">
        <v>212</v>
      </c>
      <c r="G58" s="41">
        <f t="shared" si="1"/>
        <v>0.07330567081604426</v>
      </c>
    </row>
    <row r="59" spans="1:8" ht="15.75">
      <c r="A59" s="11" t="s">
        <v>59</v>
      </c>
      <c r="D59" s="40">
        <f>63062927.86+61358601.93</f>
        <v>124421529.78999999</v>
      </c>
      <c r="E59" s="41">
        <f t="shared" si="0"/>
        <v>0.5751089904665972</v>
      </c>
      <c r="F59" s="42">
        <f>942+637</f>
        <v>1579</v>
      </c>
      <c r="G59" s="41">
        <f t="shared" si="1"/>
        <v>0.5459889349930843</v>
      </c>
      <c r="H59" s="43" t="str">
        <f>IF(E59&gt;80%,"ERROR"," ")</f>
        <v> </v>
      </c>
    </row>
    <row r="60" spans="1:7" ht="15.75">
      <c r="A60" s="11" t="s">
        <v>60</v>
      </c>
      <c r="D60" s="40">
        <v>24642544.52</v>
      </c>
      <c r="E60" s="41">
        <f t="shared" si="0"/>
        <v>0.11390431322734325</v>
      </c>
      <c r="F60" s="42">
        <v>359</v>
      </c>
      <c r="G60" s="41">
        <f t="shared" si="1"/>
        <v>0.12413554633471646</v>
      </c>
    </row>
    <row r="61" spans="1:7" ht="15.75">
      <c r="A61" s="11" t="s">
        <v>61</v>
      </c>
      <c r="D61" s="40">
        <v>6254883.47</v>
      </c>
      <c r="E61" s="41">
        <f t="shared" si="0"/>
        <v>0.028911714266729935</v>
      </c>
      <c r="F61" s="42">
        <v>106</v>
      </c>
      <c r="G61" s="41">
        <f t="shared" si="1"/>
        <v>0.03665283540802213</v>
      </c>
    </row>
    <row r="62" spans="1:7" ht="15.75">
      <c r="A62" s="11" t="s">
        <v>62</v>
      </c>
      <c r="D62" s="40">
        <v>10488284.33</v>
      </c>
      <c r="E62" s="44">
        <f t="shared" si="0"/>
        <v>0.04847960496011943</v>
      </c>
      <c r="F62" s="42">
        <v>158</v>
      </c>
      <c r="G62" s="41">
        <f t="shared" si="1"/>
        <v>0.05463347164591978</v>
      </c>
    </row>
    <row r="63" spans="1:7" ht="15.75">
      <c r="A63" s="16" t="s">
        <v>63</v>
      </c>
      <c r="B63" s="37"/>
      <c r="C63" s="37"/>
      <c r="D63" s="45">
        <v>8260692</v>
      </c>
      <c r="E63" s="46">
        <f t="shared" si="0"/>
        <v>0.03818308812545501</v>
      </c>
      <c r="F63" s="47">
        <v>128</v>
      </c>
      <c r="G63" s="46">
        <f t="shared" si="1"/>
        <v>0.04426002766251729</v>
      </c>
    </row>
    <row r="64" spans="1:7" ht="15.75">
      <c r="A64" s="73" t="s">
        <v>64</v>
      </c>
      <c r="B64" s="37"/>
      <c r="C64" s="37"/>
      <c r="D64" s="45">
        <f>SUM(D54:D63)</f>
        <v>216344261.44000003</v>
      </c>
      <c r="E64" s="46">
        <f>SUM(E54:E63)</f>
        <v>0.9999999999999998</v>
      </c>
      <c r="F64" s="48">
        <f>SUM(F54:F63)</f>
        <v>2892</v>
      </c>
      <c r="G64" s="46">
        <f>SUM(G54:G63)</f>
        <v>0.9999999999999999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38292</v>
      </c>
      <c r="E4" s="3" t="s">
        <v>69</v>
      </c>
    </row>
    <row r="5" spans="1:8" ht="15.75">
      <c r="A5" s="2" t="s">
        <v>15</v>
      </c>
      <c r="D5" s="4">
        <v>0.0483125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188529748.8</v>
      </c>
      <c r="E9" s="9">
        <v>3814513.2</v>
      </c>
      <c r="F9" s="9">
        <v>836556</v>
      </c>
      <c r="G9" s="10">
        <f>+D9/276000000</f>
        <v>0.6830788000000001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114751.2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212529748.8</v>
      </c>
      <c r="E11" s="19">
        <f>SUM(E9:E10)</f>
        <v>3814513.2</v>
      </c>
      <c r="F11" s="19">
        <f>SUM(F9:F10)</f>
        <v>951307.2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82</v>
      </c>
      <c r="F17" s="22">
        <v>7500000</v>
      </c>
      <c r="G17" s="5"/>
    </row>
    <row r="18" spans="1:6" ht="15.75">
      <c r="A18" s="23" t="s">
        <v>83</v>
      </c>
      <c r="F18" s="22">
        <v>0</v>
      </c>
    </row>
    <row r="19" spans="1:6" ht="15.75">
      <c r="A19" s="23" t="s">
        <v>84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85</v>
      </c>
      <c r="F30" s="22">
        <v>196347.38</v>
      </c>
    </row>
    <row r="31" spans="1:6" ht="15.75">
      <c r="A31" s="25" t="s">
        <v>68</v>
      </c>
      <c r="F31" s="22">
        <v>0</v>
      </c>
    </row>
    <row r="32" spans="1:6" ht="15.75">
      <c r="A32" s="23" t="s">
        <v>86</v>
      </c>
      <c r="F32" s="22">
        <f>D50</f>
        <v>212529736.79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</f>
        <v>181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</f>
        <v>4612080.91</v>
      </c>
    </row>
    <row r="36" spans="1:6" ht="15.75">
      <c r="A36" s="2" t="s">
        <v>7</v>
      </c>
      <c r="E36" s="26">
        <v>20</v>
      </c>
      <c r="F36" s="27">
        <v>225955.83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87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((4074966+1572179-1606663)/216344261)*12</f>
        <v>0.22411402907516925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211088802.33</v>
      </c>
      <c r="E44" s="32">
        <v>2836</v>
      </c>
      <c r="F44" s="33"/>
    </row>
    <row r="45" spans="1:6" ht="15.75">
      <c r="A45" s="34" t="s">
        <v>35</v>
      </c>
      <c r="B45" s="5"/>
      <c r="C45" s="12"/>
      <c r="D45" s="35">
        <v>782557.14</v>
      </c>
      <c r="E45" s="36">
        <v>13</v>
      </c>
      <c r="F45" s="33"/>
    </row>
    <row r="46" spans="1:6" ht="15.75">
      <c r="A46" s="34" t="s">
        <v>36</v>
      </c>
      <c r="B46" s="5"/>
      <c r="C46" s="12"/>
      <c r="D46" s="35">
        <v>112010.41</v>
      </c>
      <c r="E46" s="36">
        <v>3</v>
      </c>
      <c r="F46" s="33"/>
    </row>
    <row r="47" spans="1:6" ht="15.75">
      <c r="A47" s="11" t="s">
        <v>37</v>
      </c>
      <c r="B47" s="5"/>
      <c r="C47" s="12"/>
      <c r="D47" s="35">
        <f>413408.87+55354.37+71413.1+5972.32</f>
        <v>546148.6599999999</v>
      </c>
      <c r="E47" s="36">
        <f>3+1+2+1</f>
        <v>7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212529736.79</v>
      </c>
      <c r="E50" s="39">
        <f>SUM(E44:E49)</f>
        <v>2860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8411989.78</v>
      </c>
      <c r="E54" s="41">
        <f aca="true" t="shared" si="0" ref="E54:E63">D54/D$64</f>
        <v>0.03958029547795404</v>
      </c>
      <c r="F54" s="42">
        <v>130</v>
      </c>
      <c r="G54" s="41">
        <f aca="true" t="shared" si="1" ref="G54:G63">F54/F$64</f>
        <v>0.045454545454545456</v>
      </c>
    </row>
    <row r="55" spans="1:7" ht="15.75">
      <c r="A55" s="11" t="s">
        <v>56</v>
      </c>
      <c r="D55" s="40">
        <v>10156551.76</v>
      </c>
      <c r="E55" s="41">
        <f t="shared" si="0"/>
        <v>0.04778885022586585</v>
      </c>
      <c r="F55" s="42">
        <v>165</v>
      </c>
      <c r="G55" s="41">
        <f t="shared" si="1"/>
        <v>0.057692307692307696</v>
      </c>
    </row>
    <row r="56" spans="1:7" ht="15.75">
      <c r="A56" s="11" t="s">
        <v>66</v>
      </c>
      <c r="D56" s="40">
        <v>74795.25</v>
      </c>
      <c r="E56" s="41">
        <f t="shared" si="0"/>
        <v>0.00035192839896049447</v>
      </c>
      <c r="F56" s="42">
        <v>1</v>
      </c>
      <c r="G56" s="41">
        <f t="shared" si="1"/>
        <v>0.00034965034965034965</v>
      </c>
    </row>
    <row r="57" spans="1:7" ht="15.75">
      <c r="A57" s="11" t="s">
        <v>57</v>
      </c>
      <c r="D57" s="40">
        <v>4867340.21</v>
      </c>
      <c r="E57" s="41">
        <f t="shared" si="0"/>
        <v>0.02290192555411389</v>
      </c>
      <c r="F57" s="42">
        <v>50</v>
      </c>
      <c r="G57" s="41">
        <f t="shared" si="1"/>
        <v>0.017482517482517484</v>
      </c>
    </row>
    <row r="58" spans="1:7" ht="15.75">
      <c r="A58" s="11" t="s">
        <v>58</v>
      </c>
      <c r="D58" s="40">
        <v>17708715.31</v>
      </c>
      <c r="E58" s="41">
        <f t="shared" si="0"/>
        <v>0.08332347076446026</v>
      </c>
      <c r="F58" s="42">
        <v>207</v>
      </c>
      <c r="G58" s="41">
        <f t="shared" si="1"/>
        <v>0.07237762237762238</v>
      </c>
    </row>
    <row r="59" spans="1:8" ht="15.75">
      <c r="A59" s="11" t="s">
        <v>59</v>
      </c>
      <c r="D59" s="40">
        <f>62134890.38+59931808.91</f>
        <v>122066699.28999999</v>
      </c>
      <c r="E59" s="41">
        <f t="shared" si="0"/>
        <v>0.5743511526135928</v>
      </c>
      <c r="F59" s="42">
        <f>630+932</f>
        <v>1562</v>
      </c>
      <c r="G59" s="41">
        <f t="shared" si="1"/>
        <v>0.5461538461538461</v>
      </c>
      <c r="H59" s="43" t="str">
        <f>IF(E59&gt;80%,"ERROR"," ")</f>
        <v> </v>
      </c>
    </row>
    <row r="60" spans="1:7" ht="15.75">
      <c r="A60" s="11" t="s">
        <v>60</v>
      </c>
      <c r="D60" s="40">
        <v>24467208.69</v>
      </c>
      <c r="E60" s="41">
        <f t="shared" si="0"/>
        <v>0.11512369543926917</v>
      </c>
      <c r="F60" s="42">
        <v>359</v>
      </c>
      <c r="G60" s="41">
        <f t="shared" si="1"/>
        <v>0.12552447552447552</v>
      </c>
    </row>
    <row r="61" spans="1:7" ht="15.75">
      <c r="A61" s="11" t="s">
        <v>61</v>
      </c>
      <c r="D61" s="40">
        <v>5822072.56</v>
      </c>
      <c r="E61" s="41">
        <f t="shared" si="0"/>
        <v>0.027394155038891203</v>
      </c>
      <c r="F61" s="42">
        <v>102</v>
      </c>
      <c r="G61" s="41">
        <f t="shared" si="1"/>
        <v>0.03566433566433566</v>
      </c>
    </row>
    <row r="62" spans="1:7" ht="15.75">
      <c r="A62" s="11" t="s">
        <v>62</v>
      </c>
      <c r="D62" s="40">
        <v>10562909.41</v>
      </c>
      <c r="E62" s="44">
        <f t="shared" si="0"/>
        <v>0.0497008539583201</v>
      </c>
      <c r="F62" s="42">
        <v>158</v>
      </c>
      <c r="G62" s="41">
        <f t="shared" si="1"/>
        <v>0.05524475524475524</v>
      </c>
    </row>
    <row r="63" spans="1:7" ht="15.75">
      <c r="A63" s="16" t="s">
        <v>63</v>
      </c>
      <c r="B63" s="37"/>
      <c r="C63" s="37"/>
      <c r="D63" s="45">
        <v>8391454.53</v>
      </c>
      <c r="E63" s="46">
        <f t="shared" si="0"/>
        <v>0.03948367252857218</v>
      </c>
      <c r="F63" s="47">
        <v>126</v>
      </c>
      <c r="G63" s="46">
        <f t="shared" si="1"/>
        <v>0.044055944055944055</v>
      </c>
    </row>
    <row r="64" spans="1:7" ht="15.75">
      <c r="A64" s="73" t="s">
        <v>64</v>
      </c>
      <c r="B64" s="37"/>
      <c r="C64" s="37"/>
      <c r="D64" s="45">
        <f>SUM(D54:D63)</f>
        <v>212529736.79</v>
      </c>
      <c r="E64" s="46">
        <f>SUM(E54:E63)</f>
        <v>1</v>
      </c>
      <c r="F64" s="48">
        <f>SUM(F54:F63)</f>
        <v>2860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38322</v>
      </c>
      <c r="E4" s="3" t="s">
        <v>69</v>
      </c>
    </row>
    <row r="5" spans="1:8" ht="15.75">
      <c r="A5" s="2" t="s">
        <v>15</v>
      </c>
      <c r="D5" s="75">
        <v>0.04825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184134614.4</v>
      </c>
      <c r="E9" s="9">
        <v>4395134.4</v>
      </c>
      <c r="F9" s="9">
        <v>791402.4</v>
      </c>
      <c r="G9" s="10">
        <f>+D9/276000000</f>
        <v>0.6671544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110779.2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208134614.4</v>
      </c>
      <c r="E11" s="19">
        <f>SUM(E9:E10)</f>
        <v>4395134.4</v>
      </c>
      <c r="F11" s="19">
        <f>SUM(F9:F10)</f>
        <v>902181.6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146</v>
      </c>
      <c r="F17" s="22">
        <v>7500000</v>
      </c>
      <c r="G17" s="5"/>
    </row>
    <row r="18" spans="1:6" ht="15.75">
      <c r="A18" s="23" t="s">
        <v>147</v>
      </c>
      <c r="F18" s="22">
        <v>0</v>
      </c>
    </row>
    <row r="19" spans="1:6" ht="15.75">
      <c r="A19" s="23" t="s">
        <v>148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144</v>
      </c>
      <c r="F30" s="76">
        <v>221903</v>
      </c>
    </row>
    <row r="31" spans="1:6" ht="15.75">
      <c r="A31" s="25" t="s">
        <v>68</v>
      </c>
      <c r="F31" s="22">
        <v>0</v>
      </c>
    </row>
    <row r="32" spans="1:6" ht="15.75">
      <c r="A32" s="23" t="s">
        <v>145</v>
      </c>
      <c r="F32" s="22">
        <f>D50</f>
        <v>208134600.7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</f>
        <v>191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</f>
        <v>4750818.09</v>
      </c>
    </row>
    <row r="36" spans="1:6" ht="15.75">
      <c r="A36" s="2" t="s">
        <v>7</v>
      </c>
      <c r="E36" s="26">
        <v>10</v>
      </c>
      <c r="F36" s="27">
        <v>138737.18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87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((4368119+1436891-1271125)/212529737)*12</f>
        <v>0.25599532925597135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206080330.9</v>
      </c>
      <c r="E44" s="32">
        <v>2766</v>
      </c>
      <c r="F44" s="33"/>
    </row>
    <row r="45" spans="1:6" ht="15.75">
      <c r="A45" s="34" t="s">
        <v>35</v>
      </c>
      <c r="B45" s="5"/>
      <c r="C45" s="12"/>
      <c r="D45" s="35">
        <v>1381411.15</v>
      </c>
      <c r="E45" s="36">
        <v>14</v>
      </c>
      <c r="F45" s="33"/>
    </row>
    <row r="46" spans="1:6" ht="15.75">
      <c r="A46" s="34" t="s">
        <v>36</v>
      </c>
      <c r="B46" s="5"/>
      <c r="C46" s="12"/>
      <c r="D46" s="35">
        <v>110294.48</v>
      </c>
      <c r="E46" s="36">
        <v>2</v>
      </c>
      <c r="F46" s="33"/>
    </row>
    <row r="47" spans="1:6" ht="15.75">
      <c r="A47" s="11" t="s">
        <v>37</v>
      </c>
      <c r="B47" s="5"/>
      <c r="C47" s="12"/>
      <c r="D47" s="35">
        <f>54806.63+414579.94+71848.2+5972.32+15138.83</f>
        <v>562345.9199999999</v>
      </c>
      <c r="E47" s="36">
        <f>2+2+2+1+2</f>
        <v>9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208134600.7</v>
      </c>
      <c r="E50" s="39">
        <f>SUM(E44:E49)</f>
        <v>2792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8233042.35</v>
      </c>
      <c r="E54" s="41">
        <f aca="true" t="shared" si="0" ref="E54:E63">D54/D$64</f>
        <v>0.03955633672782211</v>
      </c>
      <c r="F54" s="42">
        <v>126</v>
      </c>
      <c r="G54" s="41">
        <f aca="true" t="shared" si="1" ref="G54:G63">F54/F$64</f>
        <v>0.04512893982808023</v>
      </c>
    </row>
    <row r="55" spans="1:7" ht="15.75">
      <c r="A55" s="11" t="s">
        <v>56</v>
      </c>
      <c r="D55" s="40">
        <v>10164357.4</v>
      </c>
      <c r="E55" s="41">
        <f t="shared" si="0"/>
        <v>0.04883550051656548</v>
      </c>
      <c r="F55" s="42">
        <v>164</v>
      </c>
      <c r="G55" s="41">
        <f t="shared" si="1"/>
        <v>0.05873925501432665</v>
      </c>
    </row>
    <row r="56" spans="1:7" ht="15.75">
      <c r="A56" s="11" t="s">
        <v>66</v>
      </c>
      <c r="D56" s="40">
        <v>74795.28</v>
      </c>
      <c r="E56" s="41">
        <f t="shared" si="0"/>
        <v>0.00035936014362075263</v>
      </c>
      <c r="F56" s="42">
        <v>1</v>
      </c>
      <c r="G56" s="41">
        <f t="shared" si="1"/>
        <v>0.00035816618911174784</v>
      </c>
    </row>
    <row r="57" spans="1:7" ht="15.75">
      <c r="A57" s="11" t="s">
        <v>57</v>
      </c>
      <c r="D57" s="40">
        <v>4512273.37</v>
      </c>
      <c r="E57" s="41">
        <f t="shared" si="0"/>
        <v>0.02167959270022517</v>
      </c>
      <c r="F57" s="42">
        <v>49</v>
      </c>
      <c r="G57" s="41">
        <f t="shared" si="1"/>
        <v>0.017550143266475644</v>
      </c>
    </row>
    <row r="58" spans="1:7" ht="15.75">
      <c r="A58" s="11" t="s">
        <v>58</v>
      </c>
      <c r="D58" s="40">
        <v>17202413.36</v>
      </c>
      <c r="E58" s="41">
        <f t="shared" si="0"/>
        <v>0.08265042574442069</v>
      </c>
      <c r="F58" s="42">
        <v>199</v>
      </c>
      <c r="G58" s="41">
        <f t="shared" si="1"/>
        <v>0.07127507163323782</v>
      </c>
    </row>
    <row r="59" spans="1:8" ht="15.75">
      <c r="A59" s="11" t="s">
        <v>59</v>
      </c>
      <c r="D59" s="40">
        <f>61126077.84+58242977.2</f>
        <v>119369055.04</v>
      </c>
      <c r="E59" s="41">
        <f t="shared" si="0"/>
        <v>0.5735185530831348</v>
      </c>
      <c r="F59" s="42">
        <f>908+615</f>
        <v>1523</v>
      </c>
      <c r="G59" s="41">
        <f t="shared" si="1"/>
        <v>0.545487106017192</v>
      </c>
      <c r="H59" s="43" t="str">
        <f>IF(E59&gt;80%,"ERROR"," ")</f>
        <v> </v>
      </c>
    </row>
    <row r="60" spans="1:7" ht="15.75">
      <c r="A60" s="11" t="s">
        <v>60</v>
      </c>
      <c r="D60" s="40">
        <v>24331078.43</v>
      </c>
      <c r="E60" s="41">
        <f t="shared" si="0"/>
        <v>0.11690068997739693</v>
      </c>
      <c r="F60" s="42">
        <v>353</v>
      </c>
      <c r="G60" s="41">
        <f t="shared" si="1"/>
        <v>0.126432664756447</v>
      </c>
    </row>
    <row r="61" spans="1:7" ht="15.75">
      <c r="A61" s="11" t="s">
        <v>61</v>
      </c>
      <c r="D61" s="40">
        <v>5696510.67</v>
      </c>
      <c r="E61" s="41">
        <f t="shared" si="0"/>
        <v>0.027369359303265527</v>
      </c>
      <c r="F61" s="42">
        <v>98</v>
      </c>
      <c r="G61" s="41">
        <f t="shared" si="1"/>
        <v>0.03510028653295129</v>
      </c>
    </row>
    <row r="62" spans="1:7" ht="15.75">
      <c r="A62" s="11" t="s">
        <v>62</v>
      </c>
      <c r="D62" s="40">
        <v>10121168.76</v>
      </c>
      <c r="E62" s="44">
        <f t="shared" si="0"/>
        <v>0.048627997103607004</v>
      </c>
      <c r="F62" s="42">
        <v>154</v>
      </c>
      <c r="G62" s="41">
        <f t="shared" si="1"/>
        <v>0.05515759312320917</v>
      </c>
    </row>
    <row r="63" spans="1:7" ht="15.75">
      <c r="A63" s="16" t="s">
        <v>63</v>
      </c>
      <c r="B63" s="37"/>
      <c r="C63" s="37"/>
      <c r="D63" s="45">
        <v>8429906.04</v>
      </c>
      <c r="E63" s="46">
        <f t="shared" si="0"/>
        <v>0.04050218469994163</v>
      </c>
      <c r="F63" s="47">
        <v>125</v>
      </c>
      <c r="G63" s="46">
        <f t="shared" si="1"/>
        <v>0.04477077363896848</v>
      </c>
    </row>
    <row r="64" spans="1:7" ht="15.75">
      <c r="A64" s="73" t="s">
        <v>64</v>
      </c>
      <c r="B64" s="37"/>
      <c r="C64" s="37"/>
      <c r="D64" s="45">
        <f>SUM(D54:D63)</f>
        <v>208134600.7</v>
      </c>
      <c r="E64" s="46">
        <f>SUM(E54:E63)</f>
        <v>1.0000000000000002</v>
      </c>
      <c r="F64" s="48">
        <f>SUM(F54:F63)</f>
        <v>2792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fitToHeight="0" horizontalDpi="600" verticalDpi="6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38356</v>
      </c>
      <c r="E4" s="3" t="s">
        <v>69</v>
      </c>
    </row>
    <row r="5" spans="1:8" ht="15.75">
      <c r="A5" s="2" t="s">
        <v>15</v>
      </c>
      <c r="D5" s="75">
        <v>0.0485625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179991164.4</v>
      </c>
      <c r="E9" s="9">
        <v>4143450</v>
      </c>
      <c r="F9" s="9">
        <v>877348.8</v>
      </c>
      <c r="G9" s="10">
        <f>+D9/276000000</f>
        <v>0.6521419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125752.8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203991164.4</v>
      </c>
      <c r="E11" s="19">
        <f>SUM(E9:E10)</f>
        <v>4143450</v>
      </c>
      <c r="F11" s="19">
        <f>SUM(F9:F10)</f>
        <v>1003101.6000000001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149</v>
      </c>
      <c r="F17" s="22">
        <v>7500000</v>
      </c>
      <c r="G17" s="5"/>
    </row>
    <row r="18" spans="1:6" ht="15.75">
      <c r="A18" s="23" t="s">
        <v>150</v>
      </c>
      <c r="F18" s="22">
        <v>0</v>
      </c>
    </row>
    <row r="19" spans="1:6" ht="15.75">
      <c r="A19" s="23" t="s">
        <v>151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152</v>
      </c>
      <c r="F30" s="76">
        <v>179045.43</v>
      </c>
    </row>
    <row r="31" spans="1:6" ht="15.75">
      <c r="A31" s="25" t="s">
        <v>68</v>
      </c>
      <c r="F31" s="22">
        <v>0</v>
      </c>
    </row>
    <row r="32" spans="1:6" ht="15.75">
      <c r="A32" s="23" t="s">
        <v>153</v>
      </c>
      <c r="F32" s="22">
        <f>D50</f>
        <v>203991161.89000002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2+7+8+1+5+11+0+1+4+2+0+3+3+1+6+1+2+1+8+3+1+1+1+4+3+3+1+2+2+4+1+2+3+1+3-1+1+1+17+11+13+18+20+10+15</f>
        <v>206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+324627.25</f>
        <v>5075445.34</v>
      </c>
    </row>
    <row r="36" spans="1:6" ht="15.75">
      <c r="A36" s="2" t="s">
        <v>7</v>
      </c>
      <c r="E36" s="26">
        <v>15</v>
      </c>
      <c r="F36" s="27">
        <v>324627.25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87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((3948692+1679817.22-1160429.64)/208134601)*12</f>
        <v>0.2576071191545898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201233953.3</v>
      </c>
      <c r="E44" s="32">
        <v>2707</v>
      </c>
      <c r="F44" s="33"/>
    </row>
    <row r="45" spans="1:6" ht="15.75">
      <c r="A45" s="34" t="s">
        <v>35</v>
      </c>
      <c r="B45" s="5"/>
      <c r="C45" s="12"/>
      <c r="D45" s="35">
        <v>2093593.72</v>
      </c>
      <c r="E45" s="36">
        <v>17</v>
      </c>
      <c r="F45" s="33"/>
    </row>
    <row r="46" spans="1:6" ht="15.75">
      <c r="A46" s="34" t="s">
        <v>36</v>
      </c>
      <c r="B46" s="5"/>
      <c r="C46" s="12"/>
      <c r="D46" s="35">
        <v>167096.38</v>
      </c>
      <c r="E46" s="36">
        <v>3</v>
      </c>
      <c r="F46" s="33"/>
    </row>
    <row r="47" spans="1:6" ht="15.75">
      <c r="A47" s="11" t="s">
        <v>37</v>
      </c>
      <c r="B47" s="5"/>
      <c r="C47" s="12"/>
      <c r="D47" s="35">
        <f>2604.14+415438.18+72285.6+5972.32</f>
        <v>496300.24000000005</v>
      </c>
      <c r="E47" s="36">
        <f>2+2+2+1</f>
        <v>7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203991161.89000002</v>
      </c>
      <c r="E50" s="39">
        <f>SUM(E44:E49)</f>
        <v>2735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7947223.77</v>
      </c>
      <c r="E54" s="41">
        <f aca="true" t="shared" si="0" ref="E54:E63">D54/D$64</f>
        <v>0.0389586671126735</v>
      </c>
      <c r="F54" s="42">
        <v>124</v>
      </c>
      <c r="G54" s="41">
        <f aca="true" t="shared" si="1" ref="G54:G63">F54/F$64</f>
        <v>0.0453382084095064</v>
      </c>
    </row>
    <row r="55" spans="1:7" ht="15.75">
      <c r="A55" s="11" t="s">
        <v>56</v>
      </c>
      <c r="D55" s="40">
        <v>9855395.15</v>
      </c>
      <c r="E55" s="41">
        <f t="shared" si="0"/>
        <v>0.048312853648602744</v>
      </c>
      <c r="F55" s="42">
        <v>160</v>
      </c>
      <c r="G55" s="41">
        <f t="shared" si="1"/>
        <v>0.05850091407678245</v>
      </c>
    </row>
    <row r="56" spans="1:7" ht="15.75">
      <c r="A56" s="11" t="s">
        <v>66</v>
      </c>
      <c r="D56" s="40">
        <v>74795.31</v>
      </c>
      <c r="E56" s="41">
        <f t="shared" si="0"/>
        <v>0.00036665956165460024</v>
      </c>
      <c r="F56" s="42">
        <v>1</v>
      </c>
      <c r="G56" s="41">
        <f t="shared" si="1"/>
        <v>0.00036563071297989033</v>
      </c>
    </row>
    <row r="57" spans="1:7" ht="15.75">
      <c r="A57" s="11" t="s">
        <v>57</v>
      </c>
      <c r="D57" s="40">
        <v>4579906.44</v>
      </c>
      <c r="E57" s="41">
        <f t="shared" si="0"/>
        <v>0.022451494454792432</v>
      </c>
      <c r="F57" s="42">
        <v>49</v>
      </c>
      <c r="G57" s="41">
        <f t="shared" si="1"/>
        <v>0.017915904936014627</v>
      </c>
    </row>
    <row r="58" spans="1:7" ht="15.75">
      <c r="A58" s="11" t="s">
        <v>58</v>
      </c>
      <c r="D58" s="40">
        <v>17010764.52</v>
      </c>
      <c r="E58" s="41">
        <f t="shared" si="0"/>
        <v>0.08338971336990014</v>
      </c>
      <c r="F58" s="42">
        <v>195</v>
      </c>
      <c r="G58" s="41">
        <f t="shared" si="1"/>
        <v>0.0712979890310786</v>
      </c>
    </row>
    <row r="59" spans="1:8" ht="15.75">
      <c r="A59" s="11" t="s">
        <v>59</v>
      </c>
      <c r="D59" s="40">
        <f>59931055.12+57642119.8</f>
        <v>117573174.91999999</v>
      </c>
      <c r="E59" s="41">
        <f t="shared" si="0"/>
        <v>0.5763640631813256</v>
      </c>
      <c r="F59" s="42">
        <f>605+893</f>
        <v>1498</v>
      </c>
      <c r="G59" s="41">
        <f t="shared" si="1"/>
        <v>0.5477148080438757</v>
      </c>
      <c r="H59" s="43" t="str">
        <f>IF(E59&gt;80%,"ERROR"," ")</f>
        <v> </v>
      </c>
    </row>
    <row r="60" spans="1:7" ht="15.75">
      <c r="A60" s="11" t="s">
        <v>60</v>
      </c>
      <c r="D60" s="40">
        <v>23431927.37</v>
      </c>
      <c r="E60" s="41">
        <f t="shared" si="0"/>
        <v>0.11486736559025733</v>
      </c>
      <c r="F60" s="42">
        <v>341</v>
      </c>
      <c r="G60" s="41">
        <f t="shared" si="1"/>
        <v>0.1246800731261426</v>
      </c>
    </row>
    <row r="61" spans="1:7" ht="15.75">
      <c r="A61" s="11" t="s">
        <v>61</v>
      </c>
      <c r="D61" s="40">
        <v>5622539.02</v>
      </c>
      <c r="E61" s="41">
        <f t="shared" si="0"/>
        <v>0.027562659910883254</v>
      </c>
      <c r="F61" s="42">
        <v>97</v>
      </c>
      <c r="G61" s="41">
        <f t="shared" si="1"/>
        <v>0.03546617915904936</v>
      </c>
    </row>
    <row r="62" spans="1:7" ht="15.75">
      <c r="A62" s="11" t="s">
        <v>62</v>
      </c>
      <c r="D62" s="40">
        <v>9602458.9</v>
      </c>
      <c r="E62" s="44">
        <f t="shared" si="0"/>
        <v>0.0470729163510428</v>
      </c>
      <c r="F62" s="42">
        <v>148</v>
      </c>
      <c r="G62" s="41">
        <f t="shared" si="1"/>
        <v>0.054113345521023766</v>
      </c>
    </row>
    <row r="63" spans="1:7" ht="15.75">
      <c r="A63" s="16" t="s">
        <v>63</v>
      </c>
      <c r="B63" s="37"/>
      <c r="C63" s="37"/>
      <c r="D63" s="45">
        <v>8292976.49</v>
      </c>
      <c r="E63" s="46">
        <f t="shared" si="0"/>
        <v>0.040653606818867455</v>
      </c>
      <c r="F63" s="47">
        <v>122</v>
      </c>
      <c r="G63" s="46">
        <f t="shared" si="1"/>
        <v>0.04460694698354662</v>
      </c>
    </row>
    <row r="64" spans="1:7" ht="15.75">
      <c r="A64" s="73" t="s">
        <v>64</v>
      </c>
      <c r="B64" s="37"/>
      <c r="C64" s="37"/>
      <c r="D64" s="45">
        <f>SUM(D54:D63)</f>
        <v>203991161.89000002</v>
      </c>
      <c r="E64" s="46">
        <f>SUM(E54:E63)</f>
        <v>0.9999999999999999</v>
      </c>
      <c r="F64" s="48">
        <f>SUM(F54:F63)</f>
        <v>2735</v>
      </c>
      <c r="G64" s="46">
        <f>SUM(G54:G63)</f>
        <v>1.0000000000000002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38384</v>
      </c>
      <c r="E4" s="3" t="s">
        <v>69</v>
      </c>
    </row>
    <row r="5" spans="1:8" ht="15.75">
      <c r="A5" s="2" t="s">
        <v>15</v>
      </c>
      <c r="D5" s="75">
        <v>0.0483438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177470566.8</v>
      </c>
      <c r="E9" s="9">
        <v>2520597.6</v>
      </c>
      <c r="F9" s="9">
        <v>710562</v>
      </c>
      <c r="G9" s="10">
        <f>+D9/276000000</f>
        <v>0.6430093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104136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201470566.8</v>
      </c>
      <c r="E11" s="19">
        <f>SUM(E9:E10)</f>
        <v>2520597.6</v>
      </c>
      <c r="F11" s="19">
        <f>SUM(F9:F10)</f>
        <v>814698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154</v>
      </c>
      <c r="F17" s="22">
        <v>7500000</v>
      </c>
      <c r="G17" s="5"/>
    </row>
    <row r="18" spans="1:6" ht="15.75">
      <c r="A18" s="23" t="s">
        <v>155</v>
      </c>
      <c r="F18" s="22">
        <v>0</v>
      </c>
    </row>
    <row r="19" spans="1:6" ht="15.75">
      <c r="A19" s="23" t="s">
        <v>156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157</v>
      </c>
      <c r="F30" s="76">
        <v>172033</v>
      </c>
    </row>
    <row r="31" spans="1:6" ht="15.75">
      <c r="A31" s="25" t="s">
        <v>68</v>
      </c>
      <c r="F31" s="22">
        <v>0</v>
      </c>
    </row>
    <row r="32" spans="1:6" ht="15.75">
      <c r="A32" s="23" t="s">
        <v>158</v>
      </c>
      <c r="F32" s="22">
        <f>D50</f>
        <v>201470548.98999998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2+7+8+1+5+11+0+1+4+2+0+3+3+1+6+1+2+1+8+3+1+1+1+4+3+3+1+2+2+4+1+2+3+1+3-1+1+1+17+11+13+18+20+10+15+7</f>
        <v>213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+324627.25+163235.31</f>
        <v>5238680.649999999</v>
      </c>
    </row>
    <row r="36" spans="1:6" ht="15.75">
      <c r="A36" s="2" t="s">
        <v>7</v>
      </c>
      <c r="E36" s="26">
        <v>7</v>
      </c>
      <c r="F36" s="27">
        <v>163235.31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159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((2323024+1155813-794986)/203991162)*12</f>
        <v>0.1578804281726676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198420311.94</v>
      </c>
      <c r="E44" s="32">
        <v>2668</v>
      </c>
      <c r="F44" s="33"/>
    </row>
    <row r="45" spans="1:6" ht="15.75">
      <c r="A45" s="34" t="s">
        <v>35</v>
      </c>
      <c r="B45" s="5"/>
      <c r="C45" s="12"/>
      <c r="D45" s="35">
        <v>2270310.13</v>
      </c>
      <c r="E45" s="36">
        <v>20</v>
      </c>
      <c r="F45" s="33"/>
    </row>
    <row r="46" spans="1:6" ht="15.75">
      <c r="A46" s="34" t="s">
        <v>36</v>
      </c>
      <c r="B46" s="5"/>
      <c r="C46" s="12"/>
      <c r="D46" s="35">
        <v>278672.66</v>
      </c>
      <c r="E46" s="36">
        <v>5</v>
      </c>
      <c r="F46" s="33"/>
    </row>
    <row r="47" spans="1:6" ht="15.75">
      <c r="A47" s="11" t="s">
        <v>37</v>
      </c>
      <c r="B47" s="5"/>
      <c r="C47" s="12"/>
      <c r="D47" s="35">
        <f>5873.66+293246.11+133114.58+68801.66</f>
        <v>501036.01</v>
      </c>
      <c r="E47" s="36">
        <f>2+1+2+2</f>
        <v>7</v>
      </c>
      <c r="F47" s="33"/>
    </row>
    <row r="48" spans="1:6" ht="15.75">
      <c r="A48" s="11" t="s">
        <v>27</v>
      </c>
      <c r="B48" s="5"/>
      <c r="C48" s="12"/>
      <c r="D48" s="35">
        <v>218.25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201470548.98999998</v>
      </c>
      <c r="E50" s="39">
        <f>SUM(E44:E49)</f>
        <v>2701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7432726.43</v>
      </c>
      <c r="E54" s="41">
        <f aca="true" t="shared" si="0" ref="E54:E63">D54/D$64</f>
        <v>0.03689237194846243</v>
      </c>
      <c r="F54" s="42">
        <v>122</v>
      </c>
      <c r="G54" s="41">
        <f aca="true" t="shared" si="1" ref="G54:G63">F54/F$64</f>
        <v>0.045168456127360236</v>
      </c>
    </row>
    <row r="55" spans="1:7" ht="15.75">
      <c r="A55" s="11" t="s">
        <v>56</v>
      </c>
      <c r="D55" s="40">
        <v>9760679.42</v>
      </c>
      <c r="E55" s="41">
        <f t="shared" si="0"/>
        <v>0.04844717736131484</v>
      </c>
      <c r="F55" s="42">
        <v>157</v>
      </c>
      <c r="G55" s="41">
        <f t="shared" si="1"/>
        <v>0.058126619770455384</v>
      </c>
    </row>
    <row r="56" spans="1:7" ht="15.75">
      <c r="A56" s="11" t="s">
        <v>66</v>
      </c>
      <c r="D56" s="40">
        <v>74795.34</v>
      </c>
      <c r="E56" s="41">
        <f t="shared" si="0"/>
        <v>0.0003712470153824442</v>
      </c>
      <c r="F56" s="42">
        <v>1</v>
      </c>
      <c r="G56" s="41">
        <f t="shared" si="1"/>
        <v>0.00037023324694557573</v>
      </c>
    </row>
    <row r="57" spans="1:7" ht="15.75">
      <c r="A57" s="11" t="s">
        <v>57</v>
      </c>
      <c r="D57" s="40">
        <v>4585314</v>
      </c>
      <c r="E57" s="41">
        <f t="shared" si="0"/>
        <v>0.02275922720708719</v>
      </c>
      <c r="F57" s="42">
        <v>49</v>
      </c>
      <c r="G57" s="41">
        <f t="shared" si="1"/>
        <v>0.01814142910033321</v>
      </c>
    </row>
    <row r="58" spans="1:7" ht="15.75">
      <c r="A58" s="11" t="s">
        <v>58</v>
      </c>
      <c r="D58" s="40">
        <v>16988686.73</v>
      </c>
      <c r="E58" s="41">
        <f t="shared" si="0"/>
        <v>0.08432342501257212</v>
      </c>
      <c r="F58" s="42">
        <v>194</v>
      </c>
      <c r="G58" s="41">
        <f t="shared" si="1"/>
        <v>0.07182524990744169</v>
      </c>
    </row>
    <row r="59" spans="1:8" ht="15.75">
      <c r="A59" s="11" t="s">
        <v>59</v>
      </c>
      <c r="D59" s="40">
        <f>59239474.4+57069686.21</f>
        <v>116309160.61</v>
      </c>
      <c r="E59" s="41">
        <f t="shared" si="0"/>
        <v>0.5773010556285972</v>
      </c>
      <c r="F59" s="42">
        <f>884+599</f>
        <v>1483</v>
      </c>
      <c r="G59" s="41">
        <f t="shared" si="1"/>
        <v>0.5490559052202888</v>
      </c>
      <c r="H59" s="43" t="str">
        <f>IF(E59&gt;80%,"ERROR"," ")</f>
        <v> </v>
      </c>
    </row>
    <row r="60" spans="1:7" ht="15.75">
      <c r="A60" s="11" t="s">
        <v>60</v>
      </c>
      <c r="D60" s="40">
        <v>23006126.94</v>
      </c>
      <c r="E60" s="41">
        <f t="shared" si="0"/>
        <v>0.11419101727440031</v>
      </c>
      <c r="F60" s="42">
        <v>333</v>
      </c>
      <c r="G60" s="41">
        <f t="shared" si="1"/>
        <v>0.1232876712328767</v>
      </c>
    </row>
    <row r="61" spans="1:7" ht="15.75">
      <c r="A61" s="11" t="s">
        <v>61</v>
      </c>
      <c r="D61" s="40">
        <v>5555441.82</v>
      </c>
      <c r="E61" s="41">
        <f t="shared" si="0"/>
        <v>0.02757446112024912</v>
      </c>
      <c r="F61" s="42">
        <v>96</v>
      </c>
      <c r="G61" s="41">
        <f t="shared" si="1"/>
        <v>0.03554239170677527</v>
      </c>
    </row>
    <row r="62" spans="1:7" ht="15.75">
      <c r="A62" s="11" t="s">
        <v>62</v>
      </c>
      <c r="D62" s="40">
        <v>9531123.26</v>
      </c>
      <c r="E62" s="44">
        <f t="shared" si="0"/>
        <v>0.047307774301409575</v>
      </c>
      <c r="F62" s="42">
        <v>146</v>
      </c>
      <c r="G62" s="41">
        <f t="shared" si="1"/>
        <v>0.05405405405405406</v>
      </c>
    </row>
    <row r="63" spans="1:7" ht="15.75">
      <c r="A63" s="16" t="s">
        <v>63</v>
      </c>
      <c r="B63" s="37"/>
      <c r="C63" s="37"/>
      <c r="D63" s="45">
        <v>8226494.44</v>
      </c>
      <c r="E63" s="46">
        <f t="shared" si="0"/>
        <v>0.040832243130524866</v>
      </c>
      <c r="F63" s="47">
        <v>120</v>
      </c>
      <c r="G63" s="46">
        <f t="shared" si="1"/>
        <v>0.044427989633469084</v>
      </c>
    </row>
    <row r="64" spans="1:7" ht="15.75">
      <c r="A64" s="73" t="s">
        <v>64</v>
      </c>
      <c r="B64" s="37"/>
      <c r="C64" s="37"/>
      <c r="D64" s="45">
        <f>SUM(D54:D63)</f>
        <v>201470548.98999998</v>
      </c>
      <c r="E64" s="46">
        <f>SUM(E54:E63)</f>
        <v>1</v>
      </c>
      <c r="F64" s="48">
        <f>SUM(F54:F63)</f>
        <v>2701</v>
      </c>
      <c r="G64" s="46">
        <f>SUM(G54:G63)</f>
        <v>1.0000000000000002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38412</v>
      </c>
      <c r="E4" s="3" t="s">
        <v>69</v>
      </c>
    </row>
    <row r="5" spans="1:8" ht="15.75">
      <c r="A5" s="2" t="s">
        <v>15</v>
      </c>
      <c r="D5" s="75">
        <v>0.0487688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175633676</v>
      </c>
      <c r="E9" s="9">
        <v>1836890</v>
      </c>
      <c r="F9" s="78">
        <v>697645</v>
      </c>
      <c r="G9" s="10">
        <f>+D9/276000000</f>
        <v>0.6363538985507247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103735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199633676</v>
      </c>
      <c r="E11" s="19">
        <f>SUM(E9:E10)</f>
        <v>1836890</v>
      </c>
      <c r="F11" s="19">
        <f>SUM(F9:F10)</f>
        <v>801380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161</v>
      </c>
      <c r="F17" s="22">
        <v>7500000</v>
      </c>
      <c r="G17" s="5"/>
    </row>
    <row r="18" spans="1:6" ht="15.75">
      <c r="A18" s="23" t="s">
        <v>166</v>
      </c>
      <c r="F18" s="22">
        <v>0</v>
      </c>
    </row>
    <row r="19" spans="1:6" ht="15.75">
      <c r="A19" s="23" t="s">
        <v>167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168</v>
      </c>
      <c r="F30" s="76">
        <v>274008</v>
      </c>
    </row>
    <row r="31" spans="1:6" ht="15.75">
      <c r="A31" s="25" t="s">
        <v>68</v>
      </c>
      <c r="F31" s="22">
        <v>0</v>
      </c>
    </row>
    <row r="32" spans="1:6" ht="15.75">
      <c r="A32" s="23" t="s">
        <v>169</v>
      </c>
      <c r="F32" s="22">
        <f>D50</f>
        <v>199633674.2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2+7+8+1+5+11+0+1+4+2+0+3+3+1+6+1+2+1+8+3+1+1+1+4+3+3+1+2+2+4+1+2+3+1+3-1+1+1+17+11+13+18+20+10+15+7+11+13</f>
        <v>237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+324627.25+163235.31+201927.74+220981.72</f>
        <v>5661590.109999999</v>
      </c>
    </row>
    <row r="36" spans="1:6" ht="15.75">
      <c r="A36" s="2" t="s">
        <v>7</v>
      </c>
      <c r="E36" s="26">
        <v>13</v>
      </c>
      <c r="F36" s="27">
        <v>220981.72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160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((2292998+1245484-1499663)/201470549)*12</f>
        <v>0.121436250218388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196000984</v>
      </c>
      <c r="E44" s="32">
        <v>2659</v>
      </c>
      <c r="F44" s="33"/>
    </row>
    <row r="45" spans="1:6" ht="15.75">
      <c r="A45" s="34" t="s">
        <v>35</v>
      </c>
      <c r="B45" s="5"/>
      <c r="C45" s="12"/>
      <c r="D45" s="35">
        <v>2392745</v>
      </c>
      <c r="E45" s="36">
        <v>11</v>
      </c>
      <c r="F45" s="33"/>
    </row>
    <row r="46" spans="1:6" ht="15.75">
      <c r="A46" s="34" t="s">
        <v>36</v>
      </c>
      <c r="B46" s="5"/>
      <c r="C46" s="12"/>
      <c r="D46" s="35">
        <v>527756.6</v>
      </c>
      <c r="E46" s="36">
        <v>3</v>
      </c>
      <c r="F46" s="33"/>
    </row>
    <row r="47" spans="1:6" ht="15.75">
      <c r="A47" s="11" t="s">
        <v>37</v>
      </c>
      <c r="B47" s="5"/>
      <c r="C47" s="12"/>
      <c r="D47" s="35">
        <v>711970.6</v>
      </c>
      <c r="E47" s="36">
        <v>12</v>
      </c>
      <c r="F47" s="33"/>
    </row>
    <row r="48" spans="1:6" ht="15.75">
      <c r="A48" s="11" t="s">
        <v>27</v>
      </c>
      <c r="B48" s="5"/>
      <c r="C48" s="12"/>
      <c r="D48" s="35">
        <v>218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199633674.2</v>
      </c>
      <c r="E50" s="39">
        <f>SUM(E44:E49)</f>
        <v>2686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7651602.6</v>
      </c>
      <c r="E54" s="41">
        <f aca="true" t="shared" si="0" ref="E54:E63">D54/D$64</f>
        <v>0.03832821603367734</v>
      </c>
      <c r="F54" s="42">
        <v>120</v>
      </c>
      <c r="G54" s="41">
        <f aca="true" t="shared" si="1" ref="G54:G63">F54/F$64</f>
        <v>0.044676098287416234</v>
      </c>
    </row>
    <row r="55" spans="1:7" ht="15.75">
      <c r="A55" s="11" t="s">
        <v>56</v>
      </c>
      <c r="D55" s="40">
        <v>9726356.6</v>
      </c>
      <c r="E55" s="41">
        <f t="shared" si="0"/>
        <v>0.048721021787694954</v>
      </c>
      <c r="F55" s="42">
        <v>156</v>
      </c>
      <c r="G55" s="41">
        <f t="shared" si="1"/>
        <v>0.058078927773641105</v>
      </c>
    </row>
    <row r="56" spans="1:7" ht="15.75">
      <c r="A56" s="11" t="s">
        <v>66</v>
      </c>
      <c r="D56" s="40">
        <v>74795</v>
      </c>
      <c r="E56" s="41">
        <f t="shared" si="0"/>
        <v>0.00037466124001773126</v>
      </c>
      <c r="F56" s="42">
        <v>1</v>
      </c>
      <c r="G56" s="41">
        <f t="shared" si="1"/>
        <v>0.00037230081906180194</v>
      </c>
    </row>
    <row r="57" spans="1:7" ht="15.75">
      <c r="A57" s="11" t="s">
        <v>57</v>
      </c>
      <c r="D57" s="40">
        <v>4834119</v>
      </c>
      <c r="E57" s="41">
        <f t="shared" si="0"/>
        <v>0.024214947776365733</v>
      </c>
      <c r="F57" s="42">
        <v>50</v>
      </c>
      <c r="G57" s="41">
        <f t="shared" si="1"/>
        <v>0.018615040953090096</v>
      </c>
    </row>
    <row r="58" spans="1:7" ht="15.75">
      <c r="A58" s="11" t="s">
        <v>58</v>
      </c>
      <c r="D58" s="40">
        <v>16829055.6</v>
      </c>
      <c r="E58" s="41">
        <f t="shared" si="0"/>
        <v>0.08429968366098461</v>
      </c>
      <c r="F58" s="42">
        <v>194</v>
      </c>
      <c r="G58" s="41">
        <f t="shared" si="1"/>
        <v>0.07222635889798958</v>
      </c>
    </row>
    <row r="59" spans="1:8" ht="15.75">
      <c r="A59" s="11" t="s">
        <v>59</v>
      </c>
      <c r="D59" s="40">
        <v>115596456.6</v>
      </c>
      <c r="E59" s="41">
        <f t="shared" si="0"/>
        <v>0.579042874141478</v>
      </c>
      <c r="F59" s="42">
        <v>1477</v>
      </c>
      <c r="G59" s="41">
        <f t="shared" si="1"/>
        <v>0.5498883097542815</v>
      </c>
      <c r="H59" s="43" t="str">
        <f>IF(E59&gt;80%,"ERROR"," ")</f>
        <v> </v>
      </c>
    </row>
    <row r="60" spans="1:7" ht="15.75">
      <c r="A60" s="11" t="s">
        <v>60</v>
      </c>
      <c r="D60" s="40">
        <v>22635076</v>
      </c>
      <c r="E60" s="41">
        <f t="shared" si="0"/>
        <v>0.11338305557932465</v>
      </c>
      <c r="F60" s="42">
        <v>336</v>
      </c>
      <c r="G60" s="41">
        <f t="shared" si="1"/>
        <v>0.12509307520476545</v>
      </c>
    </row>
    <row r="61" spans="1:7" ht="15.75">
      <c r="A61" s="11" t="s">
        <v>61</v>
      </c>
      <c r="D61" s="40">
        <v>5425325</v>
      </c>
      <c r="E61" s="41">
        <f t="shared" si="0"/>
        <v>0.027176402058950434</v>
      </c>
      <c r="F61" s="42">
        <v>96</v>
      </c>
      <c r="G61" s="41">
        <f t="shared" si="1"/>
        <v>0.035740878629932984</v>
      </c>
    </row>
    <row r="62" spans="1:7" ht="15.75">
      <c r="A62" s="11" t="s">
        <v>62</v>
      </c>
      <c r="D62" s="40">
        <v>9335172</v>
      </c>
      <c r="E62" s="44">
        <f t="shared" si="0"/>
        <v>0.046761509690471346</v>
      </c>
      <c r="F62" s="42">
        <v>144</v>
      </c>
      <c r="G62" s="41">
        <f t="shared" si="1"/>
        <v>0.05361131794489948</v>
      </c>
    </row>
    <row r="63" spans="1:7" ht="15.75">
      <c r="A63" s="16" t="s">
        <v>63</v>
      </c>
      <c r="B63" s="37"/>
      <c r="C63" s="37"/>
      <c r="D63" s="45">
        <v>7525716</v>
      </c>
      <c r="E63" s="46">
        <f t="shared" si="0"/>
        <v>0.037697628031035234</v>
      </c>
      <c r="F63" s="47">
        <v>112</v>
      </c>
      <c r="G63" s="46">
        <f t="shared" si="1"/>
        <v>0.04169769173492182</v>
      </c>
    </row>
    <row r="64" spans="1:7" ht="15.75">
      <c r="A64" s="73" t="s">
        <v>64</v>
      </c>
      <c r="B64" s="37"/>
      <c r="C64" s="37"/>
      <c r="D64" s="45">
        <f>SUM(D54:D63)</f>
        <v>199633674.39999998</v>
      </c>
      <c r="E64" s="46">
        <f>SUM(E54:E63)</f>
        <v>1</v>
      </c>
      <c r="F64" s="48">
        <f>SUM(F54:F63)</f>
        <v>2686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0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38443</v>
      </c>
      <c r="E4" s="3" t="s">
        <v>69</v>
      </c>
    </row>
    <row r="5" spans="1:8" ht="15.75">
      <c r="A5" s="2" t="s">
        <v>15</v>
      </c>
      <c r="D5" s="75">
        <v>0.0486813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173439090</v>
      </c>
      <c r="E9" s="9">
        <v>2194586</v>
      </c>
      <c r="F9" s="78">
        <v>770730</v>
      </c>
      <c r="G9" s="10">
        <f>+D9/276000000</f>
        <v>0.6284025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115716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197439090</v>
      </c>
      <c r="E11" s="19">
        <f>SUM(E9:E10)</f>
        <v>2194586</v>
      </c>
      <c r="F11" s="19">
        <f>SUM(F9:F10)</f>
        <v>886446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161</v>
      </c>
      <c r="F17" s="22">
        <v>7500000</v>
      </c>
      <c r="G17" s="5"/>
    </row>
    <row r="18" spans="1:6" ht="15.75">
      <c r="A18" s="23" t="s">
        <v>162</v>
      </c>
      <c r="F18" s="22">
        <v>0</v>
      </c>
    </row>
    <row r="19" spans="1:6" ht="15.75">
      <c r="A19" s="23" t="s">
        <v>163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164</v>
      </c>
      <c r="F30" s="76">
        <v>187102</v>
      </c>
    </row>
    <row r="31" spans="1:6" ht="15.75">
      <c r="A31" s="25" t="s">
        <v>68</v>
      </c>
      <c r="F31" s="22">
        <v>0</v>
      </c>
    </row>
    <row r="32" spans="1:6" ht="15.75">
      <c r="A32" s="23" t="s">
        <v>165</v>
      </c>
      <c r="F32" s="22">
        <f>D50</f>
        <v>197439075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2+7+8+1+5+11+0+1+4+2+0+3+3+1+6+1+2+1+8+3+1+1+1+4+3+3+1+2+2+4+1+2+3+1+3-1+1+1+17+11+13+18+20+10+15+7+11+13+13</f>
        <v>250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+324627.25+163235.31+201927.74+220981.72+201928</f>
        <v>5863518.109999999</v>
      </c>
    </row>
    <row r="36" spans="1:6" ht="15.75">
      <c r="A36" s="2" t="s">
        <v>7</v>
      </c>
      <c r="E36" s="26">
        <v>13</v>
      </c>
      <c r="F36" s="27">
        <v>201928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170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((2256691+1147273-988380)/199633674)*12</f>
        <v>0.14520099449755156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193849734</v>
      </c>
      <c r="E44" s="32">
        <v>2610</v>
      </c>
      <c r="F44" s="33"/>
    </row>
    <row r="45" spans="1:6" ht="15.75">
      <c r="A45" s="34" t="s">
        <v>35</v>
      </c>
      <c r="B45" s="5"/>
      <c r="C45" s="12"/>
      <c r="D45" s="35">
        <v>2346888</v>
      </c>
      <c r="E45" s="36">
        <v>9</v>
      </c>
      <c r="F45" s="33"/>
    </row>
    <row r="46" spans="1:6" ht="15.75">
      <c r="A46" s="34" t="s">
        <v>36</v>
      </c>
      <c r="B46" s="5"/>
      <c r="C46" s="12"/>
      <c r="D46" s="35">
        <v>275567</v>
      </c>
      <c r="E46" s="36">
        <v>5</v>
      </c>
      <c r="F46" s="33"/>
    </row>
    <row r="47" spans="1:6" ht="15.75">
      <c r="A47" s="11" t="s">
        <v>37</v>
      </c>
      <c r="B47" s="5"/>
      <c r="C47" s="12"/>
      <c r="D47" s="35">
        <f>834490+124713+7465</f>
        <v>966668</v>
      </c>
      <c r="E47" s="36">
        <f>5+1+2</f>
        <v>8</v>
      </c>
      <c r="F47" s="33"/>
    </row>
    <row r="48" spans="1:6" ht="15.75">
      <c r="A48" s="11" t="s">
        <v>27</v>
      </c>
      <c r="B48" s="5"/>
      <c r="C48" s="12"/>
      <c r="D48" s="35">
        <v>218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197439075</v>
      </c>
      <c r="E50" s="39">
        <f>SUM(E44:E49)</f>
        <v>2633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7636322.77</v>
      </c>
      <c r="E54" s="41">
        <f aca="true" t="shared" si="0" ref="E54:E63">D54/D$64</f>
        <v>0.03867685652296299</v>
      </c>
      <c r="F54" s="42">
        <v>120</v>
      </c>
      <c r="G54" s="41">
        <f aca="true" t="shared" si="1" ref="G54:G63">F54/F$64</f>
        <v>0.04557538928978352</v>
      </c>
    </row>
    <row r="55" spans="1:7" ht="15.75">
      <c r="A55" s="11" t="s">
        <v>56</v>
      </c>
      <c r="D55" s="40">
        <v>9582773.95</v>
      </c>
      <c r="E55" s="41">
        <f t="shared" si="0"/>
        <v>0.04853534670014181</v>
      </c>
      <c r="F55" s="42">
        <v>155</v>
      </c>
      <c r="G55" s="41">
        <f t="shared" si="1"/>
        <v>0.05886821116597037</v>
      </c>
    </row>
    <row r="56" spans="1:7" ht="15.75">
      <c r="A56" s="11" t="s">
        <v>66</v>
      </c>
      <c r="D56" s="40">
        <v>74795</v>
      </c>
      <c r="E56" s="41">
        <f t="shared" si="0"/>
        <v>0.0003788257215894263</v>
      </c>
      <c r="F56" s="42">
        <v>1</v>
      </c>
      <c r="G56" s="41">
        <f t="shared" si="1"/>
        <v>0.00037979491074819596</v>
      </c>
    </row>
    <row r="57" spans="1:7" ht="15.75">
      <c r="A57" s="11" t="s">
        <v>57</v>
      </c>
      <c r="D57" s="40">
        <v>4820157.15</v>
      </c>
      <c r="E57" s="41">
        <f t="shared" si="0"/>
        <v>0.024413390073175785</v>
      </c>
      <c r="F57" s="42">
        <v>49</v>
      </c>
      <c r="G57" s="41">
        <f t="shared" si="1"/>
        <v>0.0186099506266616</v>
      </c>
    </row>
    <row r="58" spans="1:7" ht="15.75">
      <c r="A58" s="11" t="s">
        <v>58</v>
      </c>
      <c r="D58" s="40">
        <v>16612409.72</v>
      </c>
      <c r="E58" s="41">
        <f t="shared" si="0"/>
        <v>0.08413942241484323</v>
      </c>
      <c r="F58" s="42">
        <v>187</v>
      </c>
      <c r="G58" s="41">
        <f t="shared" si="1"/>
        <v>0.07102164830991264</v>
      </c>
    </row>
    <row r="59" spans="1:8" ht="15.75">
      <c r="A59" s="11" t="s">
        <v>59</v>
      </c>
      <c r="D59" s="40">
        <f>58120657.61+56382115.41+101049.84</f>
        <v>114603822.86</v>
      </c>
      <c r="E59" s="41">
        <f t="shared" si="0"/>
        <v>0.5804515795420321</v>
      </c>
      <c r="F59" s="42">
        <f>866+588</f>
        <v>1454</v>
      </c>
      <c r="G59" s="41">
        <f t="shared" si="1"/>
        <v>0.5522218002278769</v>
      </c>
      <c r="H59" s="43" t="str">
        <f>IF(E59&gt;80%,"ERROR"," ")</f>
        <v> </v>
      </c>
    </row>
    <row r="60" spans="1:7" ht="15.75">
      <c r="A60" s="11" t="s">
        <v>60</v>
      </c>
      <c r="D60" s="40">
        <v>22236011.03</v>
      </c>
      <c r="E60" s="41">
        <f t="shared" si="0"/>
        <v>0.11262213949742889</v>
      </c>
      <c r="F60" s="42">
        <v>324</v>
      </c>
      <c r="G60" s="41">
        <f t="shared" si="1"/>
        <v>0.1230535510824155</v>
      </c>
    </row>
    <row r="61" spans="1:7" ht="15.75">
      <c r="A61" s="11" t="s">
        <v>61</v>
      </c>
      <c r="D61" s="40">
        <v>5432606.25</v>
      </c>
      <c r="E61" s="41">
        <f t="shared" si="0"/>
        <v>0.027515355074102243</v>
      </c>
      <c r="F61" s="42">
        <v>93</v>
      </c>
      <c r="G61" s="41">
        <f t="shared" si="1"/>
        <v>0.03532092669958223</v>
      </c>
    </row>
    <row r="62" spans="1:7" ht="15.75">
      <c r="A62" s="11" t="s">
        <v>62</v>
      </c>
      <c r="D62" s="40">
        <v>8937329.33</v>
      </c>
      <c r="E62" s="44">
        <f t="shared" si="0"/>
        <v>0.045266264222469335</v>
      </c>
      <c r="F62" s="42">
        <v>140</v>
      </c>
      <c r="G62" s="41">
        <f t="shared" si="1"/>
        <v>0.053171287504747436</v>
      </c>
    </row>
    <row r="63" spans="1:7" ht="15.75">
      <c r="A63" s="16" t="s">
        <v>63</v>
      </c>
      <c r="B63" s="37"/>
      <c r="C63" s="37"/>
      <c r="D63" s="45">
        <v>7502846.79</v>
      </c>
      <c r="E63" s="46">
        <f t="shared" si="0"/>
        <v>0.03800082023125424</v>
      </c>
      <c r="F63" s="47">
        <v>110</v>
      </c>
      <c r="G63" s="46">
        <f t="shared" si="1"/>
        <v>0.041777440182301555</v>
      </c>
    </row>
    <row r="64" spans="1:7" ht="15.75">
      <c r="A64" s="73" t="s">
        <v>64</v>
      </c>
      <c r="B64" s="37"/>
      <c r="C64" s="37"/>
      <c r="D64" s="45">
        <f>SUM(D54:D63)</f>
        <v>197439074.85</v>
      </c>
      <c r="E64" s="46">
        <f>SUM(E54:E63)</f>
        <v>1</v>
      </c>
      <c r="F64" s="48">
        <f>SUM(F54:F63)</f>
        <v>2633</v>
      </c>
      <c r="G64" s="46">
        <f>SUM(G54:G63)</f>
        <v>0.9999999999999999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37928</v>
      </c>
      <c r="E4" s="3" t="s">
        <v>69</v>
      </c>
    </row>
    <row r="5" spans="1:8" ht="15.75">
      <c r="A5" s="2" t="s">
        <v>15</v>
      </c>
      <c r="D5" s="4">
        <v>0.03775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239167800</v>
      </c>
      <c r="E9" s="9">
        <v>5025104.4</v>
      </c>
      <c r="F9" s="9">
        <v>869593.2</v>
      </c>
      <c r="G9" s="10">
        <f>+D9/276000000</f>
        <v>0.86655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96532.8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263167800</v>
      </c>
      <c r="E11" s="19">
        <f>SUM(E9:E10)</f>
        <v>5025104.4</v>
      </c>
      <c r="F11" s="19">
        <f>SUM(F9:F10)</f>
        <v>966126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119</v>
      </c>
      <c r="F17" s="22">
        <v>7500000</v>
      </c>
      <c r="G17" s="5"/>
    </row>
    <row r="18" spans="1:6" ht="15.75">
      <c r="A18" s="23" t="s">
        <v>120</v>
      </c>
      <c r="F18" s="22">
        <v>0</v>
      </c>
    </row>
    <row r="19" spans="1:6" ht="15.75">
      <c r="A19" s="23" t="s">
        <v>121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122</v>
      </c>
      <c r="F30" s="22">
        <v>255046.08</v>
      </c>
    </row>
    <row r="31" spans="1:6" ht="15.75">
      <c r="A31" s="25" t="s">
        <v>68</v>
      </c>
      <c r="F31" s="22">
        <v>4391.29</v>
      </c>
    </row>
    <row r="32" spans="1:6" ht="15.75">
      <c r="A32" s="23" t="s">
        <v>123</v>
      </c>
      <c r="F32" s="22">
        <f>D50</f>
        <v>260488792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1</v>
      </c>
      <c r="F36" s="27">
        <v>35000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v>0.2191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f>258489319-7142</f>
        <v>258482177</v>
      </c>
      <c r="E44" s="32">
        <v>3525</v>
      </c>
      <c r="F44" s="33"/>
    </row>
    <row r="45" spans="1:6" ht="15.75">
      <c r="A45" s="34" t="s">
        <v>35</v>
      </c>
      <c r="B45" s="5"/>
      <c r="C45" s="12"/>
      <c r="D45" s="35">
        <v>1120406</v>
      </c>
      <c r="E45" s="36">
        <v>10</v>
      </c>
      <c r="F45" s="33"/>
    </row>
    <row r="46" spans="1:6" ht="15.75">
      <c r="A46" s="34" t="s">
        <v>36</v>
      </c>
      <c r="B46" s="5"/>
      <c r="C46" s="12"/>
      <c r="D46" s="35">
        <v>307816</v>
      </c>
      <c r="E46" s="36">
        <v>3</v>
      </c>
      <c r="F46" s="33"/>
    </row>
    <row r="47" spans="1:6" ht="15.75">
      <c r="A47" s="11" t="s">
        <v>37</v>
      </c>
      <c r="B47" s="5"/>
      <c r="C47" s="12"/>
      <c r="D47" s="35">
        <v>130847</v>
      </c>
      <c r="E47" s="36">
        <v>2</v>
      </c>
      <c r="F47" s="33"/>
    </row>
    <row r="48" spans="1:6" ht="15.75">
      <c r="A48" s="11" t="s">
        <v>27</v>
      </c>
      <c r="B48" s="5"/>
      <c r="C48" s="12"/>
      <c r="D48" s="35">
        <v>399194</v>
      </c>
      <c r="E48" s="36">
        <v>3</v>
      </c>
      <c r="F48" s="33" t="s">
        <v>67</v>
      </c>
    </row>
    <row r="49" spans="1:6" ht="15.75">
      <c r="A49" s="11" t="s">
        <v>38</v>
      </c>
      <c r="B49" s="5"/>
      <c r="C49" s="12"/>
      <c r="D49" s="35">
        <v>48352</v>
      </c>
      <c r="E49" s="36">
        <v>1</v>
      </c>
      <c r="F49" s="33"/>
    </row>
    <row r="50" spans="1:7" ht="15.75">
      <c r="A50" s="16"/>
      <c r="B50" s="37"/>
      <c r="C50" s="17"/>
      <c r="D50" s="38">
        <f>SUM(D44:D49)</f>
        <v>260488792</v>
      </c>
      <c r="E50" s="39">
        <f>SUM(E44:E49)</f>
        <v>3544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10782382</v>
      </c>
      <c r="E54" s="41">
        <f aca="true" t="shared" si="0" ref="E54:E63">D54/D$64</f>
        <v>0.04139288265423719</v>
      </c>
      <c r="F54" s="42">
        <v>164</v>
      </c>
      <c r="G54" s="41">
        <f aca="true" t="shared" si="1" ref="G54:G63">F54/F$64</f>
        <v>0.046275395033860044</v>
      </c>
    </row>
    <row r="55" spans="1:7" ht="15.75">
      <c r="A55" s="11" t="s">
        <v>56</v>
      </c>
      <c r="D55" s="40">
        <v>9727240</v>
      </c>
      <c r="E55" s="41">
        <f t="shared" si="0"/>
        <v>0.037342259240082776</v>
      </c>
      <c r="F55" s="42">
        <v>162</v>
      </c>
      <c r="G55" s="41">
        <f t="shared" si="1"/>
        <v>0.045711060948081264</v>
      </c>
    </row>
    <row r="56" spans="1:7" ht="15.75">
      <c r="A56" s="11" t="s">
        <v>66</v>
      </c>
      <c r="D56" s="40">
        <v>74795</v>
      </c>
      <c r="E56" s="41">
        <f t="shared" si="0"/>
        <v>0.00028713327520056987</v>
      </c>
      <c r="F56" s="42">
        <v>1</v>
      </c>
      <c r="G56" s="41">
        <f t="shared" si="1"/>
        <v>0.0002821670428893905</v>
      </c>
    </row>
    <row r="57" spans="1:7" ht="15.75">
      <c r="A57" s="11" t="s">
        <v>57</v>
      </c>
      <c r="D57" s="40">
        <v>5612980</v>
      </c>
      <c r="E57" s="41">
        <f t="shared" si="0"/>
        <v>0.02154787527288314</v>
      </c>
      <c r="F57" s="42">
        <v>65</v>
      </c>
      <c r="G57" s="41">
        <f t="shared" si="1"/>
        <v>0.018340857787810385</v>
      </c>
    </row>
    <row r="58" spans="1:7" ht="15.75">
      <c r="A58" s="11" t="s">
        <v>58</v>
      </c>
      <c r="D58" s="40">
        <v>22229170</v>
      </c>
      <c r="E58" s="41">
        <f t="shared" si="0"/>
        <v>0.08533637792753862</v>
      </c>
      <c r="F58" s="42">
        <v>275</v>
      </c>
      <c r="G58" s="41">
        <f t="shared" si="1"/>
        <v>0.07759593679458239</v>
      </c>
    </row>
    <row r="59" spans="1:8" ht="15.75">
      <c r="A59" s="11" t="s">
        <v>59</v>
      </c>
      <c r="D59" s="40">
        <f>105574469+45238481-7143</f>
        <v>150805807</v>
      </c>
      <c r="E59" s="41">
        <f t="shared" si="0"/>
        <v>0.5789339565903473</v>
      </c>
      <c r="F59" s="42">
        <f>1207+726</f>
        <v>1933</v>
      </c>
      <c r="G59" s="41">
        <f t="shared" si="1"/>
        <v>0.5454288939051919</v>
      </c>
      <c r="H59" s="43" t="str">
        <f>IF(E59&gt;80%,"ERROR"," ")</f>
        <v> </v>
      </c>
    </row>
    <row r="60" spans="1:7" ht="15.75">
      <c r="A60" s="11" t="s">
        <v>60</v>
      </c>
      <c r="D60" s="40">
        <v>28736893</v>
      </c>
      <c r="E60" s="41">
        <f t="shared" si="0"/>
        <v>0.11031911499670205</v>
      </c>
      <c r="F60" s="42">
        <v>427</v>
      </c>
      <c r="G60" s="41">
        <f t="shared" si="1"/>
        <v>0.12048532731376975</v>
      </c>
    </row>
    <row r="61" spans="1:7" ht="15.75">
      <c r="A61" s="11" t="s">
        <v>61</v>
      </c>
      <c r="D61" s="40">
        <v>8832925</v>
      </c>
      <c r="E61" s="41">
        <f t="shared" si="0"/>
        <v>0.03390904050873713</v>
      </c>
      <c r="F61" s="42">
        <v>151</v>
      </c>
      <c r="G61" s="41">
        <f t="shared" si="1"/>
        <v>0.042607223476297966</v>
      </c>
    </row>
    <row r="62" spans="1:7" ht="15.75">
      <c r="A62" s="11" t="s">
        <v>62</v>
      </c>
      <c r="D62" s="40">
        <v>13043148</v>
      </c>
      <c r="E62" s="44">
        <f t="shared" si="0"/>
        <v>0.05007182036453991</v>
      </c>
      <c r="F62" s="42">
        <v>202</v>
      </c>
      <c r="G62" s="41">
        <f t="shared" si="1"/>
        <v>0.05699774266365688</v>
      </c>
    </row>
    <row r="63" spans="1:7" ht="15.75">
      <c r="A63" s="16" t="s">
        <v>63</v>
      </c>
      <c r="B63" s="37"/>
      <c r="C63" s="37"/>
      <c r="D63" s="45">
        <v>10643452</v>
      </c>
      <c r="E63" s="46">
        <f t="shared" si="0"/>
        <v>0.04085953916973134</v>
      </c>
      <c r="F63" s="47">
        <v>164</v>
      </c>
      <c r="G63" s="46">
        <f t="shared" si="1"/>
        <v>0.046275395033860044</v>
      </c>
    </row>
    <row r="64" spans="1:7" ht="15.75">
      <c r="A64" s="73" t="s">
        <v>64</v>
      </c>
      <c r="B64" s="37"/>
      <c r="C64" s="37"/>
      <c r="D64" s="45">
        <f>SUM(D54:D63)</f>
        <v>260488792</v>
      </c>
      <c r="E64" s="46">
        <f>SUM(E54:E63)</f>
        <v>1</v>
      </c>
      <c r="F64" s="48">
        <f>SUM(F54:F63)</f>
        <v>3544</v>
      </c>
      <c r="G64" s="46">
        <f>SUM(G54:G63)</f>
        <v>0.9999999999999999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113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38475</v>
      </c>
      <c r="E4" s="3" t="s">
        <v>69</v>
      </c>
    </row>
    <row r="5" spans="1:8" ht="15.75">
      <c r="A5" s="2" t="s">
        <v>15</v>
      </c>
      <c r="D5" s="75">
        <v>0.0487375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169557012</v>
      </c>
      <c r="E9" s="78">
        <v>3882078</v>
      </c>
      <c r="F9" s="78">
        <v>784336.8</v>
      </c>
      <c r="G9" s="10">
        <f>+D9/276000000</f>
        <v>0.614337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119263.2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193557012</v>
      </c>
      <c r="E11" s="19">
        <f>SUM(E9:E10)</f>
        <v>3882078</v>
      </c>
      <c r="F11" s="19">
        <f>SUM(F9:F10)</f>
        <v>903600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171</v>
      </c>
      <c r="F17" s="22">
        <v>7500000</v>
      </c>
      <c r="G17" s="5"/>
    </row>
    <row r="18" spans="1:6" ht="15.75">
      <c r="A18" s="23" t="s">
        <v>172</v>
      </c>
      <c r="F18" s="22">
        <v>0</v>
      </c>
    </row>
    <row r="19" spans="1:6" ht="15.75">
      <c r="A19" s="23" t="s">
        <v>173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174</v>
      </c>
      <c r="F30" s="76">
        <v>205385</v>
      </c>
    </row>
    <row r="31" spans="1:6" ht="15.75">
      <c r="A31" s="25" t="s">
        <v>68</v>
      </c>
      <c r="F31" s="22">
        <v>0</v>
      </c>
    </row>
    <row r="32" spans="1:6" ht="15.75">
      <c r="A32" s="23" t="s">
        <v>175</v>
      </c>
      <c r="F32" s="22">
        <f>D50</f>
        <v>193556988.31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2+7+8+1+5+11+0+1+4+2+0+3+3+1+6+1+2+1+8+3+1+1+1+4+3+3+1+2+2+4+1+2+3+1+3-1+1+1+17+11+13+18+20+10+15+7+11+13+13+9</f>
        <v>259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+324627.25+163235.31+201927.74+220981.72+201928+314504.96</f>
        <v>6178023.069999999</v>
      </c>
    </row>
    <row r="36" spans="1:6" ht="15.75">
      <c r="A36" s="2" t="s">
        <v>7</v>
      </c>
      <c r="E36" s="26">
        <v>9</v>
      </c>
      <c r="F36" s="27">
        <v>314504.96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176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((3520076+1440304.48-763772.71)/197439075)*12</f>
        <v>0.255062445161881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190069154.79</v>
      </c>
      <c r="E44" s="81">
        <v>2558</v>
      </c>
      <c r="F44" s="33"/>
    </row>
    <row r="45" spans="1:6" ht="15.75">
      <c r="A45" s="34" t="s">
        <v>35</v>
      </c>
      <c r="B45" s="5"/>
      <c r="C45" s="12"/>
      <c r="D45" s="82">
        <v>256798.71</v>
      </c>
      <c r="E45" s="83">
        <v>5</v>
      </c>
      <c r="F45" s="33"/>
    </row>
    <row r="46" spans="1:6" ht="15.75">
      <c r="A46" s="34" t="s">
        <v>36</v>
      </c>
      <c r="B46" s="5"/>
      <c r="C46" s="12"/>
      <c r="D46" s="82">
        <v>2261491.26</v>
      </c>
      <c r="E46" s="83">
        <v>13</v>
      </c>
      <c r="F46" s="33"/>
    </row>
    <row r="47" spans="1:6" ht="15.75">
      <c r="A47" s="11" t="s">
        <v>37</v>
      </c>
      <c r="B47" s="5"/>
      <c r="C47" s="12"/>
      <c r="D47" s="82">
        <f>836102.81+133221.74+1</f>
        <v>969325.55</v>
      </c>
      <c r="E47" s="83">
        <f>5+3</f>
        <v>8</v>
      </c>
      <c r="F47" s="33"/>
    </row>
    <row r="48" spans="1:6" ht="15.75">
      <c r="A48" s="11" t="s">
        <v>27</v>
      </c>
      <c r="B48" s="5"/>
      <c r="C48" s="12"/>
      <c r="D48" s="82">
        <v>218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7" ht="15.75">
      <c r="A50" s="16"/>
      <c r="B50" s="37"/>
      <c r="C50" s="17"/>
      <c r="D50" s="38">
        <f>SUM(D44:D49)</f>
        <v>193556988.31</v>
      </c>
      <c r="E50" s="39">
        <f>SUM(E44:E49)</f>
        <v>2585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7.25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84">
        <v>7456530.57</v>
      </c>
      <c r="E54" s="41">
        <f aca="true" t="shared" si="0" ref="E54:E63">D54/D$64</f>
        <v>0.03852369598520921</v>
      </c>
      <c r="F54" s="86">
        <v>114</v>
      </c>
      <c r="G54" s="41">
        <f aca="true" t="shared" si="1" ref="G54:G63">F54/F$64</f>
        <v>0.044100580270793034</v>
      </c>
    </row>
    <row r="55" spans="1:7" ht="15.75">
      <c r="A55" s="11" t="s">
        <v>56</v>
      </c>
      <c r="D55" s="84">
        <v>9364909.1</v>
      </c>
      <c r="E55" s="41">
        <f t="shared" si="0"/>
        <v>0.0483832135750929</v>
      </c>
      <c r="F55" s="86">
        <v>152</v>
      </c>
      <c r="G55" s="41">
        <f t="shared" si="1"/>
        <v>0.05880077369439071</v>
      </c>
    </row>
    <row r="56" spans="1:7" ht="15.75">
      <c r="A56" s="11" t="s">
        <v>66</v>
      </c>
      <c r="D56" s="84">
        <v>74795</v>
      </c>
      <c r="E56" s="41">
        <f t="shared" si="0"/>
        <v>0.00038642366099945097</v>
      </c>
      <c r="F56" s="86">
        <v>1</v>
      </c>
      <c r="G56" s="41">
        <f t="shared" si="1"/>
        <v>0.00038684719535783365</v>
      </c>
    </row>
    <row r="57" spans="1:7" ht="15.75">
      <c r="A57" s="11" t="s">
        <v>57</v>
      </c>
      <c r="D57" s="84">
        <v>4811065.01</v>
      </c>
      <c r="E57" s="41">
        <f t="shared" si="0"/>
        <v>0.024856064636279967</v>
      </c>
      <c r="F57" s="86">
        <v>49</v>
      </c>
      <c r="G57" s="41">
        <f t="shared" si="1"/>
        <v>0.018955512572533847</v>
      </c>
    </row>
    <row r="58" spans="1:7" ht="15.75">
      <c r="A58" s="11" t="s">
        <v>58</v>
      </c>
      <c r="D58" s="84">
        <v>16501385.26</v>
      </c>
      <c r="E58" s="41">
        <f t="shared" si="0"/>
        <v>0.08525336859056858</v>
      </c>
      <c r="F58" s="86">
        <v>185</v>
      </c>
      <c r="G58" s="41">
        <f t="shared" si="1"/>
        <v>0.07156673114119923</v>
      </c>
    </row>
    <row r="59" spans="1:8" ht="15.75">
      <c r="A59" s="11" t="s">
        <v>59</v>
      </c>
      <c r="D59" s="84">
        <f>57419291.23+55369484.07</f>
        <v>112788775.3</v>
      </c>
      <c r="E59" s="41">
        <f t="shared" si="0"/>
        <v>0.5827161103158025</v>
      </c>
      <c r="F59" s="86">
        <f>855+579</f>
        <v>1434</v>
      </c>
      <c r="G59" s="41">
        <f t="shared" si="1"/>
        <v>0.5547388781431335</v>
      </c>
      <c r="H59" s="43" t="str">
        <f>IF(E59&gt;80%,"ERROR"," ")</f>
        <v> </v>
      </c>
    </row>
    <row r="60" spans="1:7" ht="15.75">
      <c r="A60" s="11" t="s">
        <v>60</v>
      </c>
      <c r="D60" s="84">
        <v>21050816.07</v>
      </c>
      <c r="E60" s="41">
        <f t="shared" si="0"/>
        <v>0.10875771659596864</v>
      </c>
      <c r="F60" s="86">
        <v>313</v>
      </c>
      <c r="G60" s="41">
        <f t="shared" si="1"/>
        <v>0.12108317214700193</v>
      </c>
    </row>
    <row r="61" spans="1:7" ht="15.75">
      <c r="A61" s="11" t="s">
        <v>61</v>
      </c>
      <c r="D61" s="84">
        <v>5386088.46</v>
      </c>
      <c r="E61" s="41">
        <f t="shared" si="0"/>
        <v>0.027826887107160837</v>
      </c>
      <c r="F61" s="86">
        <v>92</v>
      </c>
      <c r="G61" s="41">
        <f t="shared" si="1"/>
        <v>0.035589941972920695</v>
      </c>
    </row>
    <row r="62" spans="1:7" ht="15.75">
      <c r="A62" s="11" t="s">
        <v>62</v>
      </c>
      <c r="D62" s="84">
        <v>8688497.51</v>
      </c>
      <c r="E62" s="44">
        <f t="shared" si="0"/>
        <v>0.04488857565878486</v>
      </c>
      <c r="F62" s="86">
        <v>136</v>
      </c>
      <c r="G62" s="41">
        <f t="shared" si="1"/>
        <v>0.05261121856866538</v>
      </c>
    </row>
    <row r="63" spans="1:7" ht="15.75">
      <c r="A63" s="16" t="s">
        <v>63</v>
      </c>
      <c r="B63" s="37"/>
      <c r="C63" s="37"/>
      <c r="D63" s="85">
        <v>7434125.94</v>
      </c>
      <c r="E63" s="46">
        <f t="shared" si="0"/>
        <v>0.03840794387413309</v>
      </c>
      <c r="F63" s="87">
        <v>109</v>
      </c>
      <c r="G63" s="46">
        <f t="shared" si="1"/>
        <v>0.04216634429400387</v>
      </c>
    </row>
    <row r="64" spans="1:7" ht="15.75">
      <c r="A64" s="73" t="s">
        <v>64</v>
      </c>
      <c r="B64" s="37"/>
      <c r="C64" s="37"/>
      <c r="D64" s="45">
        <f>SUM(D54:D63)</f>
        <v>193556988.22</v>
      </c>
      <c r="E64" s="46">
        <f>SUM(E54:E63)</f>
        <v>1.0000000000000002</v>
      </c>
      <c r="F64" s="48">
        <f>SUM(F54:F63)</f>
        <v>2585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5" right="0.75" top="1" bottom="1" header="0.5" footer="0.5"/>
  <pageSetup horizontalDpi="600" verticalDpi="600" orientation="portrait" paperSize="9" scale="88" r:id="rId2"/>
  <rowBreaks count="1" manualBreakCount="1">
    <brk id="50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38504</v>
      </c>
      <c r="E4" s="3" t="s">
        <v>69</v>
      </c>
    </row>
    <row r="5" spans="1:8" ht="15.75">
      <c r="A5" s="2" t="s">
        <v>15</v>
      </c>
      <c r="D5" s="75">
        <v>0.0485438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168006526.8</v>
      </c>
      <c r="E9" s="78">
        <v>1550485</v>
      </c>
      <c r="F9" s="78">
        <v>695630.4</v>
      </c>
      <c r="G9" s="10">
        <f>+D9/276000000</f>
        <v>0.6087193000000001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108189.6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192006526.8</v>
      </c>
      <c r="E11" s="19">
        <f>SUM(E9:E10)</f>
        <v>1550485</v>
      </c>
      <c r="F11" s="19">
        <f>SUM(F9:F10)</f>
        <v>803820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177</v>
      </c>
      <c r="F17" s="22">
        <v>7500000</v>
      </c>
      <c r="G17" s="5"/>
    </row>
    <row r="18" spans="1:6" ht="15.75">
      <c r="A18" s="23" t="s">
        <v>178</v>
      </c>
      <c r="F18" s="22">
        <v>0</v>
      </c>
    </row>
    <row r="19" spans="1:6" ht="15.75">
      <c r="A19" s="23" t="s">
        <v>179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180</v>
      </c>
      <c r="F30" s="76">
        <v>176763</v>
      </c>
    </row>
    <row r="31" spans="1:6" ht="15.75">
      <c r="A31" s="25" t="s">
        <v>68</v>
      </c>
      <c r="F31" s="22">
        <v>0</v>
      </c>
    </row>
    <row r="32" spans="1:6" ht="15.75">
      <c r="A32" s="23" t="s">
        <v>181</v>
      </c>
      <c r="F32" s="22">
        <f>D51</f>
        <v>192006507.57999998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2+7+8+1+5+11+0+1+4+2+0+3+3+1+6+1+2+1+8+3+1+1+1+4+3+3+1+2+2+4+1+2+3+1+3-1+1+1+17+11+13+18+20+10+15+7+11+13+13+9+10</f>
        <v>269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+209214.65+262912.66+344242.93+353897.92+225955.83+138737.18+324627.25+163235.31+201927.74+220981.72+201928+314504.96+243690.3</f>
        <v>6421713.369999999</v>
      </c>
    </row>
    <row r="36" spans="1:6" ht="15.75">
      <c r="A36" s="2" t="s">
        <v>7</v>
      </c>
      <c r="E36" s="26">
        <v>10</v>
      </c>
      <c r="F36" s="27">
        <v>243690.3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>
      <c r="A38" s="23" t="s">
        <v>182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((2164574+982232.71-1352630.98)/193556988)*12</f>
        <v>0.1112339522456301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188237260.47</v>
      </c>
      <c r="E44" s="81">
        <v>2517</v>
      </c>
      <c r="F44" s="33"/>
    </row>
    <row r="45" spans="1:6" ht="15.75">
      <c r="A45" s="34" t="s">
        <v>35</v>
      </c>
      <c r="B45" s="5"/>
      <c r="C45" s="12"/>
      <c r="D45" s="82">
        <v>970456.29</v>
      </c>
      <c r="E45" s="83">
        <v>6</v>
      </c>
      <c r="F45" s="33"/>
    </row>
    <row r="46" spans="1:6" ht="15.75">
      <c r="A46" s="34" t="s">
        <v>36</v>
      </c>
      <c r="B46" s="5"/>
      <c r="C46" s="12"/>
      <c r="D46" s="82">
        <v>2074466.34</v>
      </c>
      <c r="E46" s="83">
        <v>10</v>
      </c>
      <c r="F46" s="33"/>
    </row>
    <row r="47" spans="1:6" ht="15.75">
      <c r="A47" s="11" t="s">
        <v>37</v>
      </c>
      <c r="B47" s="5"/>
      <c r="C47" s="12"/>
      <c r="D47" s="82">
        <f>253055.66+50216.82</f>
        <v>303272.48</v>
      </c>
      <c r="E47" s="83">
        <v>10</v>
      </c>
      <c r="F47" s="33"/>
    </row>
    <row r="48" spans="1:6" ht="15.75">
      <c r="A48" s="11" t="s">
        <v>27</v>
      </c>
      <c r="B48" s="5"/>
      <c r="C48" s="12"/>
      <c r="D48" s="82">
        <v>218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420834</v>
      </c>
      <c r="E50" s="83">
        <v>2</v>
      </c>
      <c r="F50" s="33"/>
    </row>
    <row r="51" spans="1:7" ht="15.75">
      <c r="A51" s="16"/>
      <c r="B51" s="37"/>
      <c r="C51" s="17"/>
      <c r="D51" s="38">
        <f>SUM(D44:D50)</f>
        <v>192006507.57999998</v>
      </c>
      <c r="E51" s="39">
        <f>SUM(E44:E50)</f>
        <v>2546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7303899.47</v>
      </c>
      <c r="E55" s="41">
        <f aca="true" t="shared" si="0" ref="E55:E64">D55/D$65</f>
        <v>0.038039853670470414</v>
      </c>
      <c r="F55" s="86">
        <v>111</v>
      </c>
      <c r="G55" s="41">
        <f aca="true" t="shared" si="1" ref="G55:G64">F55/F$65</f>
        <v>0.04359780047132757</v>
      </c>
    </row>
    <row r="56" spans="1:7" ht="15.75">
      <c r="A56" s="11" t="s">
        <v>56</v>
      </c>
      <c r="D56" s="84">
        <v>9270022.69</v>
      </c>
      <c r="E56" s="41">
        <f t="shared" si="0"/>
        <v>0.048279731682771984</v>
      </c>
      <c r="F56" s="86">
        <v>149</v>
      </c>
      <c r="G56" s="41">
        <f t="shared" si="1"/>
        <v>0.05852317360565593</v>
      </c>
    </row>
    <row r="57" spans="1:7" ht="15.75">
      <c r="A57" s="11" t="s">
        <v>66</v>
      </c>
      <c r="D57" s="84">
        <v>74795.37</v>
      </c>
      <c r="E57" s="41">
        <f t="shared" si="0"/>
        <v>0.000389546014661767</v>
      </c>
      <c r="F57" s="86">
        <v>1</v>
      </c>
      <c r="G57" s="41">
        <f t="shared" si="1"/>
        <v>0.00039277297721916735</v>
      </c>
    </row>
    <row r="58" spans="1:7" ht="15.75">
      <c r="A58" s="11" t="s">
        <v>57</v>
      </c>
      <c r="D58" s="84">
        <v>4832240.25</v>
      </c>
      <c r="E58" s="41">
        <f t="shared" si="0"/>
        <v>0.025167064903558616</v>
      </c>
      <c r="F58" s="86">
        <v>49</v>
      </c>
      <c r="G58" s="41">
        <f t="shared" si="1"/>
        <v>0.0192458758837392</v>
      </c>
    </row>
    <row r="59" spans="1:7" ht="15.75">
      <c r="A59" s="11" t="s">
        <v>58</v>
      </c>
      <c r="D59" s="84">
        <v>16331791.4</v>
      </c>
      <c r="E59" s="41">
        <f t="shared" si="0"/>
        <v>0.08505853038974634</v>
      </c>
      <c r="F59" s="86">
        <v>184</v>
      </c>
      <c r="G59" s="41">
        <f t="shared" si="1"/>
        <v>0.07227022780832679</v>
      </c>
    </row>
    <row r="60" spans="1:8" ht="15.75">
      <c r="A60" s="11" t="s">
        <v>59</v>
      </c>
      <c r="D60" s="84">
        <f>56911403.24+55312555.87</f>
        <v>112223959.11</v>
      </c>
      <c r="E60" s="41">
        <f t="shared" si="0"/>
        <v>0.5844799754432073</v>
      </c>
      <c r="F60" s="86">
        <f>571+845</f>
        <v>1416</v>
      </c>
      <c r="G60" s="41">
        <f t="shared" si="1"/>
        <v>0.5561665357423409</v>
      </c>
      <c r="H60" s="43" t="str">
        <f>IF(E60&gt;80%,"ERROR"," ")</f>
        <v> </v>
      </c>
    </row>
    <row r="61" spans="1:7" ht="15.75">
      <c r="A61" s="11" t="s">
        <v>60</v>
      </c>
      <c r="D61" s="84">
        <v>21046498.48</v>
      </c>
      <c r="E61" s="41">
        <f t="shared" si="0"/>
        <v>0.10961346411507743</v>
      </c>
      <c r="F61" s="86">
        <v>307</v>
      </c>
      <c r="G61" s="41">
        <f t="shared" si="1"/>
        <v>0.12058130400628436</v>
      </c>
    </row>
    <row r="62" spans="1:7" ht="15.75">
      <c r="A62" s="11" t="s">
        <v>61</v>
      </c>
      <c r="D62" s="84">
        <v>5305435.02</v>
      </c>
      <c r="E62" s="41">
        <f t="shared" si="0"/>
        <v>0.02763153746131575</v>
      </c>
      <c r="F62" s="86">
        <v>90</v>
      </c>
      <c r="G62" s="41">
        <f t="shared" si="1"/>
        <v>0.03534956794972506</v>
      </c>
    </row>
    <row r="63" spans="1:7" ht="15.75">
      <c r="A63" s="11" t="s">
        <v>62</v>
      </c>
      <c r="D63" s="84">
        <v>8535350.08</v>
      </c>
      <c r="E63" s="44">
        <f t="shared" si="0"/>
        <v>0.04445344153531154</v>
      </c>
      <c r="F63" s="86">
        <v>133</v>
      </c>
      <c r="G63" s="41">
        <f t="shared" si="1"/>
        <v>0.05223880597014925</v>
      </c>
    </row>
    <row r="64" spans="1:7" ht="15.75">
      <c r="A64" s="16" t="s">
        <v>63</v>
      </c>
      <c r="B64" s="37"/>
      <c r="C64" s="37"/>
      <c r="D64" s="85">
        <v>7082516.18</v>
      </c>
      <c r="E64" s="46">
        <f t="shared" si="0"/>
        <v>0.036886854783878764</v>
      </c>
      <c r="F64" s="87">
        <v>106</v>
      </c>
      <c r="G64" s="46">
        <f t="shared" si="1"/>
        <v>0.041633935585231735</v>
      </c>
    </row>
    <row r="65" spans="1:7" ht="15.75">
      <c r="A65" s="73" t="s">
        <v>64</v>
      </c>
      <c r="B65" s="37"/>
      <c r="C65" s="37"/>
      <c r="D65" s="45">
        <f>SUM(D55:D64)</f>
        <v>192006508.05</v>
      </c>
      <c r="E65" s="46">
        <f>SUM(E55:E64)</f>
        <v>0.9999999999999999</v>
      </c>
      <c r="F65" s="48">
        <f>SUM(F55:F64)</f>
        <v>2546</v>
      </c>
      <c r="G65" s="46">
        <f>SUM(G55:G64)</f>
        <v>1</v>
      </c>
    </row>
    <row r="66" spans="1:7" ht="15.75">
      <c r="A66" s="49"/>
      <c r="B66" s="5"/>
      <c r="C66" s="5"/>
      <c r="D66" s="50"/>
      <c r="E66" s="51"/>
      <c r="F66" s="52"/>
      <c r="G66" s="51"/>
    </row>
    <row r="67" spans="1:6" ht="15.75">
      <c r="A67" s="25" t="s">
        <v>39</v>
      </c>
      <c r="D67" s="22"/>
      <c r="E67" s="26" t="s">
        <v>26</v>
      </c>
      <c r="F67" s="26" t="s">
        <v>19</v>
      </c>
    </row>
    <row r="68" spans="5:6" ht="15.75">
      <c r="E68" s="26"/>
      <c r="F68" s="27"/>
    </row>
    <row r="69" spans="1:6" ht="15.75">
      <c r="A69" s="23" t="s">
        <v>20</v>
      </c>
      <c r="E69" s="26">
        <v>0</v>
      </c>
      <c r="F69" s="27">
        <v>0</v>
      </c>
    </row>
    <row r="70" spans="1:6" ht="15.75">
      <c r="A70" s="25" t="s">
        <v>21</v>
      </c>
      <c r="E70" s="26">
        <v>0</v>
      </c>
      <c r="F70" s="27">
        <v>0</v>
      </c>
    </row>
    <row r="71" spans="1:6" ht="15.75">
      <c r="A71" s="2" t="s">
        <v>12</v>
      </c>
      <c r="E71" s="26">
        <v>0</v>
      </c>
      <c r="F71" s="27">
        <v>0</v>
      </c>
    </row>
    <row r="72" spans="1:6" ht="15.75">
      <c r="A72" s="25" t="s">
        <v>22</v>
      </c>
      <c r="E72" s="26"/>
      <c r="F72" s="27">
        <f>F69-F73-F70-F71</f>
        <v>0</v>
      </c>
    </row>
    <row r="73" spans="1:6" ht="15.75">
      <c r="A73" s="2" t="s">
        <v>23</v>
      </c>
      <c r="E73" s="26"/>
      <c r="F73" s="53">
        <v>0</v>
      </c>
    </row>
    <row r="74" spans="5:6" ht="15.75">
      <c r="E74" s="26"/>
      <c r="F74" s="27"/>
    </row>
    <row r="75" spans="1:6" ht="15.75">
      <c r="A75" s="2" t="s">
        <v>24</v>
      </c>
      <c r="E75" s="26"/>
      <c r="F75" s="54">
        <v>0</v>
      </c>
    </row>
    <row r="76" spans="1:6" ht="15.75">
      <c r="A76" s="2" t="s">
        <v>13</v>
      </c>
      <c r="E76" s="26"/>
      <c r="F76" s="27">
        <v>0</v>
      </c>
    </row>
    <row r="77" spans="5:6" ht="15.75">
      <c r="E77" s="26"/>
      <c r="F77" s="27"/>
    </row>
    <row r="78" spans="1:6" ht="15.75">
      <c r="A78" s="2" t="s">
        <v>25</v>
      </c>
      <c r="E78" s="26"/>
      <c r="F78" s="54">
        <v>0</v>
      </c>
    </row>
    <row r="79" spans="1:6" ht="15.75">
      <c r="A79" s="2" t="s">
        <v>40</v>
      </c>
      <c r="E79" s="26"/>
      <c r="F79" s="55">
        <v>0</v>
      </c>
    </row>
    <row r="80" spans="5:6" ht="15.75">
      <c r="E80" s="26"/>
      <c r="F80" s="27"/>
    </row>
    <row r="81" ht="15.75">
      <c r="F81" s="22"/>
    </row>
    <row r="82" ht="15.75">
      <c r="F82" s="22"/>
    </row>
    <row r="83" ht="15.75">
      <c r="F83" s="22"/>
    </row>
    <row r="84" spans="1:6" ht="15.75">
      <c r="A84" s="30" t="s">
        <v>14</v>
      </c>
      <c r="B84" s="30"/>
      <c r="C84" s="30"/>
      <c r="F84" s="22"/>
    </row>
    <row r="85" ht="15.75">
      <c r="A85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38534</v>
      </c>
      <c r="E4" s="3" t="s">
        <v>69</v>
      </c>
    </row>
    <row r="5" spans="1:8" ht="15.75">
      <c r="A5" s="2" t="s">
        <v>15</v>
      </c>
      <c r="D5" s="75">
        <v>0.0479375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164546314.8</v>
      </c>
      <c r="E9" s="78">
        <v>3460212</v>
      </c>
      <c r="F9" s="78">
        <v>710368.8</v>
      </c>
      <c r="G9" s="10">
        <f>+D9/276000000</f>
        <v>0.5961823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111537.6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188546314.8</v>
      </c>
      <c r="E11" s="19">
        <f>SUM(E9:E10)</f>
        <v>3460212</v>
      </c>
      <c r="F11" s="19">
        <f>SUM(F9:F10)</f>
        <v>821906.4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184</v>
      </c>
      <c r="F17" s="22">
        <v>7500000</v>
      </c>
      <c r="G17" s="5"/>
    </row>
    <row r="18" spans="1:6" ht="15.75">
      <c r="A18" s="88" t="s">
        <v>185</v>
      </c>
      <c r="F18" s="22">
        <v>0</v>
      </c>
    </row>
    <row r="19" spans="1:6" ht="15.75">
      <c r="A19" s="88" t="s">
        <v>186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187</v>
      </c>
      <c r="F30" s="76">
        <v>185361</v>
      </c>
    </row>
    <row r="31" spans="1:6" ht="15.75">
      <c r="A31" s="25" t="s">
        <v>68</v>
      </c>
      <c r="F31" s="22">
        <v>0</v>
      </c>
    </row>
    <row r="32" spans="1:6" ht="15.75">
      <c r="A32" s="88" t="s">
        <v>188</v>
      </c>
      <c r="F32" s="22">
        <f>D51</f>
        <v>188546306.17000002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+'Jun 05'!E35+E36</f>
        <v>278</v>
      </c>
      <c r="F35" s="90">
        <f>+'Jun 05'!F35+F36</f>
        <v>6588197.369999999</v>
      </c>
    </row>
    <row r="36" spans="1:6" ht="15.75">
      <c r="A36" s="2" t="s">
        <v>7</v>
      </c>
      <c r="E36" s="89">
        <v>9</v>
      </c>
      <c r="F36" s="90">
        <v>166484</v>
      </c>
    </row>
    <row r="37" spans="1:6" ht="15.75">
      <c r="A37" s="2" t="s">
        <v>33</v>
      </c>
      <c r="E37" s="26">
        <f>+'Jun 05'!E37+E38</f>
        <v>1967</v>
      </c>
      <c r="F37" s="27">
        <f>+'Jun 05'!F37+F38</f>
        <v>174409381.88000003</v>
      </c>
    </row>
    <row r="38" spans="1:6" ht="15.75">
      <c r="A38" s="88" t="s">
        <v>189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((3585186+986369.64-944851.15)/192006508.05)*12</f>
        <v>0.22666134769070917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184087739.3</v>
      </c>
      <c r="E44" s="81">
        <v>2468</v>
      </c>
      <c r="F44" s="33"/>
    </row>
    <row r="45" spans="1:6" ht="15.75">
      <c r="A45" s="34" t="s">
        <v>35</v>
      </c>
      <c r="B45" s="5"/>
      <c r="C45" s="12"/>
      <c r="D45" s="82">
        <v>1666881.03</v>
      </c>
      <c r="E45" s="83">
        <v>16</v>
      </c>
      <c r="F45" s="33"/>
    </row>
    <row r="46" spans="1:6" ht="15.75">
      <c r="A46" s="34" t="s">
        <v>36</v>
      </c>
      <c r="B46" s="5"/>
      <c r="C46" s="12"/>
      <c r="D46" s="82">
        <v>553353.07</v>
      </c>
      <c r="E46" s="83">
        <v>9</v>
      </c>
      <c r="F46" s="33"/>
    </row>
    <row r="47" spans="1:6" ht="15.75">
      <c r="A47" s="11" t="s">
        <v>37</v>
      </c>
      <c r="B47" s="5"/>
      <c r="C47" s="12"/>
      <c r="D47" s="82">
        <f>1752693.48+956.51+5972.32</f>
        <v>1759622.31</v>
      </c>
      <c r="E47" s="83">
        <v>6</v>
      </c>
      <c r="F47" s="33"/>
    </row>
    <row r="48" spans="1:6" ht="15.75">
      <c r="A48" s="11" t="s">
        <v>27</v>
      </c>
      <c r="B48" s="5"/>
      <c r="C48" s="12"/>
      <c r="D48" s="82">
        <v>218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478492.46</v>
      </c>
      <c r="E50" s="83">
        <v>3</v>
      </c>
      <c r="F50" s="33"/>
    </row>
    <row r="51" spans="1:7" ht="15.75">
      <c r="A51" s="16"/>
      <c r="B51" s="37"/>
      <c r="C51" s="17"/>
      <c r="D51" s="38">
        <f>SUM(D44:D50)</f>
        <v>188546306.17000002</v>
      </c>
      <c r="E51" s="39">
        <f>SUM(E44:E50)</f>
        <v>2503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7100963.26</v>
      </c>
      <c r="E55" s="41">
        <f aca="true" t="shared" si="0" ref="E55:E65">D55/D$66</f>
        <v>0.037661640765224595</v>
      </c>
      <c r="F55" s="86">
        <v>109</v>
      </c>
      <c r="G55" s="41">
        <f aca="true" t="shared" si="1" ref="G55:G65">F55/F$66</f>
        <v>0.043547742708749504</v>
      </c>
    </row>
    <row r="56" spans="1:7" ht="15.75">
      <c r="A56" s="11" t="s">
        <v>56</v>
      </c>
      <c r="D56" s="84">
        <v>9228890.91</v>
      </c>
      <c r="E56" s="41">
        <f t="shared" si="0"/>
        <v>0.04894760913237942</v>
      </c>
      <c r="F56" s="86">
        <v>148</v>
      </c>
      <c r="G56" s="41">
        <f t="shared" si="1"/>
        <v>0.05912904514582501</v>
      </c>
    </row>
    <row r="57" spans="1:7" ht="15.75">
      <c r="A57" s="11" t="s">
        <v>66</v>
      </c>
      <c r="D57" s="84">
        <v>74795.4</v>
      </c>
      <c r="E57" s="41">
        <f t="shared" si="0"/>
        <v>0.00039669512185185984</v>
      </c>
      <c r="F57" s="86">
        <v>1</v>
      </c>
      <c r="G57" s="41">
        <f t="shared" si="1"/>
        <v>0.00039952057530962844</v>
      </c>
    </row>
    <row r="58" spans="1:7" ht="15.75">
      <c r="A58" s="11" t="s">
        <v>57</v>
      </c>
      <c r="D58" s="84">
        <v>4863908.88</v>
      </c>
      <c r="E58" s="41">
        <f t="shared" si="0"/>
        <v>0.02579689293496583</v>
      </c>
      <c r="F58" s="86">
        <v>49</v>
      </c>
      <c r="G58" s="41">
        <f t="shared" si="1"/>
        <v>0.019576508190171794</v>
      </c>
    </row>
    <row r="59" spans="1:7" ht="15.75">
      <c r="A59" s="11" t="s">
        <v>58</v>
      </c>
      <c r="D59" s="84">
        <v>16247921.19</v>
      </c>
      <c r="E59" s="41">
        <f t="shared" si="0"/>
        <v>0.08617469892943236</v>
      </c>
      <c r="F59" s="86">
        <v>181</v>
      </c>
      <c r="G59" s="41">
        <f t="shared" si="1"/>
        <v>0.07231322413104276</v>
      </c>
    </row>
    <row r="60" spans="1:7" ht="15.75">
      <c r="A60" s="11" t="s">
        <v>190</v>
      </c>
      <c r="D60" s="84">
        <v>101049.84</v>
      </c>
      <c r="E60" s="41">
        <f t="shared" si="0"/>
        <v>0.0005359417636901592</v>
      </c>
      <c r="F60" s="86">
        <v>1</v>
      </c>
      <c r="G60" s="41">
        <f t="shared" si="1"/>
        <v>0.00039952057530962844</v>
      </c>
    </row>
    <row r="61" spans="1:8" ht="15.75">
      <c r="A61" s="11" t="s">
        <v>59</v>
      </c>
      <c r="D61" s="84">
        <f>54616481.21+55008447.55</f>
        <v>109624928.75999999</v>
      </c>
      <c r="E61" s="41">
        <f t="shared" si="0"/>
        <v>0.5814217782437109</v>
      </c>
      <c r="F61" s="86">
        <f>826+565</f>
        <v>1391</v>
      </c>
      <c r="G61" s="41">
        <f t="shared" si="1"/>
        <v>0.5557331202556932</v>
      </c>
      <c r="H61" s="43" t="str">
        <f>IF(E61&gt;80%,"ERROR"," ")</f>
        <v> </v>
      </c>
    </row>
    <row r="62" spans="1:7" ht="15.75">
      <c r="A62" s="11" t="s">
        <v>60</v>
      </c>
      <c r="D62" s="84">
        <v>20654697.07</v>
      </c>
      <c r="E62" s="41">
        <f t="shared" si="0"/>
        <v>0.10954707871068144</v>
      </c>
      <c r="F62" s="86">
        <v>302</v>
      </c>
      <c r="G62" s="41">
        <f t="shared" si="1"/>
        <v>0.1206552137435078</v>
      </c>
    </row>
    <row r="63" spans="1:7" ht="15.75">
      <c r="A63" s="11" t="s">
        <v>61</v>
      </c>
      <c r="D63" s="84">
        <v>5304566.38</v>
      </c>
      <c r="E63" s="41">
        <f t="shared" si="0"/>
        <v>0.02813402437162418</v>
      </c>
      <c r="F63" s="86">
        <v>90</v>
      </c>
      <c r="G63" s="41">
        <f t="shared" si="1"/>
        <v>0.03595685177786656</v>
      </c>
    </row>
    <row r="64" spans="1:7" ht="15.75">
      <c r="A64" s="11" t="s">
        <v>62</v>
      </c>
      <c r="D64" s="84">
        <v>8364309.67</v>
      </c>
      <c r="E64" s="44">
        <f t="shared" si="0"/>
        <v>0.044362097719209195</v>
      </c>
      <c r="F64" s="86">
        <v>128</v>
      </c>
      <c r="G64" s="41">
        <f t="shared" si="1"/>
        <v>0.05113863363963244</v>
      </c>
    </row>
    <row r="65" spans="1:7" ht="15.75">
      <c r="A65" s="16" t="s">
        <v>63</v>
      </c>
      <c r="B65" s="37"/>
      <c r="C65" s="37"/>
      <c r="D65" s="85">
        <v>6980275.06</v>
      </c>
      <c r="E65" s="46">
        <f t="shared" si="0"/>
        <v>0.0370215423072301</v>
      </c>
      <c r="F65" s="87">
        <v>103</v>
      </c>
      <c r="G65" s="46">
        <f t="shared" si="1"/>
        <v>0.04115061925689173</v>
      </c>
    </row>
    <row r="66" spans="1:7" ht="15.75">
      <c r="A66" s="73" t="s">
        <v>64</v>
      </c>
      <c r="B66" s="37"/>
      <c r="C66" s="37"/>
      <c r="D66" s="45">
        <f>SUM(D55:D65)</f>
        <v>188546306.42</v>
      </c>
      <c r="E66" s="46">
        <f>SUM(E55:E65)</f>
        <v>1</v>
      </c>
      <c r="F66" s="48">
        <f>SUM(F55:F65)</f>
        <v>2503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6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38565</v>
      </c>
      <c r="E4" s="3" t="s">
        <v>69</v>
      </c>
    </row>
    <row r="5" spans="1:8" ht="15.75">
      <c r="A5" s="2" t="s">
        <v>15</v>
      </c>
      <c r="D5" s="75">
        <v>0.0464063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158774299</v>
      </c>
      <c r="E9" s="78">
        <v>5772016</v>
      </c>
      <c r="F9" s="78">
        <v>710451.6</v>
      </c>
      <c r="G9" s="10">
        <f>+D9/276000000</f>
        <v>0.5752691992753624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114021.6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182774299</v>
      </c>
      <c r="E11" s="19">
        <f>SUM(E9:E10)</f>
        <v>5772016</v>
      </c>
      <c r="F11" s="19">
        <f>SUM(F9:F10)</f>
        <v>824473.2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191</v>
      </c>
      <c r="F17" s="22">
        <v>7500000</v>
      </c>
      <c r="G17" s="5"/>
    </row>
    <row r="18" spans="1:6" ht="15.75">
      <c r="A18" s="88" t="s">
        <v>192</v>
      </c>
      <c r="F18" s="22">
        <v>0</v>
      </c>
    </row>
    <row r="19" spans="1:6" ht="15.75">
      <c r="A19" s="88" t="s">
        <v>193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194</v>
      </c>
      <c r="F30" s="76">
        <v>149289</v>
      </c>
    </row>
    <row r="31" spans="1:6" ht="15.75">
      <c r="A31" s="25" t="s">
        <v>68</v>
      </c>
      <c r="F31" s="22">
        <v>0</v>
      </c>
    </row>
    <row r="32" spans="1:6" ht="15.75">
      <c r="A32" s="88" t="s">
        <v>195</v>
      </c>
      <c r="F32" s="22">
        <f>D51</f>
        <v>182774292.74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+'Jul 05'!E35+E36</f>
        <v>287</v>
      </c>
      <c r="F35" s="90">
        <f>+'Jul 05'!F35+F36</f>
        <v>6659232.52</v>
      </c>
    </row>
    <row r="36" spans="1:6" ht="15.75">
      <c r="A36" s="2" t="s">
        <v>7</v>
      </c>
      <c r="E36" s="89">
        <v>9</v>
      </c>
      <c r="F36" s="90">
        <v>71035.15</v>
      </c>
    </row>
    <row r="37" spans="1:6" ht="15.75">
      <c r="A37" s="2" t="s">
        <v>33</v>
      </c>
      <c r="E37" s="26">
        <f>+'Jul 05'!E37+E38</f>
        <v>1967</v>
      </c>
      <c r="F37" s="27">
        <f>+'Jul 05'!F37+F38</f>
        <v>174409381.88000003</v>
      </c>
    </row>
    <row r="38" spans="1:6" ht="15.75">
      <c r="A38" s="88" t="s">
        <v>196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((3977483+2796783.78-931208.99)/188546306.42)*12</f>
        <v>0.3718804935049228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177342194.38</v>
      </c>
      <c r="E44" s="81">
        <v>2424</v>
      </c>
      <c r="F44" s="33"/>
    </row>
    <row r="45" spans="1:6" ht="15.75">
      <c r="A45" s="34" t="s">
        <v>35</v>
      </c>
      <c r="B45" s="5"/>
      <c r="C45" s="12"/>
      <c r="D45" s="82">
        <v>2178110.88</v>
      </c>
      <c r="E45" s="83">
        <v>19</v>
      </c>
      <c r="F45" s="33"/>
    </row>
    <row r="46" spans="1:6" ht="15.75">
      <c r="A46" s="34" t="s">
        <v>36</v>
      </c>
      <c r="B46" s="5"/>
      <c r="C46" s="12"/>
      <c r="D46" s="82">
        <v>2218479.99</v>
      </c>
      <c r="E46" s="83">
        <v>8</v>
      </c>
      <c r="F46" s="33"/>
    </row>
    <row r="47" spans="1:6" ht="15.75">
      <c r="A47" s="11" t="s">
        <v>37</v>
      </c>
      <c r="B47" s="5"/>
      <c r="C47" s="12"/>
      <c r="D47" s="82">
        <f>434700.16+3135.19+6222.01</f>
        <v>444057.36</v>
      </c>
      <c r="E47" s="83">
        <v>9</v>
      </c>
      <c r="F47" s="33"/>
    </row>
    <row r="48" spans="1:6" ht="15.75">
      <c r="A48" s="11" t="s">
        <v>27</v>
      </c>
      <c r="B48" s="5"/>
      <c r="C48" s="12"/>
      <c r="D48" s="82">
        <v>218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591232.13</v>
      </c>
      <c r="E50" s="83">
        <v>5</v>
      </c>
      <c r="F50" s="33"/>
    </row>
    <row r="51" spans="1:7" ht="15.75">
      <c r="A51" s="16"/>
      <c r="B51" s="37"/>
      <c r="C51" s="17"/>
      <c r="D51" s="38">
        <f>SUM(D44:D50)</f>
        <v>182774292.74</v>
      </c>
      <c r="E51" s="39">
        <f>SUM(E44:E50)</f>
        <v>2466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7098294.07</v>
      </c>
      <c r="E55" s="41">
        <f aca="true" t="shared" si="0" ref="E55:E65">D55/D$66</f>
        <v>0.038836391977242035</v>
      </c>
      <c r="F55" s="86">
        <v>107</v>
      </c>
      <c r="G55" s="41">
        <f aca="true" t="shared" si="1" ref="G55:G65">F55/F$66</f>
        <v>0.04339010543390105</v>
      </c>
    </row>
    <row r="56" spans="1:7" ht="15.75">
      <c r="A56" s="11" t="s">
        <v>56</v>
      </c>
      <c r="D56" s="84">
        <v>9058780.6</v>
      </c>
      <c r="E56" s="41">
        <f t="shared" si="0"/>
        <v>0.049562662626829686</v>
      </c>
      <c r="F56" s="86">
        <v>143</v>
      </c>
      <c r="G56" s="41">
        <f t="shared" si="1"/>
        <v>0.05798864557988646</v>
      </c>
    </row>
    <row r="57" spans="1:7" ht="15.75">
      <c r="A57" s="11" t="s">
        <v>66</v>
      </c>
      <c r="D57" s="84">
        <v>74795.4</v>
      </c>
      <c r="E57" s="41">
        <f t="shared" si="0"/>
        <v>0.0004092227574469324</v>
      </c>
      <c r="F57" s="86">
        <v>1</v>
      </c>
      <c r="G57" s="41">
        <f t="shared" si="1"/>
        <v>0.00040551500405515005</v>
      </c>
    </row>
    <row r="58" spans="1:7" ht="15.75">
      <c r="A58" s="11" t="s">
        <v>57</v>
      </c>
      <c r="D58" s="84">
        <v>4800918.43</v>
      </c>
      <c r="E58" s="41">
        <f t="shared" si="0"/>
        <v>0.026266923877703678</v>
      </c>
      <c r="F58" s="86">
        <v>46</v>
      </c>
      <c r="G58" s="41">
        <f t="shared" si="1"/>
        <v>0.0186536901865369</v>
      </c>
    </row>
    <row r="59" spans="1:7" ht="15.75">
      <c r="A59" s="11" t="s">
        <v>58</v>
      </c>
      <c r="D59" s="84">
        <v>14254265.13</v>
      </c>
      <c r="E59" s="41">
        <f t="shared" si="0"/>
        <v>0.0779883479716434</v>
      </c>
      <c r="F59" s="86">
        <v>178</v>
      </c>
      <c r="G59" s="41">
        <f t="shared" si="1"/>
        <v>0.07218167072181671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54164675.51+52931664.99</f>
        <v>107096340.5</v>
      </c>
      <c r="E61" s="41">
        <f t="shared" si="0"/>
        <v>0.5859485980673356</v>
      </c>
      <c r="F61" s="86">
        <f>560+818</f>
        <v>1378</v>
      </c>
      <c r="G61" s="41">
        <f t="shared" si="1"/>
        <v>0.5587996755879967</v>
      </c>
      <c r="H61" s="43" t="str">
        <f>IF(E61&gt;80%,"ERROR"," ")</f>
        <v> </v>
      </c>
    </row>
    <row r="62" spans="1:7" ht="15.75">
      <c r="A62" s="11" t="s">
        <v>60</v>
      </c>
      <c r="D62" s="84">
        <v>19987353.47</v>
      </c>
      <c r="E62" s="41">
        <f t="shared" si="0"/>
        <v>0.1093553868427726</v>
      </c>
      <c r="F62" s="86">
        <v>296</v>
      </c>
      <c r="G62" s="41">
        <f t="shared" si="1"/>
        <v>0.12003244120032441</v>
      </c>
    </row>
    <row r="63" spans="1:7" ht="15.75">
      <c r="A63" s="11" t="s">
        <v>61</v>
      </c>
      <c r="D63" s="84">
        <v>5210435.56</v>
      </c>
      <c r="E63" s="41">
        <f t="shared" si="0"/>
        <v>0.028507485852910092</v>
      </c>
      <c r="F63" s="86">
        <v>90</v>
      </c>
      <c r="G63" s="41">
        <f t="shared" si="1"/>
        <v>0.0364963503649635</v>
      </c>
    </row>
    <row r="64" spans="1:7" ht="15.75">
      <c r="A64" s="11" t="s">
        <v>62</v>
      </c>
      <c r="D64" s="84">
        <v>8285736.73</v>
      </c>
      <c r="E64" s="44">
        <f t="shared" si="0"/>
        <v>0.04533316262938536</v>
      </c>
      <c r="F64" s="86">
        <v>126</v>
      </c>
      <c r="G64" s="41">
        <f t="shared" si="1"/>
        <v>0.051094890510948905</v>
      </c>
    </row>
    <row r="65" spans="1:7" ht="15.75">
      <c r="A65" s="16" t="s">
        <v>63</v>
      </c>
      <c r="B65" s="37"/>
      <c r="C65" s="37"/>
      <c r="D65" s="85">
        <v>6907372.69</v>
      </c>
      <c r="E65" s="46">
        <f t="shared" si="0"/>
        <v>0.03779181739673076</v>
      </c>
      <c r="F65" s="87">
        <v>101</v>
      </c>
      <c r="G65" s="46">
        <f t="shared" si="1"/>
        <v>0.040957015409570155</v>
      </c>
    </row>
    <row r="66" spans="1:7" ht="15.75">
      <c r="A66" s="73" t="s">
        <v>64</v>
      </c>
      <c r="B66" s="37"/>
      <c r="C66" s="37"/>
      <c r="D66" s="45">
        <f>SUM(D55:D65)</f>
        <v>182774292.57999998</v>
      </c>
      <c r="E66" s="46">
        <f>SUM(E55:E65)</f>
        <v>1</v>
      </c>
      <c r="F66" s="48">
        <f>SUM(F55:F65)</f>
        <v>2466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38596</v>
      </c>
      <c r="E4" s="3" t="s">
        <v>69</v>
      </c>
    </row>
    <row r="5" spans="1:8" ht="15.75">
      <c r="A5" s="2" t="s">
        <v>15</v>
      </c>
      <c r="D5" s="75">
        <v>0.0459063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155461830</v>
      </c>
      <c r="E9" s="78">
        <v>3312469</v>
      </c>
      <c r="F9" s="78">
        <v>664884</v>
      </c>
      <c r="G9" s="10">
        <f>+D9/276000000</f>
        <v>0.5632675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110899.2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179461830</v>
      </c>
      <c r="E11" s="19">
        <f>SUM(E9:E10)</f>
        <v>3312469</v>
      </c>
      <c r="F11" s="19">
        <f>SUM(F9:F10)</f>
        <v>775783.2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197</v>
      </c>
      <c r="F17" s="22">
        <v>7500000</v>
      </c>
      <c r="G17" s="5"/>
    </row>
    <row r="18" spans="1:6" ht="15.75">
      <c r="A18" s="88" t="s">
        <v>198</v>
      </c>
      <c r="F18" s="22">
        <v>0</v>
      </c>
    </row>
    <row r="19" spans="1:6" ht="15.75">
      <c r="A19" s="88" t="s">
        <v>199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200</v>
      </c>
      <c r="F30" s="76">
        <v>179332</v>
      </c>
    </row>
    <row r="31" spans="1:6" ht="15.75">
      <c r="A31" s="25" t="s">
        <v>68</v>
      </c>
      <c r="F31" s="22">
        <v>0</v>
      </c>
    </row>
    <row r="32" spans="1:6" ht="15.75">
      <c r="A32" s="88" t="s">
        <v>201</v>
      </c>
      <c r="F32" s="22">
        <f>D51</f>
        <v>179461803.86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+'Aug 05'!E35+E36</f>
        <v>301</v>
      </c>
      <c r="F35" s="90">
        <f>+'Aug 05'!F35+F36</f>
        <v>6934239.13</v>
      </c>
    </row>
    <row r="36" spans="1:6" ht="15.75">
      <c r="A36" s="2" t="s">
        <v>7</v>
      </c>
      <c r="E36" s="89">
        <v>14</v>
      </c>
      <c r="F36" s="90">
        <v>275006.61</v>
      </c>
    </row>
    <row r="37" spans="1:6" ht="15.75">
      <c r="A37" s="2" t="s">
        <v>33</v>
      </c>
      <c r="E37" s="26">
        <f>+'Aug 05'!E37+E38</f>
        <v>1967</v>
      </c>
      <c r="F37" s="27">
        <f>+'Aug 05'!F37+F38</f>
        <v>174409381.88000003</v>
      </c>
    </row>
    <row r="38" spans="1:6" ht="15.75">
      <c r="A38" s="88" t="s">
        <v>202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((4148954+618623.61-1180076.07)/182774292.61)*12</f>
        <v>0.23553650716000435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175383932.41</v>
      </c>
      <c r="E44" s="81">
        <v>2380</v>
      </c>
      <c r="F44" s="33"/>
    </row>
    <row r="45" spans="1:6" ht="15.75">
      <c r="A45" s="34" t="s">
        <v>35</v>
      </c>
      <c r="B45" s="5"/>
      <c r="C45" s="12"/>
      <c r="D45" s="82">
        <v>2915655.08</v>
      </c>
      <c r="E45" s="83">
        <v>14</v>
      </c>
      <c r="F45" s="33"/>
    </row>
    <row r="46" spans="1:6" ht="15.75">
      <c r="A46" s="34" t="s">
        <v>36</v>
      </c>
      <c r="B46" s="5"/>
      <c r="C46" s="12"/>
      <c r="D46" s="82">
        <v>537226.71</v>
      </c>
      <c r="E46" s="83">
        <v>7</v>
      </c>
      <c r="F46" s="33"/>
    </row>
    <row r="47" spans="1:6" ht="15.75">
      <c r="A47" s="11" t="s">
        <v>37</v>
      </c>
      <c r="B47" s="5"/>
      <c r="C47" s="12"/>
      <c r="D47" s="82">
        <f>80830.68+5972.32</f>
        <v>86803</v>
      </c>
      <c r="E47" s="83">
        <v>4</v>
      </c>
      <c r="F47" s="33"/>
    </row>
    <row r="48" spans="1:6" ht="15.75">
      <c r="A48" s="11" t="s">
        <v>27</v>
      </c>
      <c r="B48" s="5"/>
      <c r="C48" s="12"/>
      <c r="D48" s="82">
        <v>218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537968.66</v>
      </c>
      <c r="E50" s="83">
        <v>4</v>
      </c>
      <c r="F50" s="33"/>
    </row>
    <row r="51" spans="1:7" ht="15.75">
      <c r="A51" s="16"/>
      <c r="B51" s="37"/>
      <c r="C51" s="17"/>
      <c r="D51" s="38">
        <f>SUM(D44:D50)</f>
        <v>179461803.86</v>
      </c>
      <c r="E51" s="39">
        <f>SUM(E44:E50)</f>
        <v>2410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7097266.89</v>
      </c>
      <c r="E55" s="41">
        <f aca="true" t="shared" si="0" ref="E55:E65">D55/D$66</f>
        <v>0.03954750665507979</v>
      </c>
      <c r="F55" s="86">
        <v>104</v>
      </c>
      <c r="G55" s="41">
        <f aca="true" t="shared" si="1" ref="G55:G65">F55/F$66</f>
        <v>0.043153526970954356</v>
      </c>
    </row>
    <row r="56" spans="1:7" ht="15.75">
      <c r="A56" s="11" t="s">
        <v>56</v>
      </c>
      <c r="D56" s="84">
        <v>8920503.04</v>
      </c>
      <c r="E56" s="41">
        <f t="shared" si="0"/>
        <v>0.049706972952944635</v>
      </c>
      <c r="F56" s="86">
        <v>140</v>
      </c>
      <c r="G56" s="41">
        <f t="shared" si="1"/>
        <v>0.058091286307053944</v>
      </c>
    </row>
    <row r="57" spans="1:7" ht="15.75">
      <c r="A57" s="11" t="s">
        <v>66</v>
      </c>
      <c r="D57" s="84">
        <v>74795.4</v>
      </c>
      <c r="E57" s="41">
        <f t="shared" si="0"/>
        <v>0.00041677615131496836</v>
      </c>
      <c r="F57" s="86">
        <v>1</v>
      </c>
      <c r="G57" s="41">
        <f t="shared" si="1"/>
        <v>0.0004149377593360996</v>
      </c>
    </row>
    <row r="58" spans="1:7" ht="15.75">
      <c r="A58" s="11" t="s">
        <v>57</v>
      </c>
      <c r="D58" s="84">
        <v>4466598.82</v>
      </c>
      <c r="E58" s="41">
        <f t="shared" si="0"/>
        <v>0.02488885500535567</v>
      </c>
      <c r="F58" s="86">
        <v>43</v>
      </c>
      <c r="G58" s="41">
        <f t="shared" si="1"/>
        <v>0.01784232365145228</v>
      </c>
    </row>
    <row r="59" spans="1:7" ht="15.75">
      <c r="A59" s="11" t="s">
        <v>58</v>
      </c>
      <c r="D59" s="84">
        <v>13594497.54</v>
      </c>
      <c r="E59" s="41">
        <f t="shared" si="0"/>
        <v>0.07575148155878578</v>
      </c>
      <c r="F59" s="86">
        <v>171</v>
      </c>
      <c r="G59" s="41">
        <f t="shared" si="1"/>
        <v>0.07095435684647303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52034766.35+53347546.23</f>
        <v>105382312.58</v>
      </c>
      <c r="E61" s="41">
        <f t="shared" si="0"/>
        <v>0.5872130459060768</v>
      </c>
      <c r="F61" s="86">
        <f>546+803</f>
        <v>1349</v>
      </c>
      <c r="G61" s="41">
        <f t="shared" si="1"/>
        <v>0.5597510373443984</v>
      </c>
      <c r="H61" s="43" t="str">
        <f>IF(E61&gt;80%,"ERROR"," ")</f>
        <v> </v>
      </c>
    </row>
    <row r="62" spans="1:7" ht="15.75">
      <c r="A62" s="11" t="s">
        <v>60</v>
      </c>
      <c r="D62" s="84">
        <v>19777037.67</v>
      </c>
      <c r="E62" s="41">
        <f t="shared" si="0"/>
        <v>0.11020193279952711</v>
      </c>
      <c r="F62" s="86">
        <v>290</v>
      </c>
      <c r="G62" s="41">
        <f t="shared" si="1"/>
        <v>0.12033195020746888</v>
      </c>
    </row>
    <row r="63" spans="1:7" ht="15.75">
      <c r="A63" s="11" t="s">
        <v>61</v>
      </c>
      <c r="D63" s="84">
        <v>5090860.24</v>
      </c>
      <c r="E63" s="41">
        <f t="shared" si="0"/>
        <v>0.02836737470097889</v>
      </c>
      <c r="F63" s="86">
        <v>88</v>
      </c>
      <c r="G63" s="41">
        <f t="shared" si="1"/>
        <v>0.036514522821576766</v>
      </c>
    </row>
    <row r="64" spans="1:7" ht="15.75">
      <c r="A64" s="11" t="s">
        <v>62</v>
      </c>
      <c r="D64" s="84">
        <v>8248040.92</v>
      </c>
      <c r="E64" s="44">
        <f t="shared" si="0"/>
        <v>0.04595986852835831</v>
      </c>
      <c r="F64" s="86">
        <v>125</v>
      </c>
      <c r="G64" s="41">
        <f t="shared" si="1"/>
        <v>0.05186721991701245</v>
      </c>
    </row>
    <row r="65" spans="1:7" ht="15.75">
      <c r="A65" s="16" t="s">
        <v>63</v>
      </c>
      <c r="B65" s="37"/>
      <c r="C65" s="37"/>
      <c r="D65" s="85">
        <v>6809890.95</v>
      </c>
      <c r="E65" s="46">
        <f t="shared" si="0"/>
        <v>0.037946185741578146</v>
      </c>
      <c r="F65" s="87">
        <v>99</v>
      </c>
      <c r="G65" s="46">
        <f t="shared" si="1"/>
        <v>0.04107883817427386</v>
      </c>
    </row>
    <row r="66" spans="1:7" ht="15.75">
      <c r="A66" s="73" t="s">
        <v>64</v>
      </c>
      <c r="B66" s="37"/>
      <c r="C66" s="37"/>
      <c r="D66" s="45">
        <f>SUM(D55:D65)</f>
        <v>179461804.04999998</v>
      </c>
      <c r="E66" s="46">
        <f>SUM(E55:E65)</f>
        <v>1</v>
      </c>
      <c r="F66" s="48">
        <f>SUM(F55:F65)</f>
        <v>2410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38628</v>
      </c>
      <c r="E4" s="3" t="s">
        <v>69</v>
      </c>
    </row>
    <row r="5" spans="1:8" ht="15.75">
      <c r="A5" s="2" t="s">
        <v>15</v>
      </c>
      <c r="D5" s="75">
        <v>0.046025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152720846.4</v>
      </c>
      <c r="E9" s="78">
        <v>2740983.6</v>
      </c>
      <c r="F9" s="78">
        <v>665215.2</v>
      </c>
      <c r="G9" s="10">
        <f>+D9/276000000</f>
        <v>0.5533364000000001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113424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176720846.4</v>
      </c>
      <c r="E11" s="19">
        <f>SUM(E9:E10)</f>
        <v>2740983.6</v>
      </c>
      <c r="F11" s="19">
        <f>SUM(F9:F10)</f>
        <v>778639.2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203</v>
      </c>
      <c r="F17" s="22">
        <v>7500000</v>
      </c>
      <c r="G17" s="5"/>
    </row>
    <row r="18" spans="1:6" ht="15.75">
      <c r="A18" s="88" t="s">
        <v>204</v>
      </c>
      <c r="F18" s="22">
        <v>0</v>
      </c>
    </row>
    <row r="19" spans="1:6" ht="15.75">
      <c r="A19" s="88" t="s">
        <v>205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206</v>
      </c>
      <c r="F30" s="76">
        <v>173223</v>
      </c>
    </row>
    <row r="31" spans="1:6" ht="15.75">
      <c r="A31" s="25" t="s">
        <v>68</v>
      </c>
      <c r="F31" s="22">
        <v>0</v>
      </c>
    </row>
    <row r="32" spans="1:6" ht="15.75">
      <c r="A32" s="88" t="s">
        <v>207</v>
      </c>
      <c r="F32" s="22">
        <f>D51</f>
        <v>176720843.26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+'Sept 05'!E35+E36</f>
        <v>309</v>
      </c>
      <c r="F35" s="90">
        <f>+'Sept 05'!F35+F36</f>
        <v>7038082.28</v>
      </c>
    </row>
    <row r="36" spans="1:6" ht="15.75">
      <c r="A36" s="2" t="s">
        <v>7</v>
      </c>
      <c r="E36" s="89">
        <v>8</v>
      </c>
      <c r="F36" s="90">
        <v>103843.15</v>
      </c>
    </row>
    <row r="37" spans="1:6" ht="15.75">
      <c r="A37" s="2" t="s">
        <v>33</v>
      </c>
      <c r="E37" s="26">
        <f>+'Sept 05'!E37</f>
        <v>1967</v>
      </c>
      <c r="F37" s="27">
        <f>+'Sept 05'!F37</f>
        <v>174409381.88000003</v>
      </c>
    </row>
    <row r="38" spans="1:6" ht="15.75">
      <c r="A38" s="88" t="s">
        <v>208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((2880254+944510.76-979934.68)/179461804.11)*12</f>
        <v>0.19022410439535836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171003171.28</v>
      </c>
      <c r="E44" s="81">
        <v>2343</v>
      </c>
      <c r="F44" s="33"/>
    </row>
    <row r="45" spans="1:6" ht="15.75">
      <c r="A45" s="34" t="s">
        <v>35</v>
      </c>
      <c r="B45" s="5"/>
      <c r="C45" s="12"/>
      <c r="D45" s="82">
        <v>3275550.78</v>
      </c>
      <c r="E45" s="83">
        <v>15</v>
      </c>
      <c r="F45" s="33"/>
    </row>
    <row r="46" spans="1:6" ht="15.75">
      <c r="A46" s="34" t="s">
        <v>36</v>
      </c>
      <c r="B46" s="5"/>
      <c r="C46" s="12"/>
      <c r="D46" s="82">
        <v>622328.7</v>
      </c>
      <c r="E46" s="83">
        <v>6</v>
      </c>
      <c r="F46" s="33"/>
    </row>
    <row r="47" spans="1:6" ht="15.75">
      <c r="A47" s="11" t="s">
        <v>37</v>
      </c>
      <c r="B47" s="5"/>
      <c r="C47" s="12"/>
      <c r="D47" s="82">
        <f>861.77+5972.32+1208141.47</f>
        <v>1214975.56</v>
      </c>
      <c r="E47" s="83">
        <v>3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604598.69</v>
      </c>
      <c r="E50" s="83">
        <v>7</v>
      </c>
      <c r="F50" s="33"/>
    </row>
    <row r="51" spans="1:7" ht="15.75">
      <c r="A51" s="16"/>
      <c r="B51" s="37"/>
      <c r="C51" s="17"/>
      <c r="D51" s="38">
        <f>SUM(D44:D50)</f>
        <v>176720843.26</v>
      </c>
      <c r="E51" s="39">
        <f>SUM(E44:E50)</f>
        <v>2375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6900384.13</v>
      </c>
      <c r="E55" s="41">
        <f aca="true" t="shared" si="0" ref="E55:E65">D55/D$66</f>
        <v>0.039046804002897555</v>
      </c>
      <c r="F55" s="86">
        <v>100</v>
      </c>
      <c r="G55" s="41">
        <f aca="true" t="shared" si="1" ref="G55:G65">F55/F$66</f>
        <v>0.042105263157894736</v>
      </c>
    </row>
    <row r="56" spans="1:7" ht="15.75">
      <c r="A56" s="11" t="s">
        <v>56</v>
      </c>
      <c r="D56" s="84">
        <v>8867546.91</v>
      </c>
      <c r="E56" s="41">
        <f t="shared" si="0"/>
        <v>0.05017827408707895</v>
      </c>
      <c r="F56" s="86">
        <v>135</v>
      </c>
      <c r="G56" s="41">
        <f t="shared" si="1"/>
        <v>0.056842105263157895</v>
      </c>
    </row>
    <row r="57" spans="1:7" ht="15.75">
      <c r="A57" s="11" t="s">
        <v>66</v>
      </c>
      <c r="D57" s="84">
        <v>74795.49</v>
      </c>
      <c r="E57" s="41">
        <f t="shared" si="0"/>
        <v>0.000423240907072616</v>
      </c>
      <c r="F57" s="86">
        <v>1</v>
      </c>
      <c r="G57" s="41">
        <f t="shared" si="1"/>
        <v>0.0004210526315789474</v>
      </c>
    </row>
    <row r="58" spans="1:7" ht="15.75">
      <c r="A58" s="11" t="s">
        <v>57</v>
      </c>
      <c r="D58" s="84">
        <v>4462197.61</v>
      </c>
      <c r="E58" s="41">
        <f t="shared" si="0"/>
        <v>0.02524997916309739</v>
      </c>
      <c r="F58" s="86">
        <v>42</v>
      </c>
      <c r="G58" s="41">
        <f t="shared" si="1"/>
        <v>0.01768421052631579</v>
      </c>
    </row>
    <row r="59" spans="1:7" ht="15.75">
      <c r="A59" s="11" t="s">
        <v>58</v>
      </c>
      <c r="D59" s="84">
        <v>13421847.06</v>
      </c>
      <c r="E59" s="41">
        <f t="shared" si="0"/>
        <v>0.07594942855865139</v>
      </c>
      <c r="F59" s="86">
        <v>168</v>
      </c>
      <c r="G59" s="41">
        <f t="shared" si="1"/>
        <v>0.07073684210526315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52801387.14+50930627.81</f>
        <v>103732014.95</v>
      </c>
      <c r="E61" s="41">
        <f t="shared" si="0"/>
        <v>0.5869823447898819</v>
      </c>
      <c r="F61" s="86">
        <f>793+543</f>
        <v>1336</v>
      </c>
      <c r="G61" s="41">
        <f t="shared" si="1"/>
        <v>0.5625263157894737</v>
      </c>
      <c r="H61" s="43" t="str">
        <f>IF(E61&gt;80%,"ERROR"," ")</f>
        <v> </v>
      </c>
    </row>
    <row r="62" spans="1:7" ht="15.75">
      <c r="A62" s="11" t="s">
        <v>60</v>
      </c>
      <c r="D62" s="84">
        <v>19636365.63</v>
      </c>
      <c r="E62" s="41">
        <f t="shared" si="0"/>
        <v>0.11111516484283664</v>
      </c>
      <c r="F62" s="86">
        <v>287</v>
      </c>
      <c r="G62" s="41">
        <f t="shared" si="1"/>
        <v>0.12084210526315789</v>
      </c>
    </row>
    <row r="63" spans="1:7" ht="15.75">
      <c r="A63" s="11" t="s">
        <v>61</v>
      </c>
      <c r="D63" s="84">
        <v>4938703.77</v>
      </c>
      <c r="E63" s="41">
        <f t="shared" si="0"/>
        <v>0.02794635697122578</v>
      </c>
      <c r="F63" s="86">
        <v>84</v>
      </c>
      <c r="G63" s="41">
        <f t="shared" si="1"/>
        <v>0.03536842105263158</v>
      </c>
    </row>
    <row r="64" spans="1:7" ht="15.75">
      <c r="A64" s="11" t="s">
        <v>62</v>
      </c>
      <c r="D64" s="84">
        <v>7890254.69</v>
      </c>
      <c r="E64" s="44">
        <f t="shared" si="0"/>
        <v>0.044648127206995535</v>
      </c>
      <c r="F64" s="86">
        <v>124</v>
      </c>
      <c r="G64" s="41">
        <f t="shared" si="1"/>
        <v>0.05221052631578947</v>
      </c>
    </row>
    <row r="65" spans="1:7" ht="15.75">
      <c r="A65" s="16" t="s">
        <v>63</v>
      </c>
      <c r="B65" s="37"/>
      <c r="C65" s="37"/>
      <c r="D65" s="85">
        <v>6796733.02</v>
      </c>
      <c r="E65" s="46">
        <f t="shared" si="0"/>
        <v>0.03846027947026218</v>
      </c>
      <c r="F65" s="87">
        <v>98</v>
      </c>
      <c r="G65" s="46">
        <f t="shared" si="1"/>
        <v>0.04126315789473684</v>
      </c>
    </row>
    <row r="66" spans="1:7" ht="15.75">
      <c r="A66" s="73" t="s">
        <v>64</v>
      </c>
      <c r="B66" s="37"/>
      <c r="C66" s="37"/>
      <c r="D66" s="45">
        <f>SUM(D55:D65)</f>
        <v>176720843.26000002</v>
      </c>
      <c r="E66" s="46">
        <f>SUM(E55:E65)</f>
        <v>1</v>
      </c>
      <c r="F66" s="48">
        <f>SUM(F55:F65)</f>
        <v>2375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7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38657</v>
      </c>
      <c r="E4" s="3" t="s">
        <v>69</v>
      </c>
    </row>
    <row r="5" spans="1:8" ht="15.75">
      <c r="A5" s="2" t="s">
        <v>15</v>
      </c>
      <c r="D5" s="75">
        <v>0.0459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148653379</v>
      </c>
      <c r="E9" s="78">
        <v>4067467</v>
      </c>
      <c r="F9" s="78">
        <v>593648.4</v>
      </c>
      <c r="G9" s="10">
        <f>+D9/276000000</f>
        <v>0.5385991992753624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103017.6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172653379</v>
      </c>
      <c r="E11" s="19">
        <f>SUM(E9:E10)</f>
        <v>4067467</v>
      </c>
      <c r="F11" s="19">
        <f>SUM(F9:F10)</f>
        <v>696666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209</v>
      </c>
      <c r="F17" s="22">
        <v>7500000</v>
      </c>
      <c r="G17" s="5"/>
    </row>
    <row r="18" spans="1:6" ht="15.75">
      <c r="A18" s="88" t="s">
        <v>210</v>
      </c>
      <c r="F18" s="22">
        <v>0</v>
      </c>
    </row>
    <row r="19" spans="1:6" ht="15.75">
      <c r="A19" s="88" t="s">
        <v>211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212</v>
      </c>
      <c r="F30" s="76">
        <v>136522</v>
      </c>
    </row>
    <row r="31" spans="1:6" ht="15.75">
      <c r="A31" s="25" t="s">
        <v>68</v>
      </c>
      <c r="F31" s="22">
        <v>0</v>
      </c>
    </row>
    <row r="32" spans="1:6" ht="15.75">
      <c r="A32" s="88" t="s">
        <v>213</v>
      </c>
      <c r="F32" s="22">
        <f>D51</f>
        <v>172653363.51000002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+'Oct 05'!E35+E36</f>
        <v>314</v>
      </c>
      <c r="F35" s="90">
        <f>+'Oct 05'!F35+F36</f>
        <v>7127308.28</v>
      </c>
    </row>
    <row r="36" spans="1:6" ht="15.75">
      <c r="A36" s="2" t="s">
        <v>7</v>
      </c>
      <c r="E36" s="89">
        <v>5</v>
      </c>
      <c r="F36" s="90">
        <v>89226</v>
      </c>
    </row>
    <row r="37" spans="1:6" ht="15.75">
      <c r="A37" s="2" t="s">
        <v>33</v>
      </c>
      <c r="E37" s="26">
        <f>+'Sept 05'!E37</f>
        <v>1967</v>
      </c>
      <c r="F37" s="27">
        <f>+'Sept 05'!F37</f>
        <v>174409381.88000003</v>
      </c>
    </row>
    <row r="38" spans="1:6" ht="15.75">
      <c r="A38" s="88" t="s">
        <v>214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((4149519+699720.34-692530.86)/176720843)*12</f>
        <v>0.2822559066221747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168760328.17</v>
      </c>
      <c r="E44" s="81">
        <v>2305</v>
      </c>
      <c r="F44" s="33"/>
    </row>
    <row r="45" spans="1:6" ht="15.75">
      <c r="A45" s="34" t="s">
        <v>35</v>
      </c>
      <c r="B45" s="5"/>
      <c r="C45" s="12"/>
      <c r="D45" s="82">
        <v>1252005.05</v>
      </c>
      <c r="E45" s="83">
        <v>13</v>
      </c>
      <c r="F45" s="33"/>
    </row>
    <row r="46" spans="1:6" ht="15.75">
      <c r="A46" s="34" t="s">
        <v>36</v>
      </c>
      <c r="B46" s="5"/>
      <c r="C46" s="12"/>
      <c r="D46" s="82">
        <v>706668.97</v>
      </c>
      <c r="E46" s="83">
        <v>6</v>
      </c>
      <c r="F46" s="33"/>
    </row>
    <row r="47" spans="1:6" ht="15.75">
      <c r="A47" s="11" t="s">
        <v>37</v>
      </c>
      <c r="B47" s="5"/>
      <c r="C47" s="12"/>
      <c r="D47" s="82">
        <f>861.77+5972.32+1208694.52</f>
        <v>1215528.61</v>
      </c>
      <c r="E47" s="83">
        <v>3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718614.46</v>
      </c>
      <c r="E50" s="83">
        <v>7</v>
      </c>
      <c r="F50" s="33"/>
    </row>
    <row r="51" spans="1:7" ht="15.75">
      <c r="A51" s="16"/>
      <c r="B51" s="37"/>
      <c r="C51" s="17"/>
      <c r="D51" s="38">
        <f>SUM(D44:D50)</f>
        <v>172653363.51000002</v>
      </c>
      <c r="E51" s="39">
        <f>SUM(E44:E50)</f>
        <v>2335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6843836.58</v>
      </c>
      <c r="E55" s="41">
        <f aca="true" t="shared" si="0" ref="E55:E65">D55/D$66</f>
        <v>0.03963917320153226</v>
      </c>
      <c r="F55" s="86">
        <v>98</v>
      </c>
      <c r="G55" s="41">
        <f aca="true" t="shared" si="1" ref="G55:G65">F55/F$66</f>
        <v>0.04197002141327623</v>
      </c>
    </row>
    <row r="56" spans="1:7" ht="15.75">
      <c r="A56" s="11" t="s">
        <v>56</v>
      </c>
      <c r="D56" s="84">
        <v>8829436.22</v>
      </c>
      <c r="E56" s="41">
        <f t="shared" si="0"/>
        <v>0.05113967107561507</v>
      </c>
      <c r="F56" s="86">
        <v>136</v>
      </c>
      <c r="G56" s="41">
        <f t="shared" si="1"/>
        <v>0.058244111349036405</v>
      </c>
    </row>
    <row r="57" spans="1:7" ht="15.75">
      <c r="A57" s="11" t="s">
        <v>66</v>
      </c>
      <c r="D57" s="84">
        <v>74795.52</v>
      </c>
      <c r="E57" s="41">
        <f t="shared" si="0"/>
        <v>0.0004332120642159855</v>
      </c>
      <c r="F57" s="86">
        <v>1</v>
      </c>
      <c r="G57" s="41">
        <f t="shared" si="1"/>
        <v>0.00042826552462526765</v>
      </c>
    </row>
    <row r="58" spans="1:7" ht="15.75">
      <c r="A58" s="11" t="s">
        <v>57</v>
      </c>
      <c r="D58" s="84">
        <v>4290534.96</v>
      </c>
      <c r="E58" s="41">
        <f t="shared" si="0"/>
        <v>0.02485057268954679</v>
      </c>
      <c r="F58" s="86">
        <v>42</v>
      </c>
      <c r="G58" s="41">
        <f t="shared" si="1"/>
        <v>0.017987152034261242</v>
      </c>
    </row>
    <row r="59" spans="1:7" ht="15.75">
      <c r="A59" s="11" t="s">
        <v>58</v>
      </c>
      <c r="D59" s="84">
        <v>12645914.77</v>
      </c>
      <c r="E59" s="41">
        <f t="shared" si="0"/>
        <v>0.07324453177691817</v>
      </c>
      <c r="F59" s="86">
        <v>162</v>
      </c>
      <c r="G59" s="41">
        <f t="shared" si="1"/>
        <v>0.06937901498929336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50918938.08+50342243.99</f>
        <v>101261182.07</v>
      </c>
      <c r="E61" s="41">
        <f t="shared" si="0"/>
        <v>0.5864999094798116</v>
      </c>
      <c r="F61" s="86">
        <f>781+535</f>
        <v>1316</v>
      </c>
      <c r="G61" s="41">
        <f t="shared" si="1"/>
        <v>0.5635974304068523</v>
      </c>
      <c r="H61" s="43" t="str">
        <f>IF(E61&gt;80%,"ERROR"," ")</f>
        <v> </v>
      </c>
    </row>
    <row r="62" spans="1:7" ht="15.75">
      <c r="A62" s="11" t="s">
        <v>60</v>
      </c>
      <c r="D62" s="84">
        <v>19469363.98</v>
      </c>
      <c r="E62" s="41">
        <f t="shared" si="0"/>
        <v>0.11276562230930616</v>
      </c>
      <c r="F62" s="86">
        <v>282</v>
      </c>
      <c r="G62" s="41">
        <f t="shared" si="1"/>
        <v>0.12077087794432548</v>
      </c>
    </row>
    <row r="63" spans="1:7" ht="15.75">
      <c r="A63" s="11" t="s">
        <v>61</v>
      </c>
      <c r="D63" s="84">
        <v>4928631.26</v>
      </c>
      <c r="E63" s="41">
        <f t="shared" si="0"/>
        <v>0.028546395852372352</v>
      </c>
      <c r="F63" s="86">
        <v>82</v>
      </c>
      <c r="G63" s="41">
        <f t="shared" si="1"/>
        <v>0.03511777301927195</v>
      </c>
    </row>
    <row r="64" spans="1:7" ht="15.75">
      <c r="A64" s="11" t="s">
        <v>62</v>
      </c>
      <c r="D64" s="84">
        <v>7583849.04</v>
      </c>
      <c r="E64" s="44">
        <f t="shared" si="0"/>
        <v>0.04392528987459168</v>
      </c>
      <c r="F64" s="86">
        <v>119</v>
      </c>
      <c r="G64" s="41">
        <f t="shared" si="1"/>
        <v>0.050963597430406855</v>
      </c>
    </row>
    <row r="65" spans="1:7" ht="15.75">
      <c r="A65" s="16" t="s">
        <v>63</v>
      </c>
      <c r="B65" s="37"/>
      <c r="C65" s="37"/>
      <c r="D65" s="85">
        <v>6725819.11</v>
      </c>
      <c r="E65" s="46">
        <f t="shared" si="0"/>
        <v>0.03895562167608999</v>
      </c>
      <c r="F65" s="87">
        <v>97</v>
      </c>
      <c r="G65" s="46">
        <f t="shared" si="1"/>
        <v>0.041541755888650965</v>
      </c>
    </row>
    <row r="66" spans="1:7" ht="15.75">
      <c r="A66" s="73" t="s">
        <v>64</v>
      </c>
      <c r="B66" s="37"/>
      <c r="C66" s="37"/>
      <c r="D66" s="45">
        <f>SUM(D55:D65)</f>
        <v>172653363.51</v>
      </c>
      <c r="E66" s="46">
        <f>SUM(E55:E65)</f>
        <v>1</v>
      </c>
      <c r="F66" s="48">
        <f>SUM(F55:F65)</f>
        <v>2335</v>
      </c>
      <c r="G66" s="46">
        <f>SUM(G55:G65)</f>
        <v>1.0000000000000002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38687</v>
      </c>
      <c r="E4" s="3" t="s">
        <v>69</v>
      </c>
    </row>
    <row r="5" spans="1:8" ht="15.75">
      <c r="A5" s="2" t="s">
        <v>15</v>
      </c>
      <c r="D5" s="75">
        <v>0.04585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145450372</v>
      </c>
      <c r="E9" s="78">
        <v>3203008</v>
      </c>
      <c r="F9" s="78">
        <v>596242.8</v>
      </c>
      <c r="G9" s="10">
        <f>+D9/276000000</f>
        <v>0.5269941014492754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106322.4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169450372</v>
      </c>
      <c r="E11" s="19">
        <f>SUM(E9:E10)</f>
        <v>3203008</v>
      </c>
      <c r="F11" s="19">
        <f>SUM(F9:F10)</f>
        <v>702565.2000000001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215</v>
      </c>
      <c r="F17" s="22">
        <v>7500000</v>
      </c>
      <c r="G17" s="5"/>
    </row>
    <row r="18" spans="1:6" ht="15.75">
      <c r="A18" s="88" t="s">
        <v>216</v>
      </c>
      <c r="F18" s="22">
        <v>0</v>
      </c>
    </row>
    <row r="19" spans="1:6" ht="15.75">
      <c r="A19" s="88" t="s">
        <v>217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218</v>
      </c>
      <c r="F30" s="76">
        <v>159198</v>
      </c>
    </row>
    <row r="31" spans="1:6" ht="15.75">
      <c r="A31" s="25" t="s">
        <v>68</v>
      </c>
      <c r="F31" s="22">
        <v>0</v>
      </c>
    </row>
    <row r="32" spans="1:6" ht="15.75">
      <c r="A32" s="88" t="s">
        <v>219</v>
      </c>
      <c r="F32" s="22">
        <f>D51</f>
        <v>169450371.19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+'Nov 05'!E35+E36</f>
        <v>320</v>
      </c>
      <c r="F35" s="90">
        <f>+'Nov 05'!F35+F36</f>
        <v>7357743.33</v>
      </c>
    </row>
    <row r="36" spans="1:6" ht="15.75">
      <c r="A36" s="2" t="s">
        <v>7</v>
      </c>
      <c r="E36" s="89">
        <v>6</v>
      </c>
      <c r="F36" s="90">
        <v>230435.05</v>
      </c>
    </row>
    <row r="37" spans="1:6" ht="15.75">
      <c r="A37" s="2" t="s">
        <v>33</v>
      </c>
      <c r="E37" s="26">
        <f>+'Sept 05'!E37</f>
        <v>1967</v>
      </c>
      <c r="F37" s="27">
        <f>+'Sept 05'!F37</f>
        <v>174409381.88000003</v>
      </c>
    </row>
    <row r="38" spans="1:6" ht="15.75">
      <c r="A38" s="88" t="s">
        <v>220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((3090127+1047841.46-704525.43)/172653364)*12</f>
        <v>0.23863604742737593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166247843.45</v>
      </c>
      <c r="E44" s="81">
        <v>2271</v>
      </c>
      <c r="F44" s="33"/>
    </row>
    <row r="45" spans="1:6" ht="15.75">
      <c r="A45" s="34" t="s">
        <v>35</v>
      </c>
      <c r="B45" s="5"/>
      <c r="C45" s="12"/>
      <c r="D45" s="82">
        <v>609677.37</v>
      </c>
      <c r="E45" s="83">
        <v>11</v>
      </c>
      <c r="F45" s="33"/>
    </row>
    <row r="46" spans="1:6" ht="15.75">
      <c r="A46" s="34" t="s">
        <v>36</v>
      </c>
      <c r="B46" s="5"/>
      <c r="C46" s="12"/>
      <c r="D46" s="82">
        <v>316323.15</v>
      </c>
      <c r="E46" s="83">
        <v>5</v>
      </c>
      <c r="F46" s="33"/>
    </row>
    <row r="47" spans="1:6" ht="15.75">
      <c r="A47" s="11" t="s">
        <v>37</v>
      </c>
      <c r="B47" s="5"/>
      <c r="C47" s="12"/>
      <c r="D47" s="82">
        <f>340141.77+5972.32+1209250.07</f>
        <v>1555364.1600000001</v>
      </c>
      <c r="E47" s="83">
        <v>5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720944.81</v>
      </c>
      <c r="E50" s="83">
        <v>6</v>
      </c>
      <c r="F50" s="33"/>
    </row>
    <row r="51" spans="1:7" ht="15.75">
      <c r="A51" s="16"/>
      <c r="B51" s="37"/>
      <c r="C51" s="17"/>
      <c r="D51" s="38">
        <f>SUM(D44:D50)</f>
        <v>169450371.19</v>
      </c>
      <c r="E51" s="39">
        <f>SUM(E44:E50)</f>
        <v>2299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6611478.27</v>
      </c>
      <c r="E55" s="41">
        <f aca="true" t="shared" si="0" ref="E55:E65">D55/D$66</f>
        <v>0.03901719555743393</v>
      </c>
      <c r="F55" s="86">
        <v>96</v>
      </c>
      <c r="G55" s="41">
        <f aca="true" t="shared" si="1" ref="G55:G65">F55/F$66</f>
        <v>0.041757285776424534</v>
      </c>
    </row>
    <row r="56" spans="1:7" ht="15.75">
      <c r="A56" s="11" t="s">
        <v>56</v>
      </c>
      <c r="D56" s="84">
        <v>8599717</v>
      </c>
      <c r="E56" s="41">
        <f t="shared" si="0"/>
        <v>0.05075065306500494</v>
      </c>
      <c r="F56" s="86">
        <v>133</v>
      </c>
      <c r="G56" s="41">
        <f t="shared" si="1"/>
        <v>0.05785123966942149</v>
      </c>
    </row>
    <row r="57" spans="1:7" ht="15.75">
      <c r="A57" s="11" t="s">
        <v>66</v>
      </c>
      <c r="D57" s="84">
        <v>74795.55</v>
      </c>
      <c r="E57" s="41">
        <f t="shared" si="0"/>
        <v>0.0004414009215484917</v>
      </c>
      <c r="F57" s="86">
        <v>1</v>
      </c>
      <c r="G57" s="41">
        <f t="shared" si="1"/>
        <v>0.00043497172683775554</v>
      </c>
    </row>
    <row r="58" spans="1:7" ht="15.75">
      <c r="A58" s="11" t="s">
        <v>57</v>
      </c>
      <c r="D58" s="84">
        <v>4301804.13</v>
      </c>
      <c r="E58" s="41">
        <f t="shared" si="0"/>
        <v>0.02538680853744785</v>
      </c>
      <c r="F58" s="86">
        <v>40</v>
      </c>
      <c r="G58" s="41">
        <f t="shared" si="1"/>
        <v>0.017398869073510223</v>
      </c>
    </row>
    <row r="59" spans="1:7" ht="15.75">
      <c r="A59" s="11" t="s">
        <v>58</v>
      </c>
      <c r="D59" s="84">
        <v>12506543.08</v>
      </c>
      <c r="E59" s="41">
        <f t="shared" si="0"/>
        <v>0.07380652513281755</v>
      </c>
      <c r="F59" s="86">
        <v>163</v>
      </c>
      <c r="G59" s="41">
        <f t="shared" si="1"/>
        <v>0.07090039147455415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49913052.39+49022864.42</f>
        <v>98935916.81</v>
      </c>
      <c r="E61" s="41">
        <f t="shared" si="0"/>
        <v>0.5838636771061769</v>
      </c>
      <c r="F61" s="86">
        <f>768+523</f>
        <v>1291</v>
      </c>
      <c r="G61" s="41">
        <f t="shared" si="1"/>
        <v>0.5615484993475424</v>
      </c>
      <c r="H61" s="43" t="str">
        <f>IF(E61&gt;80%,"ERROR"," ")</f>
        <v> </v>
      </c>
    </row>
    <row r="62" spans="1:7" ht="15.75">
      <c r="A62" s="11" t="s">
        <v>60</v>
      </c>
      <c r="D62" s="84">
        <v>19264763.9</v>
      </c>
      <c r="E62" s="41">
        <f t="shared" si="0"/>
        <v>0.11368971200658481</v>
      </c>
      <c r="F62" s="86">
        <v>279</v>
      </c>
      <c r="G62" s="41">
        <f t="shared" si="1"/>
        <v>0.1213571117877338</v>
      </c>
    </row>
    <row r="63" spans="1:7" ht="15.75">
      <c r="A63" s="11" t="s">
        <v>61</v>
      </c>
      <c r="D63" s="84">
        <v>4905283.36</v>
      </c>
      <c r="E63" s="41">
        <f t="shared" si="0"/>
        <v>0.028948200736012796</v>
      </c>
      <c r="F63" s="86">
        <v>82</v>
      </c>
      <c r="G63" s="41">
        <f t="shared" si="1"/>
        <v>0.03566768160069596</v>
      </c>
    </row>
    <row r="64" spans="1:7" ht="15.75">
      <c r="A64" s="11" t="s">
        <v>62</v>
      </c>
      <c r="D64" s="84">
        <v>7555019.18</v>
      </c>
      <c r="E64" s="44">
        <f t="shared" si="0"/>
        <v>0.04458543895149551</v>
      </c>
      <c r="F64" s="86">
        <v>117</v>
      </c>
      <c r="G64" s="41">
        <f t="shared" si="1"/>
        <v>0.0508916920400174</v>
      </c>
    </row>
    <row r="65" spans="1:7" ht="15.75">
      <c r="A65" s="16" t="s">
        <v>63</v>
      </c>
      <c r="B65" s="37"/>
      <c r="C65" s="37"/>
      <c r="D65" s="85">
        <v>6695049.91</v>
      </c>
      <c r="E65" s="46">
        <f t="shared" si="0"/>
        <v>0.03951038798547703</v>
      </c>
      <c r="F65" s="87">
        <v>97</v>
      </c>
      <c r="G65" s="46">
        <f t="shared" si="1"/>
        <v>0.04219225750326229</v>
      </c>
    </row>
    <row r="66" spans="1:7" ht="15.75">
      <c r="A66" s="73" t="s">
        <v>64</v>
      </c>
      <c r="B66" s="37"/>
      <c r="C66" s="37"/>
      <c r="D66" s="45">
        <f>SUM(D55:D65)</f>
        <v>169450371.19000003</v>
      </c>
      <c r="E66" s="46">
        <f>SUM(E55:E65)</f>
        <v>0.9999999999999998</v>
      </c>
      <c r="F66" s="48">
        <f>SUM(F55:F65)</f>
        <v>2299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2" max="6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38720</v>
      </c>
      <c r="E4" s="3" t="s">
        <v>69</v>
      </c>
    </row>
    <row r="5" spans="1:8" ht="15.75">
      <c r="A5" s="2" t="s">
        <v>15</v>
      </c>
      <c r="D5" s="75">
        <v>0.046475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143080801</v>
      </c>
      <c r="E9" s="78">
        <v>2369570</v>
      </c>
      <c r="F9" s="78">
        <v>641065.2</v>
      </c>
      <c r="G9" s="10">
        <f>+D9/276000000</f>
        <v>0.5184086992753624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116846.4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167080801</v>
      </c>
      <c r="E11" s="19">
        <f>SUM(E9:E10)</f>
        <v>2369570</v>
      </c>
      <c r="F11" s="19">
        <f>SUM(F9:F10)</f>
        <v>757911.6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221</v>
      </c>
      <c r="F17" s="22">
        <v>7500000</v>
      </c>
      <c r="G17" s="5"/>
    </row>
    <row r="18" spans="1:6" ht="15.75">
      <c r="A18" s="88" t="s">
        <v>225</v>
      </c>
      <c r="F18" s="22">
        <v>0</v>
      </c>
    </row>
    <row r="19" spans="1:6" ht="15.75">
      <c r="A19" s="88" t="s">
        <v>222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223</v>
      </c>
      <c r="F30" s="76">
        <v>137535</v>
      </c>
    </row>
    <row r="31" spans="1:6" ht="15.75">
      <c r="A31" s="25" t="s">
        <v>68</v>
      </c>
      <c r="F31" s="22">
        <v>0</v>
      </c>
    </row>
    <row r="32" spans="1:6" ht="15.75">
      <c r="A32" s="88" t="s">
        <v>224</v>
      </c>
      <c r="F32" s="22">
        <f>D51</f>
        <v>167080794.90000004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+'Dec 05'!E35+E36</f>
        <v>323</v>
      </c>
      <c r="F35" s="90">
        <f>+'Dec 05'!F35+F36</f>
        <v>7511643.33</v>
      </c>
    </row>
    <row r="36" spans="1:6" ht="15.75">
      <c r="A36" s="2" t="s">
        <v>7</v>
      </c>
      <c r="E36" s="89">
        <v>3</v>
      </c>
      <c r="F36" s="90">
        <v>153900</v>
      </c>
    </row>
    <row r="37" spans="1:6" ht="15.75">
      <c r="A37" s="2" t="s">
        <v>33</v>
      </c>
      <c r="E37" s="26">
        <f>+'Dec 05'!E37</f>
        <v>1967</v>
      </c>
      <c r="F37" s="27">
        <f>+'Dec 05'!F37</f>
        <v>174409381.88000003</v>
      </c>
    </row>
    <row r="38" spans="1:6" ht="15.75">
      <c r="A38" s="88" t="s">
        <v>226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((2511068+858609.59-846201.05)/169450371)*12</f>
        <v>0.17870553071848985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163935900.8</v>
      </c>
      <c r="E44" s="81">
        <v>2233</v>
      </c>
      <c r="F44" s="33"/>
    </row>
    <row r="45" spans="1:6" ht="15.75">
      <c r="A45" s="34" t="s">
        <v>35</v>
      </c>
      <c r="B45" s="5"/>
      <c r="C45" s="12"/>
      <c r="D45" s="82">
        <v>551283.25</v>
      </c>
      <c r="E45" s="83">
        <v>6</v>
      </c>
      <c r="F45" s="33"/>
    </row>
    <row r="46" spans="1:6" ht="15.75">
      <c r="A46" s="34" t="s">
        <v>36</v>
      </c>
      <c r="B46" s="5"/>
      <c r="C46" s="12"/>
      <c r="D46" s="82">
        <v>143396.83</v>
      </c>
      <c r="E46" s="83">
        <v>3</v>
      </c>
      <c r="F46" s="33"/>
    </row>
    <row r="47" spans="1:6" ht="15.75">
      <c r="A47" s="11" t="s">
        <v>37</v>
      </c>
      <c r="B47" s="5"/>
      <c r="C47" s="12"/>
      <c r="D47" s="82">
        <f>471943.52+5972.32+1209808.13</f>
        <v>1687723.97</v>
      </c>
      <c r="E47" s="83">
        <v>8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762271.8</v>
      </c>
      <c r="E50" s="83">
        <v>7</v>
      </c>
      <c r="F50" s="33"/>
    </row>
    <row r="51" spans="1:7" ht="15.75">
      <c r="A51" s="16"/>
      <c r="B51" s="37"/>
      <c r="C51" s="17"/>
      <c r="D51" s="38">
        <f>SUM(D44:D50)</f>
        <v>167080794.90000004</v>
      </c>
      <c r="E51" s="39">
        <f>SUM(E44:E50)</f>
        <v>2258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6537871.26</v>
      </c>
      <c r="E55" s="41">
        <f aca="true" t="shared" si="0" ref="E55:E65">D55/D$66</f>
        <v>0.03912999853701318</v>
      </c>
      <c r="F55" s="86">
        <v>94</v>
      </c>
      <c r="G55" s="41">
        <f aca="true" t="shared" si="1" ref="G55:G65">F55/F$66</f>
        <v>0.04162976085031001</v>
      </c>
    </row>
    <row r="56" spans="1:7" ht="15.75">
      <c r="A56" s="11" t="s">
        <v>56</v>
      </c>
      <c r="D56" s="84">
        <v>8491160.3</v>
      </c>
      <c r="E56" s="41">
        <f t="shared" si="0"/>
        <v>0.05082068411921351</v>
      </c>
      <c r="F56" s="86">
        <v>131</v>
      </c>
      <c r="G56" s="41">
        <f t="shared" si="1"/>
        <v>0.058015943312666074</v>
      </c>
    </row>
    <row r="57" spans="1:7" ht="15.75">
      <c r="A57" s="11" t="s">
        <v>66</v>
      </c>
      <c r="D57" s="84">
        <v>74795.58</v>
      </c>
      <c r="E57" s="41">
        <f t="shared" si="0"/>
        <v>0.0004476611452846278</v>
      </c>
      <c r="F57" s="86">
        <v>1</v>
      </c>
      <c r="G57" s="41">
        <f t="shared" si="1"/>
        <v>0.0004428697962798937</v>
      </c>
    </row>
    <row r="58" spans="1:7" ht="15.75">
      <c r="A58" s="11" t="s">
        <v>57</v>
      </c>
      <c r="D58" s="84">
        <v>4296687.04</v>
      </c>
      <c r="E58" s="41">
        <f t="shared" si="0"/>
        <v>0.02571622335512362</v>
      </c>
      <c r="F58" s="86">
        <v>40</v>
      </c>
      <c r="G58" s="41">
        <f t="shared" si="1"/>
        <v>0.01771479185119575</v>
      </c>
    </row>
    <row r="59" spans="1:7" ht="15.75">
      <c r="A59" s="11" t="s">
        <v>58</v>
      </c>
      <c r="D59" s="84">
        <v>12549944.75</v>
      </c>
      <c r="E59" s="41">
        <f t="shared" si="0"/>
        <v>0.07511302994165968</v>
      </c>
      <c r="F59" s="86">
        <v>161</v>
      </c>
      <c r="G59" s="41">
        <f t="shared" si="1"/>
        <v>0.07130203720106289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49022677.77+48506643.17</f>
        <v>97529320.94</v>
      </c>
      <c r="E61" s="41">
        <f t="shared" si="0"/>
        <v>0.5837255023737021</v>
      </c>
      <c r="F61" s="86">
        <f>753+517</f>
        <v>1270</v>
      </c>
      <c r="G61" s="41">
        <f t="shared" si="1"/>
        <v>0.562444641275465</v>
      </c>
      <c r="H61" s="43" t="str">
        <f>IF(E61&gt;80%,"ERROR"," ")</f>
        <v> </v>
      </c>
    </row>
    <row r="62" spans="1:7" ht="15.75">
      <c r="A62" s="11" t="s">
        <v>60</v>
      </c>
      <c r="D62" s="84">
        <v>18679925.31</v>
      </c>
      <c r="E62" s="41">
        <f t="shared" si="0"/>
        <v>0.11180175029200796</v>
      </c>
      <c r="F62" s="86">
        <v>269</v>
      </c>
      <c r="G62" s="41">
        <f t="shared" si="1"/>
        <v>0.1191319751992914</v>
      </c>
    </row>
    <row r="63" spans="1:7" ht="15.75">
      <c r="A63" s="11" t="s">
        <v>61</v>
      </c>
      <c r="D63" s="84">
        <v>4854328.73</v>
      </c>
      <c r="E63" s="41">
        <f t="shared" si="0"/>
        <v>0.029053780435419754</v>
      </c>
      <c r="F63" s="86">
        <v>81</v>
      </c>
      <c r="G63" s="41">
        <f t="shared" si="1"/>
        <v>0.03587245349867139</v>
      </c>
    </row>
    <row r="64" spans="1:7" ht="15.75">
      <c r="A64" s="11" t="s">
        <v>62</v>
      </c>
      <c r="D64" s="84">
        <v>7394437.66</v>
      </c>
      <c r="E64" s="44">
        <f t="shared" si="0"/>
        <v>0.04425665836953712</v>
      </c>
      <c r="F64" s="86">
        <v>114</v>
      </c>
      <c r="G64" s="41">
        <f t="shared" si="1"/>
        <v>0.050487156775907885</v>
      </c>
    </row>
    <row r="65" spans="1:7" ht="15.75">
      <c r="A65" s="16" t="s">
        <v>63</v>
      </c>
      <c r="B65" s="37"/>
      <c r="C65" s="37"/>
      <c r="D65" s="85">
        <v>6672323.33</v>
      </c>
      <c r="E65" s="46">
        <f t="shared" si="0"/>
        <v>0.03993471143103833</v>
      </c>
      <c r="F65" s="87">
        <v>97</v>
      </c>
      <c r="G65" s="46">
        <f t="shared" si="1"/>
        <v>0.04295837023914969</v>
      </c>
    </row>
    <row r="66" spans="1:7" ht="15.75">
      <c r="A66" s="73" t="s">
        <v>64</v>
      </c>
      <c r="B66" s="37"/>
      <c r="C66" s="37"/>
      <c r="D66" s="45">
        <f>SUM(D55:D65)</f>
        <v>167080794.9</v>
      </c>
      <c r="E66" s="46">
        <f>SUM(E55:E65)</f>
        <v>0.9999999999999999</v>
      </c>
      <c r="F66" s="48">
        <f>SUM(F55:F65)</f>
        <v>2258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2" max="6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38749</v>
      </c>
      <c r="E4" s="3" t="s">
        <v>69</v>
      </c>
    </row>
    <row r="5" spans="1:8" ht="15.75">
      <c r="A5" s="2" t="s">
        <v>15</v>
      </c>
      <c r="D5" s="75">
        <v>0.04585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141140742</v>
      </c>
      <c r="E9" s="78">
        <v>1940059</v>
      </c>
      <c r="F9" s="78">
        <v>561301.2</v>
      </c>
      <c r="G9" s="10">
        <f>+D9/276000000</f>
        <v>0.5113795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103876.8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165140742</v>
      </c>
      <c r="E11" s="19">
        <f>SUM(E9:E10)</f>
        <v>1940059</v>
      </c>
      <c r="F11" s="19">
        <f>SUM(F9:F10)</f>
        <v>665178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227</v>
      </c>
      <c r="F17" s="22">
        <v>7500000</v>
      </c>
      <c r="G17" s="5"/>
    </row>
    <row r="18" spans="1:6" ht="15.75">
      <c r="A18" s="88" t="s">
        <v>228</v>
      </c>
      <c r="F18" s="22">
        <v>0</v>
      </c>
    </row>
    <row r="19" spans="1:6" ht="15.75">
      <c r="A19" s="88" t="s">
        <v>229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230</v>
      </c>
      <c r="F30" s="76">
        <v>128140</v>
      </c>
    </row>
    <row r="31" spans="1:6" ht="15.75">
      <c r="A31" s="25" t="s">
        <v>68</v>
      </c>
      <c r="F31" s="22">
        <v>0</v>
      </c>
    </row>
    <row r="32" spans="1:6" ht="15.75">
      <c r="A32" s="88" t="s">
        <v>231</v>
      </c>
      <c r="F32" s="22">
        <f>D51</f>
        <v>165140722.03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+'Jan 06'!E35+E36</f>
        <v>333</v>
      </c>
      <c r="F35" s="90">
        <f>+'Jan 06'!F35+F36</f>
        <v>7663019.3100000005</v>
      </c>
    </row>
    <row r="36" spans="1:6" ht="15.75">
      <c r="A36" s="2" t="s">
        <v>7</v>
      </c>
      <c r="E36" s="89">
        <v>10</v>
      </c>
      <c r="F36" s="90">
        <v>151375.98</v>
      </c>
    </row>
    <row r="37" spans="1:6" ht="15.75">
      <c r="A37" s="2" t="s">
        <v>33</v>
      </c>
      <c r="E37" s="26">
        <f>+'Jan 06'!E37</f>
        <v>1967</v>
      </c>
      <c r="F37" s="27">
        <f>+'Jan 06'!F37</f>
        <v>174409381.88000003</v>
      </c>
    </row>
    <row r="38" spans="1:6" ht="15.75">
      <c r="A38" s="88" t="s">
        <v>232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((1876916+796540.82-582001.52)/167080794.9)*12</f>
        <v>0.1502115405604884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161615526.01</v>
      </c>
      <c r="E44" s="81">
        <v>2193</v>
      </c>
      <c r="F44" s="33"/>
    </row>
    <row r="45" spans="1:6" ht="15.75">
      <c r="A45" s="34" t="s">
        <v>35</v>
      </c>
      <c r="B45" s="5"/>
      <c r="C45" s="12"/>
      <c r="D45" s="82">
        <v>587829.25</v>
      </c>
      <c r="E45" s="83">
        <v>7</v>
      </c>
      <c r="F45" s="33"/>
    </row>
    <row r="46" spans="1:6" ht="15.75">
      <c r="A46" s="34" t="s">
        <v>36</v>
      </c>
      <c r="B46" s="5"/>
      <c r="C46" s="12"/>
      <c r="D46" s="82">
        <v>192531.3</v>
      </c>
      <c r="E46" s="83">
        <v>4</v>
      </c>
      <c r="F46" s="33"/>
    </row>
    <row r="47" spans="1:6" ht="15.75">
      <c r="A47" s="11" t="s">
        <v>37</v>
      </c>
      <c r="B47" s="5"/>
      <c r="C47" s="12"/>
      <c r="D47" s="82">
        <f>132462.47+5972.32+1210371.27</f>
        <v>1348806.06</v>
      </c>
      <c r="E47" s="83">
        <f>4+1+1</f>
        <v>6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1395811.16</v>
      </c>
      <c r="E50" s="83">
        <v>11</v>
      </c>
      <c r="F50" s="33"/>
    </row>
    <row r="51" spans="1:7" ht="15.75">
      <c r="A51" s="16"/>
      <c r="B51" s="37"/>
      <c r="C51" s="17"/>
      <c r="D51" s="38">
        <f>SUM(D44:D50)</f>
        <v>165140722.03</v>
      </c>
      <c r="E51" s="39">
        <f>SUM(E44:E50)</f>
        <v>2222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6495348.78</v>
      </c>
      <c r="E55" s="41">
        <f aca="true" t="shared" si="0" ref="E55:E65">D55/D$66</f>
        <v>0.039332205286228765</v>
      </c>
      <c r="F55" s="86">
        <v>93</v>
      </c>
      <c r="G55" s="41">
        <f aca="true" t="shared" si="1" ref="G55:G65">F55/F$66</f>
        <v>0.041854185418541856</v>
      </c>
    </row>
    <row r="56" spans="1:7" ht="15.75">
      <c r="A56" s="11" t="s">
        <v>56</v>
      </c>
      <c r="D56" s="84">
        <v>8414455.81</v>
      </c>
      <c r="E56" s="41">
        <f t="shared" si="0"/>
        <v>0.05095324585338439</v>
      </c>
      <c r="F56" s="86">
        <v>128</v>
      </c>
      <c r="G56" s="41">
        <f t="shared" si="1"/>
        <v>0.0576057605760576</v>
      </c>
    </row>
    <row r="57" spans="1:7" ht="15.75">
      <c r="A57" s="11" t="s">
        <v>66</v>
      </c>
      <c r="D57" s="84">
        <v>75231.26</v>
      </c>
      <c r="E57" s="41">
        <f t="shared" si="0"/>
        <v>0.000455558502319817</v>
      </c>
      <c r="F57" s="86">
        <v>1</v>
      </c>
      <c r="G57" s="41">
        <f t="shared" si="1"/>
        <v>0.00045004500450045</v>
      </c>
    </row>
    <row r="58" spans="1:7" ht="15.75">
      <c r="A58" s="11" t="s">
        <v>57</v>
      </c>
      <c r="D58" s="84">
        <v>4290342.29</v>
      </c>
      <c r="E58" s="41">
        <f t="shared" si="0"/>
        <v>0.025979917232168838</v>
      </c>
      <c r="F58" s="86">
        <v>40</v>
      </c>
      <c r="G58" s="41">
        <f t="shared" si="1"/>
        <v>0.018001800180018002</v>
      </c>
    </row>
    <row r="59" spans="1:7" ht="15.75">
      <c r="A59" s="11" t="s">
        <v>58</v>
      </c>
      <c r="D59" s="84">
        <v>12407689.72</v>
      </c>
      <c r="E59" s="41">
        <f t="shared" si="0"/>
        <v>0.07513404063805644</v>
      </c>
      <c r="F59" s="86">
        <v>159</v>
      </c>
      <c r="G59" s="41">
        <f t="shared" si="1"/>
        <v>0.07155715571557156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/>
      <c r="G60" s="41">
        <f t="shared" si="1"/>
        <v>0</v>
      </c>
    </row>
    <row r="61" spans="1:8" ht="15.75">
      <c r="A61" s="11" t="s">
        <v>59</v>
      </c>
      <c r="D61" s="84">
        <f>48654798.5+47958122.98</f>
        <v>96612921.47999999</v>
      </c>
      <c r="E61" s="41">
        <f t="shared" si="0"/>
        <v>0.5850339049774107</v>
      </c>
      <c r="F61" s="86">
        <f>740+508</f>
        <v>1248</v>
      </c>
      <c r="G61" s="41">
        <f t="shared" si="1"/>
        <v>0.5616561656165616</v>
      </c>
      <c r="H61" s="43" t="str">
        <f>IF(E61&gt;80%,"ERROR"," ")</f>
        <v> </v>
      </c>
    </row>
    <row r="62" spans="1:7" ht="15.75">
      <c r="A62" s="11" t="s">
        <v>60</v>
      </c>
      <c r="D62" s="84">
        <v>18478140.44</v>
      </c>
      <c r="E62" s="41">
        <f t="shared" si="0"/>
        <v>0.11189330053094479</v>
      </c>
      <c r="F62" s="86">
        <v>266</v>
      </c>
      <c r="G62" s="41">
        <f t="shared" si="1"/>
        <v>0.11971197119711971</v>
      </c>
    </row>
    <row r="63" spans="1:7" ht="15.75">
      <c r="A63" s="11" t="s">
        <v>61</v>
      </c>
      <c r="D63" s="84">
        <v>4693139.1</v>
      </c>
      <c r="E63" s="41">
        <f t="shared" si="0"/>
        <v>0.02841902979658421</v>
      </c>
      <c r="F63" s="86">
        <v>80</v>
      </c>
      <c r="G63" s="41">
        <f t="shared" si="1"/>
        <v>0.036003600360036005</v>
      </c>
    </row>
    <row r="64" spans="1:7" ht="15.75">
      <c r="A64" s="11" t="s">
        <v>62</v>
      </c>
      <c r="D64" s="84">
        <v>7167691.89</v>
      </c>
      <c r="E64" s="44">
        <f t="shared" si="0"/>
        <v>0.043403539731998356</v>
      </c>
      <c r="F64" s="86">
        <v>113</v>
      </c>
      <c r="G64" s="41">
        <f t="shared" si="1"/>
        <v>0.050855085508550855</v>
      </c>
    </row>
    <row r="65" spans="1:7" ht="15.75">
      <c r="A65" s="16" t="s">
        <v>63</v>
      </c>
      <c r="B65" s="37"/>
      <c r="C65" s="37"/>
      <c r="D65" s="85">
        <v>6505761.26</v>
      </c>
      <c r="E65" s="46">
        <f t="shared" si="0"/>
        <v>0.03939525745090386</v>
      </c>
      <c r="F65" s="87">
        <v>94</v>
      </c>
      <c r="G65" s="46">
        <f t="shared" si="1"/>
        <v>0.0423042304230423</v>
      </c>
    </row>
    <row r="66" spans="1:7" ht="15.75">
      <c r="A66" s="73" t="s">
        <v>64</v>
      </c>
      <c r="B66" s="37"/>
      <c r="C66" s="37"/>
      <c r="D66" s="45">
        <f>SUM(D55:D65)</f>
        <v>165140722.02999997</v>
      </c>
      <c r="E66" s="46">
        <f>SUM(E55:E65)</f>
        <v>1.0000000000000002</v>
      </c>
      <c r="F66" s="48">
        <f>SUM(F55:F65)</f>
        <v>2222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37956</v>
      </c>
      <c r="E4" s="3" t="s">
        <v>69</v>
      </c>
    </row>
    <row r="5" spans="1:8" ht="15.75">
      <c r="A5" s="2" t="s">
        <v>15</v>
      </c>
      <c r="D5" s="4">
        <v>0.0382875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234319308</v>
      </c>
      <c r="E9" s="9">
        <v>4848492</v>
      </c>
      <c r="F9" s="9">
        <v>745807.2</v>
      </c>
      <c r="G9" s="10">
        <f>+D9/276000000</f>
        <v>0.848983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84230.4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258319308</v>
      </c>
      <c r="E11" s="19">
        <f>SUM(E9:E10)</f>
        <v>4848492</v>
      </c>
      <c r="F11" s="19">
        <f>SUM(F9:F10)</f>
        <v>830037.6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124</v>
      </c>
      <c r="F17" s="22">
        <v>7500000</v>
      </c>
      <c r="G17" s="5"/>
    </row>
    <row r="18" spans="1:6" ht="15.75">
      <c r="A18" s="23" t="s">
        <v>125</v>
      </c>
      <c r="F18" s="22">
        <v>0</v>
      </c>
    </row>
    <row r="19" spans="1:6" ht="15.75">
      <c r="A19" s="23" t="s">
        <v>126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127</v>
      </c>
      <c r="F30" s="22">
        <v>279923.5</v>
      </c>
    </row>
    <row r="31" spans="1:6" ht="15.75">
      <c r="A31" s="25" t="s">
        <v>68</v>
      </c>
      <c r="F31" s="22">
        <v>4049.78</v>
      </c>
    </row>
    <row r="32" spans="1:6" ht="15.75">
      <c r="A32" s="23" t="s">
        <v>128</v>
      </c>
      <c r="F32" s="22">
        <f>D50</f>
        <v>255919649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v>0.222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f>253766956-20537</f>
        <v>253746419</v>
      </c>
      <c r="E44" s="32">
        <v>3453</v>
      </c>
      <c r="F44" s="33"/>
    </row>
    <row r="45" spans="1:6" ht="15.75">
      <c r="A45" s="34" t="s">
        <v>35</v>
      </c>
      <c r="B45" s="5"/>
      <c r="C45" s="12"/>
      <c r="D45" s="35">
        <v>625720</v>
      </c>
      <c r="E45" s="36">
        <v>7</v>
      </c>
      <c r="F45" s="33"/>
    </row>
    <row r="46" spans="1:6" ht="15.75">
      <c r="A46" s="34" t="s">
        <v>36</v>
      </c>
      <c r="B46" s="5"/>
      <c r="C46" s="12"/>
      <c r="D46" s="35">
        <v>1148109</v>
      </c>
      <c r="E46" s="36">
        <v>8</v>
      </c>
      <c r="F46" s="33"/>
    </row>
    <row r="47" spans="1:6" ht="15.75">
      <c r="A47" s="11" t="s">
        <v>37</v>
      </c>
      <c r="B47" s="5"/>
      <c r="C47" s="12"/>
      <c r="D47" s="35">
        <v>185019</v>
      </c>
      <c r="E47" s="36">
        <v>1</v>
      </c>
      <c r="F47" s="33"/>
    </row>
    <row r="48" spans="1:6" ht="15.75">
      <c r="A48" s="11" t="s">
        <v>27</v>
      </c>
      <c r="B48" s="5"/>
      <c r="C48" s="12"/>
      <c r="D48" s="35">
        <v>214382</v>
      </c>
      <c r="E48" s="36">
        <v>2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255919649</v>
      </c>
      <c r="E50" s="39">
        <f>SUM(E44:E49)</f>
        <v>3471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10506284</v>
      </c>
      <c r="E54" s="41">
        <f aca="true" t="shared" si="0" ref="E54:E63">D54/D$64</f>
        <v>0.041053057242978634</v>
      </c>
      <c r="F54" s="42">
        <v>160</v>
      </c>
      <c r="G54" s="41">
        <f aca="true" t="shared" si="1" ref="G54:G63">F54/F$64</f>
        <v>0.04609622587150677</v>
      </c>
    </row>
    <row r="55" spans="1:7" ht="15.75">
      <c r="A55" s="11" t="s">
        <v>56</v>
      </c>
      <c r="D55" s="40">
        <v>9641575</v>
      </c>
      <c r="E55" s="41">
        <f t="shared" si="0"/>
        <v>0.03767422719464577</v>
      </c>
      <c r="F55" s="42">
        <v>160</v>
      </c>
      <c r="G55" s="41">
        <f t="shared" si="1"/>
        <v>0.04609622587150677</v>
      </c>
    </row>
    <row r="56" spans="1:7" ht="15.75">
      <c r="A56" s="11" t="s">
        <v>66</v>
      </c>
      <c r="D56" s="40">
        <v>74795</v>
      </c>
      <c r="E56" s="41">
        <f t="shared" si="0"/>
        <v>0.00029225970062189325</v>
      </c>
      <c r="F56" s="42">
        <v>1</v>
      </c>
      <c r="G56" s="41">
        <f t="shared" si="1"/>
        <v>0.0002881014116969173</v>
      </c>
    </row>
    <row r="57" spans="1:7" ht="15.75">
      <c r="A57" s="11" t="s">
        <v>57</v>
      </c>
      <c r="D57" s="40">
        <v>5470554</v>
      </c>
      <c r="E57" s="41">
        <f t="shared" si="0"/>
        <v>0.021376060890111646</v>
      </c>
      <c r="F57" s="42">
        <v>63</v>
      </c>
      <c r="G57" s="41">
        <f t="shared" si="1"/>
        <v>0.018150388936905792</v>
      </c>
    </row>
    <row r="58" spans="1:7" ht="15.75">
      <c r="A58" s="11" t="s">
        <v>58</v>
      </c>
      <c r="D58" s="40">
        <v>21867131</v>
      </c>
      <c r="E58" s="41">
        <f t="shared" si="0"/>
        <v>0.08544529927829027</v>
      </c>
      <c r="F58" s="42">
        <v>270</v>
      </c>
      <c r="G58" s="41">
        <f t="shared" si="1"/>
        <v>0.07778738115816768</v>
      </c>
    </row>
    <row r="59" spans="1:8" ht="15.75">
      <c r="A59" s="11" t="s">
        <v>59</v>
      </c>
      <c r="D59" s="40">
        <f>103156581+44911037-20536</f>
        <v>148047082</v>
      </c>
      <c r="E59" s="41">
        <f t="shared" si="0"/>
        <v>0.5784904855039091</v>
      </c>
      <c r="F59" s="42">
        <f>1178+716</f>
        <v>1894</v>
      </c>
      <c r="G59" s="41">
        <f t="shared" si="1"/>
        <v>0.5456640737539614</v>
      </c>
      <c r="H59" s="43" t="str">
        <f>IF(E59&gt;80%,"ERROR"," ")</f>
        <v> </v>
      </c>
    </row>
    <row r="60" spans="1:7" ht="15.75">
      <c r="A60" s="11" t="s">
        <v>60</v>
      </c>
      <c r="D60" s="40">
        <v>28345023</v>
      </c>
      <c r="E60" s="41">
        <f t="shared" si="0"/>
        <v>0.11075750967445255</v>
      </c>
      <c r="F60" s="42">
        <v>420</v>
      </c>
      <c r="G60" s="41">
        <f t="shared" si="1"/>
        <v>0.12100259291270528</v>
      </c>
    </row>
    <row r="61" spans="1:7" ht="15.75">
      <c r="A61" s="11" t="s">
        <v>61</v>
      </c>
      <c r="D61" s="40">
        <v>8754058</v>
      </c>
      <c r="E61" s="41">
        <f t="shared" si="0"/>
        <v>0.03420627542358031</v>
      </c>
      <c r="F61" s="42">
        <v>148</v>
      </c>
      <c r="G61" s="41">
        <f t="shared" si="1"/>
        <v>0.042639008931143765</v>
      </c>
    </row>
    <row r="62" spans="1:7" ht="15.75">
      <c r="A62" s="11" t="s">
        <v>62</v>
      </c>
      <c r="D62" s="40">
        <v>13066041</v>
      </c>
      <c r="E62" s="44">
        <f t="shared" si="0"/>
        <v>0.05105524742260021</v>
      </c>
      <c r="F62" s="42">
        <v>199</v>
      </c>
      <c r="G62" s="41">
        <f t="shared" si="1"/>
        <v>0.05733218092768655</v>
      </c>
    </row>
    <row r="63" spans="1:7" ht="15.75">
      <c r="A63" s="16" t="s">
        <v>63</v>
      </c>
      <c r="B63" s="37"/>
      <c r="C63" s="37"/>
      <c r="D63" s="45">
        <v>10147106</v>
      </c>
      <c r="E63" s="46">
        <f t="shared" si="0"/>
        <v>0.03964957766880964</v>
      </c>
      <c r="F63" s="47">
        <v>156</v>
      </c>
      <c r="G63" s="46">
        <f t="shared" si="1"/>
        <v>0.0449438202247191</v>
      </c>
    </row>
    <row r="64" spans="1:7" ht="15.75">
      <c r="A64" s="73" t="s">
        <v>64</v>
      </c>
      <c r="B64" s="37"/>
      <c r="C64" s="37"/>
      <c r="D64" s="45">
        <f>SUM(D54:D63)</f>
        <v>255919649</v>
      </c>
      <c r="E64" s="46">
        <f>SUM(E54:E63)</f>
        <v>1.0000000000000002</v>
      </c>
      <c r="F64" s="48">
        <f>SUM(F54:F63)</f>
        <v>3471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113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38777</v>
      </c>
      <c r="E4" s="3" t="s">
        <v>69</v>
      </c>
    </row>
    <row r="5" spans="1:8" ht="15.75">
      <c r="A5" s="2" t="s">
        <v>15</v>
      </c>
      <c r="D5" s="75">
        <v>0.04575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139417149.6</v>
      </c>
      <c r="E9" s="78">
        <v>1723592</v>
      </c>
      <c r="F9" s="78">
        <v>527822.4</v>
      </c>
      <c r="G9" s="10">
        <f>+D9/276000000</f>
        <v>0.5051346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99144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163417149.6</v>
      </c>
      <c r="E11" s="19">
        <f>SUM(E9:E10)</f>
        <v>1723592</v>
      </c>
      <c r="F11" s="19">
        <f>SUM(F9:F10)</f>
        <v>626966.4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233</v>
      </c>
      <c r="F17" s="22">
        <v>7500000</v>
      </c>
      <c r="G17" s="5"/>
    </row>
    <row r="18" spans="1:6" ht="15.75">
      <c r="A18" s="88" t="s">
        <v>234</v>
      </c>
      <c r="F18" s="22">
        <v>0</v>
      </c>
    </row>
    <row r="19" spans="1:6" ht="15.75">
      <c r="A19" s="88" t="s">
        <v>235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238</v>
      </c>
      <c r="F30" s="76">
        <v>201619</v>
      </c>
    </row>
    <row r="31" spans="1:6" ht="15.75">
      <c r="A31" s="25" t="s">
        <v>68</v>
      </c>
      <c r="F31" s="22">
        <v>0</v>
      </c>
    </row>
    <row r="32" spans="1:6" ht="15.75">
      <c r="A32" s="88" t="s">
        <v>236</v>
      </c>
      <c r="F32" s="22">
        <f>D51</f>
        <v>163417132.73000002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+'Feb 06'!E35+E36</f>
        <v>342</v>
      </c>
      <c r="F35" s="90">
        <f>+'Feb 06'!F35+F36</f>
        <v>7919291.760000001</v>
      </c>
    </row>
    <row r="36" spans="1:6" ht="15.75">
      <c r="A36" s="2" t="s">
        <v>7</v>
      </c>
      <c r="E36" s="89">
        <v>9</v>
      </c>
      <c r="F36" s="90">
        <v>256272.45</v>
      </c>
    </row>
    <row r="37" spans="1:6" ht="15.75">
      <c r="A37" s="2" t="s">
        <v>33</v>
      </c>
      <c r="E37" s="26">
        <f>+'Jan 06'!E37</f>
        <v>1967</v>
      </c>
      <c r="F37" s="27">
        <f>+'Jan 06'!F37</f>
        <v>174409381.88000003</v>
      </c>
    </row>
    <row r="38" spans="1:6" ht="15.75">
      <c r="A38" s="88" t="s">
        <v>237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((2121429+808127-949674.72)/165140722)*12</f>
        <v>0.14386866590058872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159292107.43</v>
      </c>
      <c r="E44" s="81">
        <v>2161</v>
      </c>
      <c r="F44" s="33"/>
    </row>
    <row r="45" spans="1:6" ht="15.75">
      <c r="A45" s="34" t="s">
        <v>35</v>
      </c>
      <c r="B45" s="5"/>
      <c r="C45" s="12"/>
      <c r="D45" s="82">
        <v>1364585.87</v>
      </c>
      <c r="E45" s="83">
        <v>12</v>
      </c>
      <c r="F45" s="33"/>
    </row>
    <row r="46" spans="1:6" ht="15.75">
      <c r="A46" s="34" t="s">
        <v>36</v>
      </c>
      <c r="B46" s="5"/>
      <c r="C46" s="12"/>
      <c r="D46" s="82">
        <v>46448.69</v>
      </c>
      <c r="E46" s="83">
        <v>2</v>
      </c>
      <c r="F46" s="33"/>
    </row>
    <row r="47" spans="1:6" ht="15.75">
      <c r="A47" s="11" t="s">
        <v>37</v>
      </c>
      <c r="B47" s="5"/>
      <c r="C47" s="12"/>
      <c r="D47" s="82">
        <f>46758.72+86800.32+5972.32+1210936.98</f>
        <v>1350468.34</v>
      </c>
      <c r="E47" s="83">
        <f>2+2+1+1</f>
        <v>6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1363304.15</v>
      </c>
      <c r="E50" s="83">
        <v>10</v>
      </c>
      <c r="F50" s="33"/>
    </row>
    <row r="51" spans="1:7" ht="15.75">
      <c r="A51" s="16"/>
      <c r="B51" s="37"/>
      <c r="C51" s="17"/>
      <c r="D51" s="38">
        <f>SUM(D44:D50)</f>
        <v>163417132.73000002</v>
      </c>
      <c r="E51" s="39">
        <f>SUM(E44:E50)</f>
        <v>2192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6537070.7</v>
      </c>
      <c r="E55" s="41">
        <f aca="true" t="shared" si="0" ref="E55:E65">D55/D$66</f>
        <v>0.04000235832555352</v>
      </c>
      <c r="F55" s="86">
        <v>92</v>
      </c>
      <c r="G55" s="41">
        <f aca="true" t="shared" si="1" ref="G55:G65">F55/F$66</f>
        <v>0.041970802919708027</v>
      </c>
    </row>
    <row r="56" spans="1:7" ht="15.75">
      <c r="A56" s="11" t="s">
        <v>56</v>
      </c>
      <c r="D56" s="84">
        <v>8316455.38</v>
      </c>
      <c r="E56" s="41">
        <f t="shared" si="0"/>
        <v>0.05089096376290337</v>
      </c>
      <c r="F56" s="86">
        <v>125</v>
      </c>
      <c r="G56" s="41">
        <f t="shared" si="1"/>
        <v>0.057025547445255474</v>
      </c>
    </row>
    <row r="57" spans="1:7" ht="15.75">
      <c r="A57" s="11" t="s">
        <v>66</v>
      </c>
      <c r="D57" s="84">
        <v>74795.11</v>
      </c>
      <c r="E57" s="41">
        <f t="shared" si="0"/>
        <v>0.0004576944213283775</v>
      </c>
      <c r="F57" s="86">
        <v>1</v>
      </c>
      <c r="G57" s="41">
        <f t="shared" si="1"/>
        <v>0.0004562043795620438</v>
      </c>
    </row>
    <row r="58" spans="1:7" ht="15.75">
      <c r="A58" s="11" t="s">
        <v>57</v>
      </c>
      <c r="D58" s="84">
        <v>4241634.16</v>
      </c>
      <c r="E58" s="41">
        <f t="shared" si="0"/>
        <v>0.025955871879162668</v>
      </c>
      <c r="F58" s="86">
        <v>40</v>
      </c>
      <c r="G58" s="41">
        <f t="shared" si="1"/>
        <v>0.01824817518248175</v>
      </c>
    </row>
    <row r="59" spans="1:7" ht="15.75">
      <c r="A59" s="11" t="s">
        <v>58</v>
      </c>
      <c r="D59" s="84">
        <v>12319037.31</v>
      </c>
      <c r="E59" s="41">
        <f t="shared" si="0"/>
        <v>0.07538400107872216</v>
      </c>
      <c r="F59" s="86">
        <v>156</v>
      </c>
      <c r="G59" s="41">
        <f t="shared" si="1"/>
        <v>0.07116788321167883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48107711.34+47701883.62</f>
        <v>95809594.96000001</v>
      </c>
      <c r="E61" s="41">
        <f t="shared" si="0"/>
        <v>0.5862885571386075</v>
      </c>
      <c r="F61" s="86">
        <f>730+504</f>
        <v>1234</v>
      </c>
      <c r="G61" s="41">
        <f t="shared" si="1"/>
        <v>0.5629562043795621</v>
      </c>
      <c r="H61" s="43" t="str">
        <f>IF(E61&gt;80%,"ERROR"," ")</f>
        <v> </v>
      </c>
    </row>
    <row r="62" spans="1:7" ht="15.75">
      <c r="A62" s="11" t="s">
        <v>60</v>
      </c>
      <c r="D62" s="84">
        <v>18146546.55</v>
      </c>
      <c r="E62" s="41">
        <f t="shared" si="0"/>
        <v>0.11104433327674383</v>
      </c>
      <c r="F62" s="86">
        <v>263</v>
      </c>
      <c r="G62" s="41">
        <f t="shared" si="1"/>
        <v>0.11998175182481752</v>
      </c>
    </row>
    <row r="63" spans="1:7" ht="15.75">
      <c r="A63" s="11" t="s">
        <v>61</v>
      </c>
      <c r="D63" s="84">
        <v>4549289.2</v>
      </c>
      <c r="E63" s="41">
        <f t="shared" si="0"/>
        <v>0.02783850826410226</v>
      </c>
      <c r="F63" s="86">
        <v>80</v>
      </c>
      <c r="G63" s="41">
        <f t="shared" si="1"/>
        <v>0.0364963503649635</v>
      </c>
    </row>
    <row r="64" spans="1:7" ht="15.75">
      <c r="A64" s="11" t="s">
        <v>62</v>
      </c>
      <c r="D64" s="84">
        <v>6957684.95</v>
      </c>
      <c r="E64" s="44">
        <f t="shared" si="0"/>
        <v>0.04257622706852642</v>
      </c>
      <c r="F64" s="86">
        <v>107</v>
      </c>
      <c r="G64" s="41">
        <f t="shared" si="1"/>
        <v>0.04881386861313869</v>
      </c>
    </row>
    <row r="65" spans="1:7" ht="15.75">
      <c r="A65" s="16" t="s">
        <v>63</v>
      </c>
      <c r="B65" s="37"/>
      <c r="C65" s="37"/>
      <c r="D65" s="85">
        <v>6465024.41</v>
      </c>
      <c r="E65" s="46">
        <f t="shared" si="0"/>
        <v>0.03956148478435001</v>
      </c>
      <c r="F65" s="87">
        <v>94</v>
      </c>
      <c r="G65" s="46">
        <f t="shared" si="1"/>
        <v>0.04288321167883212</v>
      </c>
    </row>
    <row r="66" spans="1:7" ht="15.75">
      <c r="A66" s="73" t="s">
        <v>64</v>
      </c>
      <c r="B66" s="37"/>
      <c r="C66" s="37"/>
      <c r="D66" s="45">
        <f>SUM(D55:D65)</f>
        <v>163417132.73</v>
      </c>
      <c r="E66" s="46">
        <f>SUM(E55:E65)</f>
        <v>1</v>
      </c>
      <c r="F66" s="48">
        <f>SUM(F55:F65)</f>
        <v>2192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38810</v>
      </c>
      <c r="E4" s="3" t="s">
        <v>69</v>
      </c>
    </row>
    <row r="5" spans="1:8" ht="15.75">
      <c r="A5" s="2" t="s">
        <v>15</v>
      </c>
      <c r="D5" s="75">
        <v>0.0458688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134915755</v>
      </c>
      <c r="E9" s="78">
        <v>4501394</v>
      </c>
      <c r="F9" s="78">
        <v>613216.8</v>
      </c>
      <c r="G9" s="10">
        <f>+D9/276000000</f>
        <v>0.48882519927536233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116630.4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158915755</v>
      </c>
      <c r="E11" s="19">
        <f>SUM(E9:E10)</f>
        <v>4501394</v>
      </c>
      <c r="F11" s="19">
        <f>SUM(F9:F10)</f>
        <v>729847.2000000001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239</v>
      </c>
      <c r="F17" s="22">
        <v>7500000</v>
      </c>
      <c r="G17" s="5"/>
    </row>
    <row r="18" spans="1:6" ht="15.75">
      <c r="A18" s="88" t="s">
        <v>240</v>
      </c>
      <c r="F18" s="22">
        <v>0</v>
      </c>
    </row>
    <row r="19" spans="1:6" ht="15.75">
      <c r="A19" s="88" t="s">
        <v>241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242</v>
      </c>
      <c r="F30" s="76">
        <v>118893</v>
      </c>
    </row>
    <row r="31" spans="1:6" ht="15.75">
      <c r="A31" s="25" t="s">
        <v>68</v>
      </c>
      <c r="F31" s="22">
        <v>0</v>
      </c>
    </row>
    <row r="32" spans="1:6" ht="15.75">
      <c r="A32" s="88" t="s">
        <v>243</v>
      </c>
      <c r="F32" s="22">
        <f>D51</f>
        <v>158915730.49999997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+'Mar 06'!E35+E36</f>
        <v>352</v>
      </c>
      <c r="F35" s="90">
        <f>+'Mar 06'!F35+F36</f>
        <v>8302950.82</v>
      </c>
    </row>
    <row r="36" spans="1:6" ht="15.75">
      <c r="A36" s="2" t="s">
        <v>7</v>
      </c>
      <c r="E36" s="89">
        <v>10</v>
      </c>
      <c r="F36" s="90">
        <v>383659.06</v>
      </c>
    </row>
    <row r="37" spans="1:6" ht="15.75">
      <c r="A37" s="2" t="s">
        <v>33</v>
      </c>
      <c r="E37" s="26">
        <f>+'Mar 06'!E37</f>
        <v>1967</v>
      </c>
      <c r="F37" s="27">
        <f>+'Mar 06'!F37</f>
        <v>174409381.88000003</v>
      </c>
    </row>
    <row r="38" spans="1:6" ht="15.75">
      <c r="A38" s="88" t="s">
        <v>244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((4555649+1074358.59-744929.13)/163417133)*12</f>
        <v>0.35871967916607617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156190127.81</v>
      </c>
      <c r="E44" s="81">
        <v>2107</v>
      </c>
      <c r="F44" s="33"/>
    </row>
    <row r="45" spans="1:6" ht="15.75">
      <c r="A45" s="34" t="s">
        <v>35</v>
      </c>
      <c r="B45" s="5"/>
      <c r="C45" s="12"/>
      <c r="D45" s="82">
        <v>472691.98</v>
      </c>
      <c r="E45" s="83">
        <v>5</v>
      </c>
      <c r="F45" s="33"/>
    </row>
    <row r="46" spans="1:6" ht="15.75">
      <c r="A46" s="34" t="s">
        <v>36</v>
      </c>
      <c r="B46" s="5"/>
      <c r="C46" s="12"/>
      <c r="D46" s="82">
        <v>3184.85</v>
      </c>
      <c r="E46" s="83">
        <v>1</v>
      </c>
      <c r="F46" s="33"/>
    </row>
    <row r="47" spans="1:6" ht="15.75">
      <c r="A47" s="11" t="s">
        <v>37</v>
      </c>
      <c r="B47" s="5"/>
      <c r="C47" s="12"/>
      <c r="D47" s="82">
        <f>861.77+5972.32+1211505.26</f>
        <v>1218339.35</v>
      </c>
      <c r="E47" s="83">
        <f>1+1+1</f>
        <v>3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1031168.26</v>
      </c>
      <c r="E50" s="83">
        <v>12</v>
      </c>
      <c r="F50" s="33"/>
    </row>
    <row r="51" spans="1:7" ht="15.75">
      <c r="A51" s="16"/>
      <c r="B51" s="37"/>
      <c r="C51" s="17"/>
      <c r="D51" s="38">
        <f>SUM(D44:D50)</f>
        <v>158915730.49999997</v>
      </c>
      <c r="E51" s="39">
        <f>SUM(E44:E50)</f>
        <v>2129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6547932.62</v>
      </c>
      <c r="E55" s="41">
        <f aca="true" t="shared" si="0" ref="E55:E65">D55/D$66</f>
        <v>0.041203804050096854</v>
      </c>
      <c r="F55" s="86">
        <v>92</v>
      </c>
      <c r="G55" s="41">
        <f aca="true" t="shared" si="1" ref="G55:G65">F55/F$66</f>
        <v>0.04321277595115078</v>
      </c>
    </row>
    <row r="56" spans="1:7" ht="15.75">
      <c r="A56" s="11" t="s">
        <v>56</v>
      </c>
      <c r="D56" s="84">
        <v>7819043.09</v>
      </c>
      <c r="E56" s="41">
        <f t="shared" si="0"/>
        <v>0.049202448778347965</v>
      </c>
      <c r="F56" s="86">
        <v>115</v>
      </c>
      <c r="G56" s="41">
        <f t="shared" si="1"/>
        <v>0.054015969938938466</v>
      </c>
    </row>
    <row r="57" spans="1:7" ht="15.75">
      <c r="A57" s="11" t="s">
        <v>66</v>
      </c>
      <c r="D57" s="84">
        <v>0</v>
      </c>
      <c r="E57" s="41">
        <f t="shared" si="0"/>
        <v>0</v>
      </c>
      <c r="F57" s="86">
        <v>0</v>
      </c>
      <c r="G57" s="41">
        <f t="shared" si="1"/>
        <v>0</v>
      </c>
    </row>
    <row r="58" spans="1:7" ht="15.75">
      <c r="A58" s="11" t="s">
        <v>57</v>
      </c>
      <c r="D58" s="84">
        <v>4129071.53</v>
      </c>
      <c r="E58" s="41">
        <f t="shared" si="0"/>
        <v>0.025982774121911106</v>
      </c>
      <c r="F58" s="86">
        <v>38</v>
      </c>
      <c r="G58" s="41">
        <f t="shared" si="1"/>
        <v>0.017848755284170972</v>
      </c>
    </row>
    <row r="59" spans="1:7" ht="15.75">
      <c r="A59" s="11" t="s">
        <v>58</v>
      </c>
      <c r="D59" s="84">
        <v>11919596.53</v>
      </c>
      <c r="E59" s="41">
        <f t="shared" si="0"/>
        <v>0.07500576873351124</v>
      </c>
      <c r="F59" s="86">
        <v>151</v>
      </c>
      <c r="G59" s="41">
        <f t="shared" si="1"/>
        <v>0.07092531705025834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46749074.01+46729803.46</f>
        <v>93478877.47</v>
      </c>
      <c r="E61" s="41">
        <f t="shared" si="0"/>
        <v>0.5882292280058455</v>
      </c>
      <c r="F61" s="86">
        <f>711+498</f>
        <v>1209</v>
      </c>
      <c r="G61" s="41">
        <f t="shared" si="1"/>
        <v>0.5678722404884923</v>
      </c>
      <c r="H61" s="43" t="str">
        <f>IF(E61&gt;80%,"ERROR"," ")</f>
        <v> </v>
      </c>
    </row>
    <row r="62" spans="1:7" ht="15.75">
      <c r="A62" s="11" t="s">
        <v>60</v>
      </c>
      <c r="D62" s="84">
        <v>17680249.47</v>
      </c>
      <c r="E62" s="41">
        <f t="shared" si="0"/>
        <v>0.11125550261369499</v>
      </c>
      <c r="F62" s="86">
        <v>256</v>
      </c>
      <c r="G62" s="41">
        <f t="shared" si="1"/>
        <v>0.12024424612494129</v>
      </c>
    </row>
    <row r="63" spans="1:7" ht="15.75">
      <c r="A63" s="11" t="s">
        <v>61</v>
      </c>
      <c r="D63" s="84">
        <v>4264705.26</v>
      </c>
      <c r="E63" s="41">
        <f t="shared" si="0"/>
        <v>0.026836268798449754</v>
      </c>
      <c r="F63" s="86">
        <v>76</v>
      </c>
      <c r="G63" s="41">
        <f t="shared" si="1"/>
        <v>0.035697510568341945</v>
      </c>
    </row>
    <row r="64" spans="1:7" ht="15.75">
      <c r="A64" s="11" t="s">
        <v>62</v>
      </c>
      <c r="D64" s="84">
        <v>6881608.03</v>
      </c>
      <c r="E64" s="44">
        <f t="shared" si="0"/>
        <v>0.04330350436893974</v>
      </c>
      <c r="F64" s="86">
        <v>105</v>
      </c>
      <c r="G64" s="41">
        <f t="shared" si="1"/>
        <v>0.04931892907468295</v>
      </c>
    </row>
    <row r="65" spans="1:7" ht="15.75">
      <c r="A65" s="16" t="s">
        <v>63</v>
      </c>
      <c r="B65" s="37"/>
      <c r="C65" s="37"/>
      <c r="D65" s="85">
        <v>6194646.5</v>
      </c>
      <c r="E65" s="46">
        <f t="shared" si="0"/>
        <v>0.0389807005292028</v>
      </c>
      <c r="F65" s="87">
        <v>87</v>
      </c>
      <c r="G65" s="46">
        <f t="shared" si="1"/>
        <v>0.040864255519023014</v>
      </c>
    </row>
    <row r="66" spans="1:7" ht="15.75">
      <c r="A66" s="73" t="s">
        <v>64</v>
      </c>
      <c r="B66" s="37"/>
      <c r="C66" s="37"/>
      <c r="D66" s="45">
        <f>SUM(D55:D65)</f>
        <v>158915730.5</v>
      </c>
      <c r="E66" s="46">
        <f>SUM(E55:E65)</f>
        <v>1</v>
      </c>
      <c r="F66" s="48">
        <f>SUM(F55:F65)</f>
        <v>2129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0" r:id="rId2"/>
  <rowBreaks count="1" manualBreakCount="1">
    <brk id="51" max="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38839</v>
      </c>
      <c r="E4" s="3" t="s">
        <v>69</v>
      </c>
    </row>
    <row r="5" spans="1:8" ht="15.75">
      <c r="A5" s="2" t="s">
        <v>15</v>
      </c>
      <c r="D5" s="75">
        <v>0.0463188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132464599</v>
      </c>
      <c r="E9" s="78">
        <v>2451156</v>
      </c>
      <c r="F9" s="78">
        <v>522771.6</v>
      </c>
      <c r="G9" s="10">
        <f>+D9/276000000</f>
        <v>0.4799441992753623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102720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156464599</v>
      </c>
      <c r="E11" s="19">
        <f>SUM(E9:E10)</f>
        <v>2451156</v>
      </c>
      <c r="F11" s="19">
        <f>SUM(F9:F10)</f>
        <v>625491.6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245</v>
      </c>
      <c r="F17" s="22">
        <v>7500000</v>
      </c>
      <c r="G17" s="5"/>
    </row>
    <row r="18" spans="1:6" ht="15.75">
      <c r="A18" s="88" t="s">
        <v>246</v>
      </c>
      <c r="F18" s="22">
        <v>0</v>
      </c>
    </row>
    <row r="19" spans="1:6" ht="15.75">
      <c r="A19" s="88" t="s">
        <v>247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248</v>
      </c>
      <c r="F30" s="76">
        <v>139664</v>
      </c>
    </row>
    <row r="31" spans="1:6" ht="15.75">
      <c r="A31" s="25" t="s">
        <v>68</v>
      </c>
      <c r="F31" s="22">
        <v>0</v>
      </c>
    </row>
    <row r="32" spans="1:6" ht="15.75">
      <c r="A32" s="88" t="s">
        <v>249</v>
      </c>
      <c r="F32" s="22">
        <f>D51</f>
        <v>156464591.11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+'Apr 06'!E35+E36</f>
        <v>354</v>
      </c>
      <c r="F35" s="90">
        <f>+'Apr 06'!F35+F36</f>
        <v>8303710.82</v>
      </c>
    </row>
    <row r="36" spans="1:6" ht="15.75">
      <c r="A36" s="2" t="s">
        <v>7</v>
      </c>
      <c r="E36" s="89">
        <v>2</v>
      </c>
      <c r="F36" s="90">
        <v>760</v>
      </c>
    </row>
    <row r="37" spans="1:6" ht="15.75">
      <c r="A37" s="2" t="s">
        <v>33</v>
      </c>
      <c r="E37" s="26">
        <f>+'Apr 06'!E37</f>
        <v>1967</v>
      </c>
      <c r="F37" s="27">
        <f>+'Apr 06'!F37</f>
        <v>174409381.88000003</v>
      </c>
    </row>
    <row r="38" spans="1:6" ht="15.75">
      <c r="A38" s="88" t="s">
        <v>250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((2423200.21+713319.35-684595.47)/158915731)*12</f>
        <v>0.18514900252385963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152561342.62</v>
      </c>
      <c r="E44" s="81">
        <v>2069</v>
      </c>
      <c r="F44" s="33"/>
    </row>
    <row r="45" spans="1:6" ht="15.75">
      <c r="A45" s="34" t="s">
        <v>35</v>
      </c>
      <c r="B45" s="5"/>
      <c r="C45" s="12"/>
      <c r="D45" s="82">
        <v>1619590.41</v>
      </c>
      <c r="E45" s="83">
        <v>12</v>
      </c>
      <c r="F45" s="33"/>
    </row>
    <row r="46" spans="1:6" ht="15.75">
      <c r="A46" s="34" t="s">
        <v>36</v>
      </c>
      <c r="B46" s="5"/>
      <c r="C46" s="12"/>
      <c r="D46" s="82">
        <v>38489.68</v>
      </c>
      <c r="E46" s="83">
        <v>1</v>
      </c>
      <c r="F46" s="33"/>
    </row>
    <row r="47" spans="1:6" ht="15.75">
      <c r="A47" s="11" t="s">
        <v>37</v>
      </c>
      <c r="B47" s="5"/>
      <c r="C47" s="12"/>
      <c r="D47" s="82">
        <v>1212072.8</v>
      </c>
      <c r="E47" s="83">
        <v>1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1032877.35</v>
      </c>
      <c r="E50" s="83">
        <v>12</v>
      </c>
      <c r="F50" s="33"/>
    </row>
    <row r="51" spans="1:7" ht="15.75">
      <c r="A51" s="16"/>
      <c r="B51" s="37"/>
      <c r="C51" s="17"/>
      <c r="D51" s="38">
        <f>SUM(D44:D50)</f>
        <v>156464591.11</v>
      </c>
      <c r="E51" s="39">
        <f>SUM(E44:E50)</f>
        <v>2096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6463227.6</v>
      </c>
      <c r="E55" s="41">
        <f aca="true" t="shared" si="0" ref="E55:E65">D55/D$66</f>
        <v>0.04130792503369742</v>
      </c>
      <c r="F55" s="86">
        <v>92</v>
      </c>
      <c r="G55" s="41">
        <f aca="true" t="shared" si="1" ref="G55:G65">F55/F$66</f>
        <v>0.04389312977099236</v>
      </c>
    </row>
    <row r="56" spans="1:7" ht="15.75">
      <c r="A56" s="11" t="s">
        <v>56</v>
      </c>
      <c r="D56" s="84">
        <v>7796930.45</v>
      </c>
      <c r="E56" s="41">
        <f t="shared" si="0"/>
        <v>0.049831916567745924</v>
      </c>
      <c r="F56" s="86">
        <v>114</v>
      </c>
      <c r="G56" s="41">
        <f t="shared" si="1"/>
        <v>0.05438931297709924</v>
      </c>
    </row>
    <row r="57" spans="1:7" ht="15.75">
      <c r="A57" s="11" t="s">
        <v>66</v>
      </c>
      <c r="D57" s="84">
        <v>0</v>
      </c>
      <c r="E57" s="41">
        <f t="shared" si="0"/>
        <v>0</v>
      </c>
      <c r="F57" s="86">
        <v>0</v>
      </c>
      <c r="G57" s="41">
        <f t="shared" si="1"/>
        <v>0</v>
      </c>
    </row>
    <row r="58" spans="1:7" ht="15.75">
      <c r="A58" s="11" t="s">
        <v>57</v>
      </c>
      <c r="D58" s="84">
        <v>4021284.24</v>
      </c>
      <c r="E58" s="41">
        <f t="shared" si="0"/>
        <v>0.02570092192407226</v>
      </c>
      <c r="F58" s="86">
        <v>37</v>
      </c>
      <c r="G58" s="41">
        <f t="shared" si="1"/>
        <v>0.017652671755725192</v>
      </c>
    </row>
    <row r="59" spans="1:7" ht="15.75">
      <c r="A59" s="11" t="s">
        <v>58</v>
      </c>
      <c r="D59" s="84">
        <v>11740573.67</v>
      </c>
      <c r="E59" s="41">
        <f t="shared" si="0"/>
        <v>0.07503661746539173</v>
      </c>
      <c r="F59" s="86">
        <v>149</v>
      </c>
      <c r="G59" s="41">
        <f t="shared" si="1"/>
        <v>0.07108778625954199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46405473.98+45778596.47</f>
        <v>92184070.44999999</v>
      </c>
      <c r="E61" s="41">
        <f t="shared" si="0"/>
        <v>0.589168896272457</v>
      </c>
      <c r="F61" s="86">
        <f>489+703</f>
        <v>1192</v>
      </c>
      <c r="G61" s="41">
        <f t="shared" si="1"/>
        <v>0.5687022900763359</v>
      </c>
      <c r="H61" s="43" t="str">
        <f>IF(E61&gt;80%,"ERROR"," ")</f>
        <v> </v>
      </c>
    </row>
    <row r="62" spans="1:7" ht="15.75">
      <c r="A62" s="11" t="s">
        <v>60</v>
      </c>
      <c r="D62" s="84">
        <v>17395693.89</v>
      </c>
      <c r="E62" s="41">
        <f t="shared" si="0"/>
        <v>0.1111797485078923</v>
      </c>
      <c r="F62" s="86">
        <v>251</v>
      </c>
      <c r="G62" s="41">
        <f t="shared" si="1"/>
        <v>0.11975190839694656</v>
      </c>
    </row>
    <row r="63" spans="1:7" ht="15.75">
      <c r="A63" s="11" t="s">
        <v>61</v>
      </c>
      <c r="D63" s="84">
        <v>4095438.5</v>
      </c>
      <c r="E63" s="41">
        <f t="shared" si="0"/>
        <v>0.02617485829187235</v>
      </c>
      <c r="F63" s="86">
        <v>72</v>
      </c>
      <c r="G63" s="41">
        <f t="shared" si="1"/>
        <v>0.03435114503816794</v>
      </c>
    </row>
    <row r="64" spans="1:7" ht="15.75">
      <c r="A64" s="11" t="s">
        <v>62</v>
      </c>
      <c r="D64" s="84">
        <v>6627355.42</v>
      </c>
      <c r="E64" s="44">
        <f t="shared" si="0"/>
        <v>0.04235690243385956</v>
      </c>
      <c r="F64" s="86">
        <v>103</v>
      </c>
      <c r="G64" s="41">
        <f t="shared" si="1"/>
        <v>0.0491412213740458</v>
      </c>
    </row>
    <row r="65" spans="1:7" ht="15.75">
      <c r="A65" s="16" t="s">
        <v>63</v>
      </c>
      <c r="B65" s="37"/>
      <c r="C65" s="37"/>
      <c r="D65" s="85">
        <v>6140016.89</v>
      </c>
      <c r="E65" s="46">
        <f t="shared" si="0"/>
        <v>0.03924221350301141</v>
      </c>
      <c r="F65" s="87">
        <v>86</v>
      </c>
      <c r="G65" s="46">
        <f t="shared" si="1"/>
        <v>0.04103053435114504</v>
      </c>
    </row>
    <row r="66" spans="1:7" ht="15.75">
      <c r="A66" s="73" t="s">
        <v>64</v>
      </c>
      <c r="B66" s="37"/>
      <c r="C66" s="37"/>
      <c r="D66" s="45">
        <f>SUM(D55:D65)</f>
        <v>156464591.10999998</v>
      </c>
      <c r="E66" s="46">
        <f>SUM(E55:E65)</f>
        <v>1</v>
      </c>
      <c r="F66" s="48">
        <f>SUM(F55:F65)</f>
        <v>2096</v>
      </c>
      <c r="G66" s="46">
        <f>SUM(G55:G65)</f>
        <v>1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38869</v>
      </c>
      <c r="E4" s="3" t="s">
        <v>69</v>
      </c>
    </row>
    <row r="5" spans="1:8" ht="15.75">
      <c r="A5" s="2" t="s">
        <v>15</v>
      </c>
      <c r="D5" s="75">
        <v>0.0466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130545460.8</v>
      </c>
      <c r="E9" s="78">
        <v>1919138</v>
      </c>
      <c r="F9" s="78">
        <v>535881.6</v>
      </c>
      <c r="G9" s="10">
        <f>+D9/276000000</f>
        <v>0.4729908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79">
        <v>107150.4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154545460.8</v>
      </c>
      <c r="E11" s="19">
        <f>SUM(E9:E10)</f>
        <v>1919138</v>
      </c>
      <c r="F11" s="19">
        <f>SUM(F9:F10)</f>
        <v>643032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88" t="s">
        <v>251</v>
      </c>
      <c r="F17" s="22">
        <v>7500000</v>
      </c>
      <c r="G17" s="5"/>
    </row>
    <row r="18" spans="1:6" ht="15.75">
      <c r="A18" s="88" t="s">
        <v>252</v>
      </c>
      <c r="F18" s="22">
        <v>0</v>
      </c>
    </row>
    <row r="19" spans="1:6" ht="15.75">
      <c r="A19" s="88" t="s">
        <v>253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254</v>
      </c>
      <c r="F30" s="76">
        <v>112604</v>
      </c>
    </row>
    <row r="31" spans="1:6" ht="15.75">
      <c r="A31" s="25" t="s">
        <v>68</v>
      </c>
      <c r="F31" s="22">
        <v>0</v>
      </c>
    </row>
    <row r="32" spans="1:6" ht="15.75">
      <c r="A32" s="88" t="s">
        <v>255</v>
      </c>
      <c r="F32" s="22">
        <f>D51</f>
        <v>154545435.36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+'May 06'!E35+E36</f>
        <v>362</v>
      </c>
      <c r="F35" s="90">
        <f>+'May 06'!F35+F36</f>
        <v>8548685.67</v>
      </c>
    </row>
    <row r="36" spans="1:6" ht="15.75">
      <c r="A36" s="2" t="s">
        <v>7</v>
      </c>
      <c r="E36" s="89">
        <v>8</v>
      </c>
      <c r="F36" s="90">
        <v>244974.85</v>
      </c>
    </row>
    <row r="37" spans="1:6" ht="15.75">
      <c r="A37" s="2" t="s">
        <v>33</v>
      </c>
      <c r="E37" s="26">
        <f>+'May 06'!E37</f>
        <v>1967</v>
      </c>
      <c r="F37" s="27">
        <f>+'May 06'!F37</f>
        <v>174409381.88000003</v>
      </c>
    </row>
    <row r="38" spans="1:6" ht="15.75">
      <c r="A38" s="88" t="s">
        <v>256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f>((1735634.36+1252341.81-823837.48)/156464591)*12</f>
        <v>0.1659779002649871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151873582.28</v>
      </c>
      <c r="E44" s="81">
        <v>2047</v>
      </c>
      <c r="F44" s="33"/>
    </row>
    <row r="45" spans="1:6" ht="15.75">
      <c r="A45" s="34" t="s">
        <v>35</v>
      </c>
      <c r="B45" s="5"/>
      <c r="C45" s="12"/>
      <c r="D45" s="82">
        <v>775749.75</v>
      </c>
      <c r="E45" s="83">
        <v>7</v>
      </c>
      <c r="F45" s="33"/>
    </row>
    <row r="46" spans="1:6" ht="15.75">
      <c r="A46" s="34" t="s">
        <v>36</v>
      </c>
      <c r="B46" s="5"/>
      <c r="C46" s="12"/>
      <c r="D46" s="82">
        <v>858589.34</v>
      </c>
      <c r="E46" s="83">
        <v>5</v>
      </c>
      <c r="F46" s="33"/>
    </row>
    <row r="47" spans="1:6" ht="15.75">
      <c r="A47" s="11" t="s">
        <v>37</v>
      </c>
      <c r="B47" s="5"/>
      <c r="C47" s="12"/>
      <c r="D47" s="82">
        <v>0</v>
      </c>
      <c r="E47" s="83">
        <v>0</v>
      </c>
      <c r="F47" s="33"/>
    </row>
    <row r="48" spans="1:6" ht="15.75">
      <c r="A48" s="11" t="s">
        <v>27</v>
      </c>
      <c r="B48" s="5"/>
      <c r="C48" s="12"/>
      <c r="D48" s="82">
        <v>218.25</v>
      </c>
      <c r="E48" s="83">
        <v>1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1037295.74</v>
      </c>
      <c r="E50" s="83">
        <v>12</v>
      </c>
      <c r="F50" s="33"/>
    </row>
    <row r="51" spans="1:7" ht="15.75">
      <c r="A51" s="16"/>
      <c r="B51" s="37"/>
      <c r="C51" s="17"/>
      <c r="D51" s="38">
        <f>SUM(D44:D50)</f>
        <v>154545435.36</v>
      </c>
      <c r="E51" s="39">
        <f>SUM(E44:E50)</f>
        <v>2072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6415880.65</v>
      </c>
      <c r="E55" s="41">
        <f aca="true" t="shared" si="0" ref="E55:E65">D55/D$66</f>
        <v>0.04151452700660341</v>
      </c>
      <c r="F55" s="86">
        <v>91</v>
      </c>
      <c r="G55" s="41">
        <f aca="true" t="shared" si="1" ref="G55:G65">F55/F$66</f>
        <v>0.04391891891891892</v>
      </c>
    </row>
    <row r="56" spans="1:7" ht="15.75">
      <c r="A56" s="11" t="s">
        <v>56</v>
      </c>
      <c r="D56" s="84">
        <v>7754495.74</v>
      </c>
      <c r="E56" s="41">
        <f t="shared" si="0"/>
        <v>0.05017615513480929</v>
      </c>
      <c r="F56" s="86">
        <v>111</v>
      </c>
      <c r="G56" s="41">
        <f t="shared" si="1"/>
        <v>0.05357142857142857</v>
      </c>
    </row>
    <row r="57" spans="1:7" ht="15.75">
      <c r="A57" s="11" t="s">
        <v>66</v>
      </c>
      <c r="D57" s="84">
        <v>0</v>
      </c>
      <c r="E57" s="41">
        <f t="shared" si="0"/>
        <v>0</v>
      </c>
      <c r="F57" s="86">
        <v>0</v>
      </c>
      <c r="G57" s="41">
        <f t="shared" si="1"/>
        <v>0</v>
      </c>
    </row>
    <row r="58" spans="1:7" ht="15.75">
      <c r="A58" s="11" t="s">
        <v>57</v>
      </c>
      <c r="D58" s="84">
        <v>3887058.96</v>
      </c>
      <c r="E58" s="41">
        <f t="shared" si="0"/>
        <v>0.025151561098814976</v>
      </c>
      <c r="F58" s="86">
        <v>37</v>
      </c>
      <c r="G58" s="41">
        <f t="shared" si="1"/>
        <v>0.017857142857142856</v>
      </c>
    </row>
    <row r="59" spans="1:7" ht="15.75">
      <c r="A59" s="11" t="s">
        <v>58</v>
      </c>
      <c r="D59" s="84">
        <v>11603602.44</v>
      </c>
      <c r="E59" s="41">
        <f t="shared" si="0"/>
        <v>0.07508214275607966</v>
      </c>
      <c r="F59" s="86">
        <v>149</v>
      </c>
      <c r="G59" s="41">
        <f t="shared" si="1"/>
        <v>0.0719111969111969</v>
      </c>
    </row>
    <row r="60" spans="1:7" ht="15.75">
      <c r="A60" s="11" t="s">
        <v>190</v>
      </c>
      <c r="D60" s="84">
        <v>0</v>
      </c>
      <c r="E60" s="41">
        <f t="shared" si="0"/>
        <v>0</v>
      </c>
      <c r="F60" s="86">
        <v>0</v>
      </c>
      <c r="G60" s="41">
        <f t="shared" si="1"/>
        <v>0</v>
      </c>
    </row>
    <row r="61" spans="1:8" ht="15.75">
      <c r="A61" s="11" t="s">
        <v>59</v>
      </c>
      <c r="D61" s="84">
        <f>46027652.58+45199191.22</f>
        <v>91226843.8</v>
      </c>
      <c r="E61" s="41">
        <f t="shared" si="0"/>
        <v>0.5902914155147649</v>
      </c>
      <c r="F61" s="86">
        <f>696+482</f>
        <v>1178</v>
      </c>
      <c r="G61" s="41">
        <f t="shared" si="1"/>
        <v>0.5685328185328186</v>
      </c>
      <c r="H61" s="43" t="str">
        <f>IF(E61&gt;80%,"ERROR"," ")</f>
        <v> </v>
      </c>
    </row>
    <row r="62" spans="1:7" ht="15.75">
      <c r="A62" s="11" t="s">
        <v>60</v>
      </c>
      <c r="D62" s="84">
        <v>17112939.32</v>
      </c>
      <c r="E62" s="41">
        <f t="shared" si="0"/>
        <v>0.11073079758154561</v>
      </c>
      <c r="F62" s="86">
        <v>248</v>
      </c>
      <c r="G62" s="41">
        <f t="shared" si="1"/>
        <v>0.11969111969111969</v>
      </c>
    </row>
    <row r="63" spans="1:7" ht="15.75">
      <c r="A63" s="11" t="s">
        <v>61</v>
      </c>
      <c r="D63" s="84">
        <v>3977922.81</v>
      </c>
      <c r="E63" s="41">
        <f t="shared" si="0"/>
        <v>0.025739503730626397</v>
      </c>
      <c r="F63" s="86">
        <v>71</v>
      </c>
      <c r="G63" s="41">
        <f t="shared" si="1"/>
        <v>0.03426640926640927</v>
      </c>
    </row>
    <row r="64" spans="1:7" ht="15.75">
      <c r="A64" s="11" t="s">
        <v>62</v>
      </c>
      <c r="D64" s="84">
        <v>6538533.2</v>
      </c>
      <c r="E64" s="44">
        <f t="shared" si="0"/>
        <v>0.042308161252184916</v>
      </c>
      <c r="F64" s="86">
        <v>101</v>
      </c>
      <c r="G64" s="41">
        <f t="shared" si="1"/>
        <v>0.048745173745173745</v>
      </c>
    </row>
    <row r="65" spans="1:7" ht="15.75">
      <c r="A65" s="16" t="s">
        <v>63</v>
      </c>
      <c r="B65" s="37"/>
      <c r="C65" s="37"/>
      <c r="D65" s="85">
        <v>6028158.44</v>
      </c>
      <c r="E65" s="46">
        <f t="shared" si="0"/>
        <v>0.03900573592457089</v>
      </c>
      <c r="F65" s="87">
        <v>86</v>
      </c>
      <c r="G65" s="46">
        <f t="shared" si="1"/>
        <v>0.041505791505791506</v>
      </c>
    </row>
    <row r="66" spans="1:7" ht="15.75">
      <c r="A66" s="73" t="s">
        <v>64</v>
      </c>
      <c r="B66" s="37"/>
      <c r="C66" s="37"/>
      <c r="D66" s="45">
        <f>SUM(D55:D65)</f>
        <v>154545435.35999998</v>
      </c>
      <c r="E66" s="46">
        <f>SUM(E55:E65)</f>
        <v>1</v>
      </c>
      <c r="F66" s="48">
        <f>SUM(F55:F65)</f>
        <v>2072</v>
      </c>
      <c r="G66" s="46">
        <f>SUM(G55:G65)</f>
        <v>0.9999999999999999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38901</v>
      </c>
      <c r="E4" s="3" t="s">
        <v>69</v>
      </c>
    </row>
    <row r="5" spans="1:8" ht="15.75">
      <c r="A5" s="2" t="s">
        <v>15</v>
      </c>
      <c r="D5" s="75">
        <v>0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78">
        <v>0</v>
      </c>
      <c r="E9" s="78">
        <v>130545460.8</v>
      </c>
      <c r="F9" s="78">
        <v>566545.2</v>
      </c>
      <c r="G9" s="10">
        <f>+D9/276000000</f>
        <v>0</v>
      </c>
      <c r="H9" s="5"/>
    </row>
    <row r="10" spans="1:8" ht="15.75">
      <c r="A10" s="11" t="s">
        <v>5</v>
      </c>
      <c r="B10" s="12"/>
      <c r="C10" s="13">
        <v>80</v>
      </c>
      <c r="D10" s="14">
        <v>0</v>
      </c>
      <c r="E10" s="14">
        <v>24000000</v>
      </c>
      <c r="F10" s="79">
        <v>114883.2</v>
      </c>
      <c r="G10" s="15">
        <f>+D10/24000000</f>
        <v>0</v>
      </c>
      <c r="H10" s="5"/>
    </row>
    <row r="11" spans="1:8" ht="15.75">
      <c r="A11" s="16"/>
      <c r="B11" s="17"/>
      <c r="C11" s="17"/>
      <c r="D11" s="18">
        <f>SUM(D9:D10)</f>
        <v>0</v>
      </c>
      <c r="E11" s="19">
        <f>SUM(E9:E10)</f>
        <v>154545460.8</v>
      </c>
      <c r="F11" s="19">
        <f>SUM(F9:F10)</f>
        <v>681428.3999999999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15000000</v>
      </c>
    </row>
    <row r="15" spans="1:6" ht="15.75">
      <c r="A15" s="2" t="s">
        <v>45</v>
      </c>
      <c r="F15" s="22">
        <v>-15000000</v>
      </c>
    </row>
    <row r="16" ht="15.75">
      <c r="F16" s="22"/>
    </row>
    <row r="17" spans="1:7" ht="15.75">
      <c r="A17" s="88" t="s">
        <v>257</v>
      </c>
      <c r="F17" s="91">
        <v>7500000</v>
      </c>
      <c r="G17" s="5"/>
    </row>
    <row r="18" spans="1:6" ht="15.75">
      <c r="A18" s="88" t="s">
        <v>258</v>
      </c>
      <c r="F18" s="91">
        <v>-7500000</v>
      </c>
    </row>
    <row r="19" spans="1:6" ht="15.75">
      <c r="A19" s="88" t="s">
        <v>259</v>
      </c>
      <c r="F19" s="91">
        <v>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6" ht="15.75">
      <c r="A23" s="2" t="s">
        <v>48</v>
      </c>
      <c r="F23" s="22">
        <v>0</v>
      </c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88" t="s">
        <v>260</v>
      </c>
      <c r="F30" s="76">
        <v>71927</v>
      </c>
    </row>
    <row r="31" spans="1:6" ht="15.75">
      <c r="A31" s="25" t="s">
        <v>68</v>
      </c>
      <c r="F31" s="22">
        <v>0</v>
      </c>
    </row>
    <row r="32" spans="1:6" ht="15.75">
      <c r="A32" s="88" t="s">
        <v>261</v>
      </c>
      <c r="F32" s="22">
        <f>D51</f>
        <v>0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89">
        <f>+'Jun 06'!E35+E36</f>
        <v>376</v>
      </c>
      <c r="F35" s="90">
        <f>+'Jun 06'!F35+F36</f>
        <v>9009621.3</v>
      </c>
    </row>
    <row r="36" spans="1:6" ht="15.75">
      <c r="A36" s="2" t="s">
        <v>7</v>
      </c>
      <c r="E36" s="89">
        <v>14</v>
      </c>
      <c r="F36" s="90">
        <v>460935.63</v>
      </c>
    </row>
    <row r="37" spans="1:6" ht="15.75">
      <c r="A37" s="2" t="s">
        <v>33</v>
      </c>
      <c r="E37" s="26">
        <f>+'May 06'!E37</f>
        <v>1967</v>
      </c>
      <c r="F37" s="27">
        <f>+'Jun 06'!F37</f>
        <v>174409381.88000003</v>
      </c>
    </row>
    <row r="38" spans="1:6" ht="15.75">
      <c r="A38" s="88" t="s">
        <v>262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77">
        <v>1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80">
        <v>0</v>
      </c>
      <c r="E44" s="81">
        <v>0</v>
      </c>
      <c r="F44" s="33"/>
    </row>
    <row r="45" spans="1:6" ht="15.75">
      <c r="A45" s="34" t="s">
        <v>35</v>
      </c>
      <c r="B45" s="5"/>
      <c r="C45" s="12"/>
      <c r="D45" s="82">
        <v>0</v>
      </c>
      <c r="E45" s="83">
        <v>0</v>
      </c>
      <c r="F45" s="33"/>
    </row>
    <row r="46" spans="1:6" ht="15.75">
      <c r="A46" s="34" t="s">
        <v>36</v>
      </c>
      <c r="B46" s="5"/>
      <c r="C46" s="12"/>
      <c r="D46" s="82">
        <v>0</v>
      </c>
      <c r="E46" s="83">
        <v>0</v>
      </c>
      <c r="F46" s="33"/>
    </row>
    <row r="47" spans="1:6" ht="15.75">
      <c r="A47" s="11" t="s">
        <v>37</v>
      </c>
      <c r="B47" s="5"/>
      <c r="C47" s="12"/>
      <c r="D47" s="82">
        <v>0</v>
      </c>
      <c r="E47" s="83">
        <v>0</v>
      </c>
      <c r="F47" s="33"/>
    </row>
    <row r="48" spans="1:6" ht="15.75">
      <c r="A48" s="11" t="s">
        <v>27</v>
      </c>
      <c r="B48" s="5"/>
      <c r="C48" s="12"/>
      <c r="D48" s="82">
        <v>0</v>
      </c>
      <c r="E48" s="83">
        <v>0</v>
      </c>
      <c r="F48" s="33" t="s">
        <v>67</v>
      </c>
    </row>
    <row r="49" spans="1:6" ht="15.75">
      <c r="A49" s="11" t="s">
        <v>38</v>
      </c>
      <c r="B49" s="5"/>
      <c r="C49" s="12"/>
      <c r="D49" s="82">
        <v>0</v>
      </c>
      <c r="E49" s="83">
        <v>0</v>
      </c>
      <c r="F49" s="33"/>
    </row>
    <row r="50" spans="1:6" ht="15.75">
      <c r="A50" s="11" t="s">
        <v>183</v>
      </c>
      <c r="B50" s="5"/>
      <c r="C50" s="12"/>
      <c r="D50" s="82">
        <v>0</v>
      </c>
      <c r="E50" s="83">
        <v>0</v>
      </c>
      <c r="F50" s="33"/>
    </row>
    <row r="51" spans="1:7" ht="15.75">
      <c r="A51" s="16"/>
      <c r="B51" s="37"/>
      <c r="C51" s="17"/>
      <c r="D51" s="38">
        <f>SUM(D44:D50)</f>
        <v>0</v>
      </c>
      <c r="E51" s="39">
        <f>SUM(E44:E50)</f>
        <v>0</v>
      </c>
      <c r="F51" s="33"/>
      <c r="G51" s="22"/>
    </row>
    <row r="52" ht="15.75">
      <c r="F52" s="22"/>
    </row>
    <row r="53" spans="1:6" ht="15.75">
      <c r="A53" s="2" t="s">
        <v>51</v>
      </c>
      <c r="F53" s="22"/>
    </row>
    <row r="54" spans="1:7" s="62" customFormat="1" ht="47.25">
      <c r="A54" s="67" t="s">
        <v>52</v>
      </c>
      <c r="B54" s="68"/>
      <c r="C54" s="68"/>
      <c r="D54" s="69" t="s">
        <v>9</v>
      </c>
      <c r="E54" s="70" t="s">
        <v>53</v>
      </c>
      <c r="F54" s="71" t="s">
        <v>10</v>
      </c>
      <c r="G54" s="72" t="s">
        <v>54</v>
      </c>
    </row>
    <row r="55" spans="1:7" ht="15.75">
      <c r="A55" s="11" t="s">
        <v>55</v>
      </c>
      <c r="D55" s="84">
        <v>0</v>
      </c>
      <c r="E55" s="41">
        <v>0</v>
      </c>
      <c r="F55" s="86">
        <v>0</v>
      </c>
      <c r="G55" s="41">
        <v>0</v>
      </c>
    </row>
    <row r="56" spans="1:7" ht="15.75">
      <c r="A56" s="11" t="s">
        <v>56</v>
      </c>
      <c r="D56" s="84">
        <v>0</v>
      </c>
      <c r="E56" s="41">
        <v>0</v>
      </c>
      <c r="F56" s="86">
        <v>0</v>
      </c>
      <c r="G56" s="41">
        <v>0</v>
      </c>
    </row>
    <row r="57" spans="1:7" ht="15.75">
      <c r="A57" s="11" t="s">
        <v>66</v>
      </c>
      <c r="D57" s="84">
        <v>0</v>
      </c>
      <c r="E57" s="41">
        <v>0</v>
      </c>
      <c r="F57" s="86">
        <v>0</v>
      </c>
      <c r="G57" s="41">
        <v>0</v>
      </c>
    </row>
    <row r="58" spans="1:7" ht="15.75">
      <c r="A58" s="11" t="s">
        <v>57</v>
      </c>
      <c r="D58" s="84">
        <v>0</v>
      </c>
      <c r="E58" s="41">
        <v>0</v>
      </c>
      <c r="F58" s="86">
        <v>0</v>
      </c>
      <c r="G58" s="41">
        <v>0</v>
      </c>
    </row>
    <row r="59" spans="1:7" ht="15.75">
      <c r="A59" s="11" t="s">
        <v>58</v>
      </c>
      <c r="D59" s="84">
        <v>0</v>
      </c>
      <c r="E59" s="41">
        <v>0</v>
      </c>
      <c r="F59" s="86">
        <v>0</v>
      </c>
      <c r="G59" s="41">
        <v>0</v>
      </c>
    </row>
    <row r="60" spans="1:7" ht="15.75">
      <c r="A60" s="11" t="s">
        <v>190</v>
      </c>
      <c r="D60" s="84">
        <v>0</v>
      </c>
      <c r="E60" s="41">
        <v>0</v>
      </c>
      <c r="F60" s="86">
        <v>0</v>
      </c>
      <c r="G60" s="41">
        <v>0</v>
      </c>
    </row>
    <row r="61" spans="1:8" ht="15.75">
      <c r="A61" s="11" t="s">
        <v>59</v>
      </c>
      <c r="D61" s="84">
        <v>0</v>
      </c>
      <c r="E61" s="41">
        <v>0</v>
      </c>
      <c r="F61" s="86">
        <v>0</v>
      </c>
      <c r="G61" s="41">
        <v>0</v>
      </c>
      <c r="H61" s="43"/>
    </row>
    <row r="62" spans="1:7" ht="15.75">
      <c r="A62" s="11" t="s">
        <v>60</v>
      </c>
      <c r="D62" s="84">
        <v>0</v>
      </c>
      <c r="E62" s="41">
        <v>0</v>
      </c>
      <c r="F62" s="86">
        <v>0</v>
      </c>
      <c r="G62" s="41">
        <v>0</v>
      </c>
    </row>
    <row r="63" spans="1:7" ht="15.75">
      <c r="A63" s="11" t="s">
        <v>61</v>
      </c>
      <c r="D63" s="84">
        <v>0</v>
      </c>
      <c r="E63" s="41">
        <v>0</v>
      </c>
      <c r="F63" s="86">
        <v>0</v>
      </c>
      <c r="G63" s="41">
        <v>0</v>
      </c>
    </row>
    <row r="64" spans="1:7" ht="15.75">
      <c r="A64" s="11" t="s">
        <v>62</v>
      </c>
      <c r="D64" s="84">
        <v>0</v>
      </c>
      <c r="E64" s="44">
        <v>0</v>
      </c>
      <c r="F64" s="86">
        <v>0</v>
      </c>
      <c r="G64" s="41">
        <v>0</v>
      </c>
    </row>
    <row r="65" spans="1:7" ht="15.75">
      <c r="A65" s="16" t="s">
        <v>63</v>
      </c>
      <c r="B65" s="37"/>
      <c r="C65" s="37"/>
      <c r="D65" s="85">
        <v>0</v>
      </c>
      <c r="E65" s="46">
        <v>0</v>
      </c>
      <c r="F65" s="87">
        <v>0</v>
      </c>
      <c r="G65" s="46">
        <v>0</v>
      </c>
    </row>
    <row r="66" spans="1:7" ht="15.75">
      <c r="A66" s="73" t="s">
        <v>64</v>
      </c>
      <c r="B66" s="37"/>
      <c r="C66" s="37"/>
      <c r="D66" s="45">
        <f>SUM(D55:D65)</f>
        <v>0</v>
      </c>
      <c r="E66" s="46">
        <f>SUM(E55:E65)</f>
        <v>0</v>
      </c>
      <c r="F66" s="48">
        <f>SUM(F55:F65)</f>
        <v>0</v>
      </c>
      <c r="G66" s="46">
        <f>SUM(G55:G65)</f>
        <v>0</v>
      </c>
    </row>
    <row r="67" spans="1:7" ht="15.75">
      <c r="A67" s="49"/>
      <c r="B67" s="5"/>
      <c r="C67" s="5"/>
      <c r="D67" s="50"/>
      <c r="E67" s="51"/>
      <c r="F67" s="52"/>
      <c r="G67" s="51"/>
    </row>
    <row r="68" spans="1:6" ht="15.75">
      <c r="A68" s="25" t="s">
        <v>39</v>
      </c>
      <c r="D68" s="22"/>
      <c r="E68" s="26" t="s">
        <v>26</v>
      </c>
      <c r="F68" s="26" t="s">
        <v>19</v>
      </c>
    </row>
    <row r="69" spans="5:6" ht="15.75">
      <c r="E69" s="26"/>
      <c r="F69" s="27"/>
    </row>
    <row r="70" spans="1:6" ht="15.75">
      <c r="A70" s="23" t="s">
        <v>20</v>
      </c>
      <c r="E70" s="26">
        <v>0</v>
      </c>
      <c r="F70" s="27">
        <v>0</v>
      </c>
    </row>
    <row r="71" spans="1:6" ht="15.75">
      <c r="A71" s="25" t="s">
        <v>21</v>
      </c>
      <c r="E71" s="26">
        <v>0</v>
      </c>
      <c r="F71" s="27">
        <v>0</v>
      </c>
    </row>
    <row r="72" spans="1:6" ht="15.75">
      <c r="A72" s="2" t="s">
        <v>12</v>
      </c>
      <c r="E72" s="26">
        <v>0</v>
      </c>
      <c r="F72" s="27">
        <v>0</v>
      </c>
    </row>
    <row r="73" spans="1:6" ht="15.75">
      <c r="A73" s="25" t="s">
        <v>22</v>
      </c>
      <c r="E73" s="26"/>
      <c r="F73" s="27">
        <f>F70-F74-F71-F72</f>
        <v>0</v>
      </c>
    </row>
    <row r="74" spans="1:6" ht="15.75">
      <c r="A74" s="2" t="s">
        <v>23</v>
      </c>
      <c r="E74" s="26"/>
      <c r="F74" s="53">
        <v>0</v>
      </c>
    </row>
    <row r="75" spans="5:6" ht="15.75">
      <c r="E75" s="26"/>
      <c r="F75" s="27"/>
    </row>
    <row r="76" spans="1:6" ht="15.75">
      <c r="A76" s="2" t="s">
        <v>24</v>
      </c>
      <c r="E76" s="26"/>
      <c r="F76" s="54">
        <v>0</v>
      </c>
    </row>
    <row r="77" spans="1:6" ht="15.75">
      <c r="A77" s="2" t="s">
        <v>13</v>
      </c>
      <c r="E77" s="26"/>
      <c r="F77" s="27">
        <v>0</v>
      </c>
    </row>
    <row r="78" spans="5:6" ht="15.75">
      <c r="E78" s="26"/>
      <c r="F78" s="27"/>
    </row>
    <row r="79" spans="1:6" ht="15.75">
      <c r="A79" s="2" t="s">
        <v>25</v>
      </c>
      <c r="E79" s="26"/>
      <c r="F79" s="54">
        <v>0</v>
      </c>
    </row>
    <row r="80" spans="1:6" ht="15.75">
      <c r="A80" s="2" t="s">
        <v>40</v>
      </c>
      <c r="E80" s="26"/>
      <c r="F80" s="55">
        <v>0</v>
      </c>
    </row>
    <row r="81" spans="5:6" ht="15.75">
      <c r="E81" s="26"/>
      <c r="F81" s="27"/>
    </row>
    <row r="82" ht="15.75">
      <c r="F82" s="22"/>
    </row>
    <row r="83" ht="15.75">
      <c r="F83" s="22"/>
    </row>
    <row r="84" ht="15.75">
      <c r="F84" s="22"/>
    </row>
    <row r="85" spans="1:6" ht="15.75">
      <c r="A85" s="30" t="s">
        <v>14</v>
      </c>
      <c r="B85" s="30"/>
      <c r="C85" s="30"/>
      <c r="F85" s="22"/>
    </row>
    <row r="86" ht="15.75">
      <c r="A86" s="2" t="s">
        <v>70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37988</v>
      </c>
      <c r="E4" s="3" t="s">
        <v>69</v>
      </c>
    </row>
    <row r="5" spans="1:8" ht="15.75">
      <c r="A5" s="2" t="s">
        <v>15</v>
      </c>
      <c r="D5" s="4">
        <v>0.0389625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229582458</v>
      </c>
      <c r="E9" s="9">
        <v>4736850</v>
      </c>
      <c r="F9" s="9">
        <v>843814.8</v>
      </c>
      <c r="G9" s="10">
        <f>+D9/276000000</f>
        <v>0.8318205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97128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253582458</v>
      </c>
      <c r="E11" s="19">
        <f>SUM(E9:E10)</f>
        <v>4736850</v>
      </c>
      <c r="F11" s="19">
        <f>SUM(F9:F10)</f>
        <v>940942.8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129</v>
      </c>
      <c r="F17" s="22">
        <v>7500000</v>
      </c>
      <c r="G17" s="5"/>
    </row>
    <row r="18" spans="1:6" ht="15.75">
      <c r="A18" s="23" t="s">
        <v>130</v>
      </c>
      <c r="F18" s="22">
        <v>0</v>
      </c>
    </row>
    <row r="19" spans="1:6" ht="15.75">
      <c r="A19" s="23" t="s">
        <v>131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132</v>
      </c>
      <c r="F30" s="22">
        <v>232609.44</v>
      </c>
    </row>
    <row r="31" spans="1:6" ht="15.75">
      <c r="A31" s="25" t="s">
        <v>68</v>
      </c>
      <c r="F31" s="22">
        <v>4221.57</v>
      </c>
    </row>
    <row r="32" spans="1:6" ht="15.75">
      <c r="A32" s="23" t="s">
        <v>133</v>
      </c>
      <c r="F32" s="22">
        <f>D50</f>
        <v>251704398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v>0.2209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f>249604914-2577</f>
        <v>249602337</v>
      </c>
      <c r="E44" s="32">
        <v>3407</v>
      </c>
      <c r="F44" s="33"/>
    </row>
    <row r="45" spans="1:6" ht="15.75">
      <c r="A45" s="34" t="s">
        <v>35</v>
      </c>
      <c r="B45" s="5"/>
      <c r="C45" s="12"/>
      <c r="D45" s="35">
        <v>333797</v>
      </c>
      <c r="E45" s="36">
        <v>6</v>
      </c>
      <c r="F45" s="33"/>
    </row>
    <row r="46" spans="1:6" ht="15.75">
      <c r="A46" s="34" t="s">
        <v>36</v>
      </c>
      <c r="B46" s="5"/>
      <c r="C46" s="12"/>
      <c r="D46" s="35">
        <v>437679</v>
      </c>
      <c r="E46" s="36">
        <v>4</v>
      </c>
      <c r="F46" s="33"/>
    </row>
    <row r="47" spans="1:6" ht="15.75">
      <c r="A47" s="11" t="s">
        <v>37</v>
      </c>
      <c r="B47" s="5"/>
      <c r="C47" s="12"/>
      <c r="D47" s="35">
        <v>1114490</v>
      </c>
      <c r="E47" s="36">
        <v>7</v>
      </c>
      <c r="F47" s="33"/>
    </row>
    <row r="48" spans="1:6" ht="15.75">
      <c r="A48" s="11" t="s">
        <v>27</v>
      </c>
      <c r="B48" s="5"/>
      <c r="C48" s="12"/>
      <c r="D48" s="35">
        <v>216095</v>
      </c>
      <c r="E48" s="36">
        <v>2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251704398</v>
      </c>
      <c r="E50" s="39">
        <f>SUM(E44:E49)</f>
        <v>3426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10384546</v>
      </c>
      <c r="E54" s="41">
        <f aca="true" t="shared" si="0" ref="E54:E63">D54/D$64</f>
        <v>0.04125691121217517</v>
      </c>
      <c r="F54" s="42">
        <v>159</v>
      </c>
      <c r="G54" s="41">
        <f aca="true" t="shared" si="1" ref="G54:G63">F54/F$64</f>
        <v>0.046409807355516634</v>
      </c>
    </row>
    <row r="55" spans="1:7" ht="15.75">
      <c r="A55" s="11" t="s">
        <v>56</v>
      </c>
      <c r="D55" s="40">
        <v>9625343</v>
      </c>
      <c r="E55" s="41">
        <f t="shared" si="0"/>
        <v>0.038240662763469074</v>
      </c>
      <c r="F55" s="42">
        <v>161</v>
      </c>
      <c r="G55" s="41">
        <f t="shared" si="1"/>
        <v>0.046993578517221246</v>
      </c>
    </row>
    <row r="56" spans="1:7" ht="15.75">
      <c r="A56" s="11" t="s">
        <v>66</v>
      </c>
      <c r="D56" s="40">
        <v>74795</v>
      </c>
      <c r="E56" s="41">
        <f t="shared" si="0"/>
        <v>0.0002971541244185968</v>
      </c>
      <c r="F56" s="42">
        <v>1</v>
      </c>
      <c r="G56" s="41">
        <f t="shared" si="1"/>
        <v>0.0002918855808523059</v>
      </c>
    </row>
    <row r="57" spans="1:7" ht="15.75">
      <c r="A57" s="11" t="s">
        <v>57</v>
      </c>
      <c r="D57" s="40">
        <v>5490967</v>
      </c>
      <c r="E57" s="41">
        <f t="shared" si="0"/>
        <v>0.02181514126741639</v>
      </c>
      <c r="F57" s="42">
        <v>63</v>
      </c>
      <c r="G57" s="41">
        <f t="shared" si="1"/>
        <v>0.01838879159369527</v>
      </c>
    </row>
    <row r="58" spans="1:7" ht="15.75">
      <c r="A58" s="11" t="s">
        <v>58</v>
      </c>
      <c r="D58" s="40">
        <v>21540075</v>
      </c>
      <c r="E58" s="41">
        <f t="shared" si="0"/>
        <v>0.08557687180340806</v>
      </c>
      <c r="F58" s="42">
        <v>266</v>
      </c>
      <c r="G58" s="41">
        <f t="shared" si="1"/>
        <v>0.07764156450671336</v>
      </c>
    </row>
    <row r="59" spans="1:8" ht="15.75">
      <c r="A59" s="11" t="s">
        <v>59</v>
      </c>
      <c r="D59" s="40">
        <f>101050812+44164095-2577</f>
        <v>145212330</v>
      </c>
      <c r="E59" s="41">
        <f t="shared" si="0"/>
        <v>0.5769161411315507</v>
      </c>
      <c r="F59" s="42">
        <f>709+1158</f>
        <v>1867</v>
      </c>
      <c r="G59" s="41">
        <f t="shared" si="1"/>
        <v>0.5449503794512551</v>
      </c>
      <c r="H59" s="43" t="str">
        <f>IF(E59&gt;80%,"ERROR"," ")</f>
        <v> </v>
      </c>
    </row>
    <row r="60" spans="1:7" ht="15.75">
      <c r="A60" s="11" t="s">
        <v>60</v>
      </c>
      <c r="D60" s="40">
        <v>27706224</v>
      </c>
      <c r="E60" s="41">
        <f t="shared" si="0"/>
        <v>0.11007445328786031</v>
      </c>
      <c r="F60" s="42">
        <v>416</v>
      </c>
      <c r="G60" s="41">
        <f t="shared" si="1"/>
        <v>0.12142440163455925</v>
      </c>
    </row>
    <row r="61" spans="1:7" ht="15.75">
      <c r="A61" s="11" t="s">
        <v>61</v>
      </c>
      <c r="D61" s="40">
        <v>8691160</v>
      </c>
      <c r="E61" s="41">
        <f t="shared" si="0"/>
        <v>0.03452923377206941</v>
      </c>
      <c r="F61" s="42">
        <v>145</v>
      </c>
      <c r="G61" s="41">
        <f t="shared" si="1"/>
        <v>0.04232340922358435</v>
      </c>
    </row>
    <row r="62" spans="1:7" ht="15.75">
      <c r="A62" s="11" t="s">
        <v>62</v>
      </c>
      <c r="D62" s="40">
        <v>13042107</v>
      </c>
      <c r="E62" s="44">
        <f t="shared" si="0"/>
        <v>0.05181517328910558</v>
      </c>
      <c r="F62" s="42">
        <v>195</v>
      </c>
      <c r="G62" s="41">
        <f t="shared" si="1"/>
        <v>0.05691768826619965</v>
      </c>
    </row>
    <row r="63" spans="1:7" ht="15.75">
      <c r="A63" s="16" t="s">
        <v>63</v>
      </c>
      <c r="B63" s="37"/>
      <c r="C63" s="37"/>
      <c r="D63" s="45">
        <v>9936851</v>
      </c>
      <c r="E63" s="46">
        <f t="shared" si="0"/>
        <v>0.039478257348526745</v>
      </c>
      <c r="F63" s="47">
        <v>153</v>
      </c>
      <c r="G63" s="46">
        <f t="shared" si="1"/>
        <v>0.0446584938704028</v>
      </c>
    </row>
    <row r="64" spans="1:7" ht="15.75">
      <c r="A64" s="73" t="s">
        <v>64</v>
      </c>
      <c r="B64" s="37"/>
      <c r="C64" s="37"/>
      <c r="D64" s="45">
        <f>SUM(D54:D63)</f>
        <v>251704398</v>
      </c>
      <c r="E64" s="46">
        <f>SUM(E54:E63)</f>
        <v>0.9999999999999999</v>
      </c>
      <c r="F64" s="48">
        <f>SUM(F54:F63)</f>
        <v>3426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38019</v>
      </c>
      <c r="E4" s="3" t="s">
        <v>69</v>
      </c>
    </row>
    <row r="5" spans="1:8" ht="15.75">
      <c r="A5" s="2" t="s">
        <v>15</v>
      </c>
      <c r="D5" s="4">
        <v>0.039925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225831921.6</v>
      </c>
      <c r="E9" s="9">
        <v>3750536.4</v>
      </c>
      <c r="F9" s="9">
        <v>814034.4</v>
      </c>
      <c r="G9" s="10">
        <f>+D9/276000000</f>
        <v>0.8182316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95464.8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249831921.6</v>
      </c>
      <c r="E11" s="19">
        <f>SUM(E9:E10)</f>
        <v>3750536.4</v>
      </c>
      <c r="F11" s="19">
        <f>SUM(F9:F10)</f>
        <v>909499.2000000001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134</v>
      </c>
      <c r="F17" s="22">
        <v>7500000</v>
      </c>
      <c r="G17" s="5"/>
    </row>
    <row r="18" spans="1:6" ht="15.75">
      <c r="A18" s="23" t="s">
        <v>135</v>
      </c>
      <c r="F18" s="22">
        <v>0</v>
      </c>
    </row>
    <row r="19" spans="1:6" ht="15.75">
      <c r="A19" s="23" t="s">
        <v>136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137</v>
      </c>
      <c r="F30" s="22">
        <v>254544.17</v>
      </c>
    </row>
    <row r="31" spans="1:6" ht="15.75">
      <c r="A31" s="25" t="s">
        <v>68</v>
      </c>
      <c r="F31" s="22">
        <v>871.98</v>
      </c>
    </row>
    <row r="32" spans="1:6" ht="15.75">
      <c r="A32" s="23" t="s">
        <v>138</v>
      </c>
      <c r="F32" s="22">
        <f>D50</f>
        <v>247706840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v>0.1995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f>245102590+38738</f>
        <v>245141328</v>
      </c>
      <c r="E44" s="32">
        <v>3355</v>
      </c>
      <c r="F44" s="33"/>
    </row>
    <row r="45" spans="1:6" ht="15.75">
      <c r="A45" s="34" t="s">
        <v>35</v>
      </c>
      <c r="B45" s="5"/>
      <c r="C45" s="12"/>
      <c r="D45" s="35">
        <v>1577984</v>
      </c>
      <c r="E45" s="36">
        <v>13</v>
      </c>
      <c r="F45" s="33"/>
    </row>
    <row r="46" spans="1:6" ht="15.75">
      <c r="A46" s="34" t="s">
        <v>36</v>
      </c>
      <c r="B46" s="5"/>
      <c r="C46" s="12"/>
      <c r="D46" s="35">
        <v>101011</v>
      </c>
      <c r="E46" s="36">
        <v>2</v>
      </c>
      <c r="F46" s="33"/>
    </row>
    <row r="47" spans="1:6" ht="15.75">
      <c r="A47" s="11" t="s">
        <v>37</v>
      </c>
      <c r="B47" s="5"/>
      <c r="C47" s="12"/>
      <c r="D47" s="35">
        <f>625287+43885</f>
        <v>669172</v>
      </c>
      <c r="E47" s="36">
        <f>5+1</f>
        <v>6</v>
      </c>
      <c r="F47" s="33"/>
    </row>
    <row r="48" spans="1:6" ht="15.75">
      <c r="A48" s="11" t="s">
        <v>27</v>
      </c>
      <c r="B48" s="5"/>
      <c r="C48" s="12"/>
      <c r="D48" s="35">
        <v>217345</v>
      </c>
      <c r="E48" s="36">
        <v>2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247706840</v>
      </c>
      <c r="E50" s="39">
        <f>SUM(E44:E49)</f>
        <v>3378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10316101</v>
      </c>
      <c r="E54" s="41">
        <f aca="true" t="shared" si="0" ref="E54:E63">D54/D$64</f>
        <v>0.04164641154035149</v>
      </c>
      <c r="F54" s="42">
        <v>156</v>
      </c>
      <c r="G54" s="41">
        <f aca="true" t="shared" si="1" ref="G54:G63">F54/F$64</f>
        <v>0.046181172291296625</v>
      </c>
    </row>
    <row r="55" spans="1:7" ht="15.75">
      <c r="A55" s="11" t="s">
        <v>56</v>
      </c>
      <c r="D55" s="40">
        <v>9691036</v>
      </c>
      <c r="E55" s="41">
        <f t="shared" si="0"/>
        <v>0.03912300524281041</v>
      </c>
      <c r="F55" s="42">
        <v>161</v>
      </c>
      <c r="G55" s="41">
        <f t="shared" si="1"/>
        <v>0.04766133806986383</v>
      </c>
    </row>
    <row r="56" spans="1:7" ht="15.75">
      <c r="A56" s="11" t="s">
        <v>66</v>
      </c>
      <c r="D56" s="40">
        <v>74795</v>
      </c>
      <c r="E56" s="41">
        <f t="shared" si="0"/>
        <v>0.0003019496756730658</v>
      </c>
      <c r="F56" s="42">
        <v>1</v>
      </c>
      <c r="G56" s="41">
        <f t="shared" si="1"/>
        <v>0.0002960331557134399</v>
      </c>
    </row>
    <row r="57" spans="1:7" ht="15.75">
      <c r="A57" s="11" t="s">
        <v>57</v>
      </c>
      <c r="D57" s="40">
        <v>5435527</v>
      </c>
      <c r="E57" s="41">
        <f t="shared" si="0"/>
        <v>0.021943386787381405</v>
      </c>
      <c r="F57" s="42">
        <v>62</v>
      </c>
      <c r="G57" s="41">
        <f t="shared" si="1"/>
        <v>0.018354055654233273</v>
      </c>
    </row>
    <row r="58" spans="1:7" ht="15.75">
      <c r="A58" s="11" t="s">
        <v>58</v>
      </c>
      <c r="D58" s="40">
        <v>21434723</v>
      </c>
      <c r="E58" s="41">
        <f t="shared" si="0"/>
        <v>0.08653262461383787</v>
      </c>
      <c r="F58" s="42">
        <v>263</v>
      </c>
      <c r="G58" s="41">
        <f t="shared" si="1"/>
        <v>0.0778567199526347</v>
      </c>
    </row>
    <row r="59" spans="1:8" ht="15.75">
      <c r="A59" s="11" t="s">
        <v>59</v>
      </c>
      <c r="D59" s="40">
        <f>43716777+98940141+38740</f>
        <v>142695658</v>
      </c>
      <c r="E59" s="41">
        <f t="shared" si="0"/>
        <v>0.5760666843111801</v>
      </c>
      <c r="F59" s="42">
        <f>696+1140</f>
        <v>1836</v>
      </c>
      <c r="G59" s="41">
        <f t="shared" si="1"/>
        <v>0.5435168738898757</v>
      </c>
      <c r="H59" s="43" t="str">
        <f>IF(E59&gt;80%,"ERROR"," ")</f>
        <v> </v>
      </c>
    </row>
    <row r="60" spans="1:7" ht="15.75">
      <c r="A60" s="11" t="s">
        <v>60</v>
      </c>
      <c r="D60" s="40">
        <v>27663836</v>
      </c>
      <c r="E60" s="41">
        <f t="shared" si="0"/>
        <v>0.1116797420692945</v>
      </c>
      <c r="F60" s="42">
        <v>417</v>
      </c>
      <c r="G60" s="41">
        <f t="shared" si="1"/>
        <v>0.12344582593250444</v>
      </c>
    </row>
    <row r="61" spans="1:7" ht="15.75">
      <c r="A61" s="11" t="s">
        <v>61</v>
      </c>
      <c r="D61" s="40">
        <v>8710938</v>
      </c>
      <c r="E61" s="41">
        <f t="shared" si="0"/>
        <v>0.03516631999342448</v>
      </c>
      <c r="F61" s="42">
        <v>145</v>
      </c>
      <c r="G61" s="41">
        <f t="shared" si="1"/>
        <v>0.042924807578448784</v>
      </c>
    </row>
    <row r="62" spans="1:7" ht="15.75">
      <c r="A62" s="11" t="s">
        <v>62</v>
      </c>
      <c r="D62" s="40">
        <v>12068518</v>
      </c>
      <c r="E62" s="44">
        <f t="shared" si="0"/>
        <v>0.04872097193601921</v>
      </c>
      <c r="F62" s="42">
        <v>186</v>
      </c>
      <c r="G62" s="41">
        <f t="shared" si="1"/>
        <v>0.055062166962699825</v>
      </c>
    </row>
    <row r="63" spans="1:7" ht="15.75">
      <c r="A63" s="16" t="s">
        <v>63</v>
      </c>
      <c r="B63" s="37"/>
      <c r="C63" s="37"/>
      <c r="D63" s="45">
        <v>9615708</v>
      </c>
      <c r="E63" s="46">
        <f t="shared" si="0"/>
        <v>0.038818903830027465</v>
      </c>
      <c r="F63" s="47">
        <v>151</v>
      </c>
      <c r="G63" s="46">
        <f t="shared" si="1"/>
        <v>0.04470100651272942</v>
      </c>
    </row>
    <row r="64" spans="1:7" ht="15.75">
      <c r="A64" s="73" t="s">
        <v>64</v>
      </c>
      <c r="B64" s="37"/>
      <c r="C64" s="37"/>
      <c r="D64" s="45">
        <f>SUM(D54:D63)</f>
        <v>247706840</v>
      </c>
      <c r="E64" s="46">
        <f>SUM(E54:E63)</f>
        <v>1</v>
      </c>
      <c r="F64" s="48">
        <f>SUM(F54:F63)</f>
        <v>3378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38047</v>
      </c>
      <c r="E4" s="3" t="s">
        <v>69</v>
      </c>
    </row>
    <row r="5" spans="1:8" ht="15.75">
      <c r="A5" s="2" t="s">
        <v>15</v>
      </c>
      <c r="D5" s="4">
        <v>0.04155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222079508.4</v>
      </c>
      <c r="E9" s="9">
        <v>3752413.2</v>
      </c>
      <c r="F9" s="9">
        <v>739873.2</v>
      </c>
      <c r="G9" s="10">
        <f>+D9/276000000</f>
        <v>0.8046359000000001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87993.6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246079508.4</v>
      </c>
      <c r="E11" s="19">
        <f>SUM(E9:E10)</f>
        <v>3752413.2</v>
      </c>
      <c r="F11" s="19">
        <f>SUM(F9:F10)</f>
        <v>827866.7999999999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139</v>
      </c>
      <c r="F17" s="22">
        <v>7500000</v>
      </c>
      <c r="G17" s="5"/>
    </row>
    <row r="18" spans="1:6" ht="15.75">
      <c r="A18" s="23" t="s">
        <v>140</v>
      </c>
      <c r="F18" s="22">
        <v>0</v>
      </c>
    </row>
    <row r="19" spans="1:6" ht="15.75">
      <c r="A19" s="23" t="s">
        <v>141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142</v>
      </c>
      <c r="F30" s="22">
        <v>289394.24</v>
      </c>
    </row>
    <row r="31" spans="1:6" ht="15.75">
      <c r="A31" s="25" t="s">
        <v>68</v>
      </c>
      <c r="F31" s="22">
        <v>5296.29</v>
      </c>
    </row>
    <row r="32" spans="1:6" ht="15.75">
      <c r="A32" s="23" t="s">
        <v>143</v>
      </c>
      <c r="F32" s="22">
        <f>D50</f>
        <v>244762501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v>0.2041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f>241837147+60196</f>
        <v>241897343</v>
      </c>
      <c r="E44" s="32">
        <v>3313</v>
      </c>
      <c r="F44" s="33"/>
    </row>
    <row r="45" spans="1:6" ht="15.75">
      <c r="A45" s="34" t="s">
        <v>35</v>
      </c>
      <c r="B45" s="5"/>
      <c r="C45" s="12"/>
      <c r="D45" s="35">
        <v>1756126</v>
      </c>
      <c r="E45" s="36">
        <v>17</v>
      </c>
      <c r="F45" s="33"/>
    </row>
    <row r="46" spans="1:6" ht="15.75">
      <c r="A46" s="34" t="s">
        <v>36</v>
      </c>
      <c r="B46" s="5"/>
      <c r="C46" s="12"/>
      <c r="D46" s="35">
        <v>220373</v>
      </c>
      <c r="E46" s="36">
        <v>5</v>
      </c>
      <c r="F46" s="33"/>
    </row>
    <row r="47" spans="1:6" ht="15.75">
      <c r="A47" s="11" t="s">
        <v>37</v>
      </c>
      <c r="B47" s="5"/>
      <c r="C47" s="12"/>
      <c r="D47" s="35">
        <f>626291+115831+43766</f>
        <v>785888</v>
      </c>
      <c r="E47" s="36">
        <f>5+1+1</f>
        <v>7</v>
      </c>
      <c r="F47" s="33"/>
    </row>
    <row r="48" spans="1:6" ht="15.75">
      <c r="A48" s="11" t="s">
        <v>27</v>
      </c>
      <c r="B48" s="5"/>
      <c r="C48" s="12"/>
      <c r="D48" s="35">
        <v>102771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244762501</v>
      </c>
      <c r="E50" s="39">
        <f>SUM(E44:E49)</f>
        <v>3343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9987152</v>
      </c>
      <c r="E54" s="41">
        <f aca="true" t="shared" si="0" ref="E54:E63">D54/D$64</f>
        <v>0.04080343990274883</v>
      </c>
      <c r="F54" s="42">
        <v>151</v>
      </c>
      <c r="G54" s="41">
        <f aca="true" t="shared" si="1" ref="G54:G63">F54/F$64</f>
        <v>0.04516900987137302</v>
      </c>
    </row>
    <row r="55" spans="1:7" ht="15.75">
      <c r="A55" s="11" t="s">
        <v>56</v>
      </c>
      <c r="D55" s="40">
        <v>9604334</v>
      </c>
      <c r="E55" s="41">
        <f t="shared" si="0"/>
        <v>0.03923940130028333</v>
      </c>
      <c r="F55" s="42">
        <v>160</v>
      </c>
      <c r="G55" s="41">
        <f t="shared" si="1"/>
        <v>0.047861202512713134</v>
      </c>
    </row>
    <row r="56" spans="1:7" ht="15.75">
      <c r="A56" s="11" t="s">
        <v>66</v>
      </c>
      <c r="D56" s="40">
        <v>74795</v>
      </c>
      <c r="E56" s="41">
        <f t="shared" si="0"/>
        <v>0.0003055819404296739</v>
      </c>
      <c r="F56" s="42">
        <v>1</v>
      </c>
      <c r="G56" s="41">
        <f t="shared" si="1"/>
        <v>0.0002991325157044571</v>
      </c>
    </row>
    <row r="57" spans="1:7" ht="15.75">
      <c r="A57" s="11" t="s">
        <v>57</v>
      </c>
      <c r="D57" s="40">
        <v>5427441</v>
      </c>
      <c r="E57" s="41">
        <f t="shared" si="0"/>
        <v>0.02217431582789718</v>
      </c>
      <c r="F57" s="42">
        <v>62</v>
      </c>
      <c r="G57" s="41">
        <f t="shared" si="1"/>
        <v>0.01854621597367634</v>
      </c>
    </row>
    <row r="58" spans="1:7" ht="15.75">
      <c r="A58" s="11" t="s">
        <v>58</v>
      </c>
      <c r="D58" s="40">
        <v>21345009</v>
      </c>
      <c r="E58" s="41">
        <f t="shared" si="0"/>
        <v>0.08720702277837895</v>
      </c>
      <c r="F58" s="42">
        <v>263</v>
      </c>
      <c r="G58" s="41">
        <f t="shared" si="1"/>
        <v>0.07867185163027221</v>
      </c>
    </row>
    <row r="59" spans="1:8" ht="15.75">
      <c r="A59" s="11" t="s">
        <v>59</v>
      </c>
      <c r="D59" s="40">
        <f>43310630+97771431+60198</f>
        <v>141142259</v>
      </c>
      <c r="E59" s="41">
        <f t="shared" si="0"/>
        <v>0.5766498480091932</v>
      </c>
      <c r="F59" s="42">
        <f>685+1131</f>
        <v>1816</v>
      </c>
      <c r="G59" s="41">
        <f t="shared" si="1"/>
        <v>0.5432246485192941</v>
      </c>
      <c r="H59" s="43" t="str">
        <f>IF(E59&gt;80%,"ERROR"," ")</f>
        <v> </v>
      </c>
    </row>
    <row r="60" spans="1:7" ht="15.75">
      <c r="A60" s="11" t="s">
        <v>60</v>
      </c>
      <c r="D60" s="40">
        <v>27242732</v>
      </c>
      <c r="E60" s="41">
        <f t="shared" si="0"/>
        <v>0.11130271952892</v>
      </c>
      <c r="F60" s="42">
        <v>411</v>
      </c>
      <c r="G60" s="41">
        <f t="shared" si="1"/>
        <v>0.12294346395453186</v>
      </c>
    </row>
    <row r="61" spans="1:7" ht="15.75">
      <c r="A61" s="11" t="s">
        <v>61</v>
      </c>
      <c r="D61" s="40">
        <v>8747249</v>
      </c>
      <c r="E61" s="41">
        <f t="shared" si="0"/>
        <v>0.0357377006864299</v>
      </c>
      <c r="F61" s="42">
        <v>146</v>
      </c>
      <c r="G61" s="41">
        <f t="shared" si="1"/>
        <v>0.04367334729285073</v>
      </c>
    </row>
    <row r="62" spans="1:7" ht="15.75">
      <c r="A62" s="11" t="s">
        <v>62</v>
      </c>
      <c r="D62" s="40">
        <v>11929381</v>
      </c>
      <c r="E62" s="44">
        <f t="shared" si="0"/>
        <v>0.04873859742101589</v>
      </c>
      <c r="F62" s="42">
        <v>185</v>
      </c>
      <c r="G62" s="41">
        <f t="shared" si="1"/>
        <v>0.05533951540532456</v>
      </c>
    </row>
    <row r="63" spans="1:7" ht="15.75">
      <c r="A63" s="16" t="s">
        <v>63</v>
      </c>
      <c r="B63" s="37"/>
      <c r="C63" s="37"/>
      <c r="D63" s="45">
        <v>9262149</v>
      </c>
      <c r="E63" s="46">
        <f t="shared" si="0"/>
        <v>0.037841372604703036</v>
      </c>
      <c r="F63" s="47">
        <v>148</v>
      </c>
      <c r="G63" s="46">
        <f t="shared" si="1"/>
        <v>0.04427161232425965</v>
      </c>
    </row>
    <row r="64" spans="1:7" ht="15.75">
      <c r="A64" s="73" t="s">
        <v>64</v>
      </c>
      <c r="B64" s="37"/>
      <c r="C64" s="37"/>
      <c r="D64" s="45">
        <f>SUM(D54:D63)</f>
        <v>244762501</v>
      </c>
      <c r="E64" s="46">
        <f>SUM(E54:E63)</f>
        <v>1</v>
      </c>
      <c r="F64" s="48">
        <f>SUM(F54:F63)</f>
        <v>3343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38078</v>
      </c>
      <c r="E4" s="3" t="s">
        <v>69</v>
      </c>
    </row>
    <row r="5" spans="1:8" ht="15.75">
      <c r="A5" s="2" t="s">
        <v>15</v>
      </c>
      <c r="D5" s="4">
        <v>0.0416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217956372</v>
      </c>
      <c r="E9" s="9">
        <v>4123136</v>
      </c>
      <c r="F9" s="9">
        <v>836114.4</v>
      </c>
      <c r="G9" s="10">
        <f>+D9/276000000</f>
        <v>0.789697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100725.6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241956372</v>
      </c>
      <c r="E11" s="19">
        <f>SUM(E9:E10)</f>
        <v>4123136</v>
      </c>
      <c r="F11" s="19">
        <f>SUM(F9:F10)</f>
        <v>936840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88</v>
      </c>
      <c r="F17" s="22">
        <v>7500000</v>
      </c>
      <c r="G17" s="5"/>
    </row>
    <row r="18" spans="1:6" ht="15.75">
      <c r="A18" s="23" t="s">
        <v>89</v>
      </c>
      <c r="F18" s="22">
        <v>0</v>
      </c>
    </row>
    <row r="19" spans="1:6" ht="15.75">
      <c r="A19" s="23" t="s">
        <v>90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91</v>
      </c>
      <c r="F30" s="22">
        <v>232297</v>
      </c>
    </row>
    <row r="31" spans="1:6" ht="15.75">
      <c r="A31" s="25" t="s">
        <v>68</v>
      </c>
      <c r="F31" s="22">
        <v>3167</v>
      </c>
    </row>
    <row r="32" spans="1:6" ht="15.75">
      <c r="A32" s="23" t="s">
        <v>92</v>
      </c>
      <c r="F32" s="22">
        <f>D50</f>
        <v>239895879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((4154367+2072665-1169137)/246930652)*12</f>
        <v>0.2457967024685133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236809684</v>
      </c>
      <c r="E44" s="32">
        <v>3271</v>
      </c>
      <c r="F44" s="33"/>
    </row>
    <row r="45" spans="1:6" ht="15.75">
      <c r="A45" s="34" t="s">
        <v>35</v>
      </c>
      <c r="B45" s="5"/>
      <c r="C45" s="12"/>
      <c r="D45" s="35">
        <v>1937939</v>
      </c>
      <c r="E45" s="36">
        <v>18</v>
      </c>
      <c r="F45" s="33"/>
    </row>
    <row r="46" spans="1:6" ht="15.75">
      <c r="A46" s="34" t="s">
        <v>36</v>
      </c>
      <c r="B46" s="5"/>
      <c r="C46" s="12"/>
      <c r="D46" s="35">
        <v>312031</v>
      </c>
      <c r="E46" s="36">
        <v>3</v>
      </c>
      <c r="F46" s="33"/>
    </row>
    <row r="47" spans="1:6" ht="15.75">
      <c r="A47" s="11" t="s">
        <v>37</v>
      </c>
      <c r="B47" s="5"/>
      <c r="C47" s="12"/>
      <c r="D47" s="35">
        <f>485867+116268+130595</f>
        <v>732730</v>
      </c>
      <c r="E47" s="36">
        <v>9</v>
      </c>
      <c r="F47" s="33"/>
    </row>
    <row r="48" spans="1:6" ht="15.75">
      <c r="A48" s="11" t="s">
        <v>27</v>
      </c>
      <c r="B48" s="5"/>
      <c r="C48" s="12"/>
      <c r="D48" s="35">
        <v>103495</v>
      </c>
      <c r="E48" s="36">
        <v>1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239895879</v>
      </c>
      <c r="E50" s="39">
        <f>SUM(E44:E49)</f>
        <v>3302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9564071.34</v>
      </c>
      <c r="E54" s="41">
        <f aca="true" t="shared" si="0" ref="E54:E63">D54/D$64</f>
        <v>0.039867593313658814</v>
      </c>
      <c r="F54" s="42">
        <v>149</v>
      </c>
      <c r="G54" s="41">
        <f aca="true" t="shared" si="1" ref="G54:G63">F54/F$64</f>
        <v>0.04512416717141127</v>
      </c>
    </row>
    <row r="55" spans="1:7" ht="15.75">
      <c r="A55" s="11" t="s">
        <v>56</v>
      </c>
      <c r="D55" s="40">
        <v>11427668.43</v>
      </c>
      <c r="E55" s="41">
        <f t="shared" si="0"/>
        <v>0.04763595139500266</v>
      </c>
      <c r="F55" s="42">
        <v>190</v>
      </c>
      <c r="G55" s="41">
        <f t="shared" si="1"/>
        <v>0.05754088431253786</v>
      </c>
    </row>
    <row r="56" spans="1:7" ht="15.75">
      <c r="A56" s="11" t="s">
        <v>66</v>
      </c>
      <c r="D56" s="40">
        <v>74795.07</v>
      </c>
      <c r="E56" s="41">
        <f t="shared" si="0"/>
        <v>0.00031178138750966733</v>
      </c>
      <c r="F56" s="42">
        <v>1</v>
      </c>
      <c r="G56" s="41">
        <f t="shared" si="1"/>
        <v>0.0003028467595396729</v>
      </c>
    </row>
    <row r="57" spans="1:7" ht="15.75">
      <c r="A57" s="11" t="s">
        <v>57</v>
      </c>
      <c r="D57" s="40">
        <v>5542762.54</v>
      </c>
      <c r="E57" s="41">
        <f t="shared" si="0"/>
        <v>0.02310486767854897</v>
      </c>
      <c r="F57" s="42">
        <v>63</v>
      </c>
      <c r="G57" s="41">
        <f t="shared" si="1"/>
        <v>0.019079345850999394</v>
      </c>
    </row>
    <row r="58" spans="1:7" ht="15.75">
      <c r="A58" s="11" t="s">
        <v>58</v>
      </c>
      <c r="D58" s="40">
        <v>20581483.72</v>
      </c>
      <c r="E58" s="41">
        <f t="shared" si="0"/>
        <v>0.08579340257625574</v>
      </c>
      <c r="F58" s="42">
        <v>251</v>
      </c>
      <c r="G58" s="41">
        <f t="shared" si="1"/>
        <v>0.0760145366444579</v>
      </c>
    </row>
    <row r="59" spans="1:8" ht="15.75">
      <c r="A59" s="11" t="s">
        <v>59</v>
      </c>
      <c r="D59" s="40">
        <f>69239634.45+2409715.54+66724438.76</f>
        <v>138373788.75</v>
      </c>
      <c r="E59" s="41">
        <f t="shared" si="0"/>
        <v>0.576807694029093</v>
      </c>
      <c r="F59" s="42">
        <f>728+24+1037</f>
        <v>1789</v>
      </c>
      <c r="G59" s="41">
        <f t="shared" si="1"/>
        <v>0.5417928528164748</v>
      </c>
      <c r="H59" s="43" t="str">
        <f>IF(E59&gt;80%,"ERROR"," ")</f>
        <v> </v>
      </c>
    </row>
    <row r="60" spans="1:7" ht="15.75">
      <c r="A60" s="11" t="s">
        <v>60</v>
      </c>
      <c r="D60" s="40">
        <v>26851826.37</v>
      </c>
      <c r="E60" s="41">
        <f t="shared" si="0"/>
        <v>0.11193116983254743</v>
      </c>
      <c r="F60" s="42">
        <v>409</v>
      </c>
      <c r="G60" s="41">
        <f t="shared" si="1"/>
        <v>0.12386432465172623</v>
      </c>
    </row>
    <row r="61" spans="1:7" ht="15.75">
      <c r="A61" s="11" t="s">
        <v>61</v>
      </c>
      <c r="D61" s="40">
        <v>7309841.92</v>
      </c>
      <c r="E61" s="41">
        <f t="shared" si="0"/>
        <v>0.030470894088259166</v>
      </c>
      <c r="F61" s="42">
        <v>126</v>
      </c>
      <c r="G61" s="41">
        <f t="shared" si="1"/>
        <v>0.03815869170199879</v>
      </c>
    </row>
    <row r="62" spans="1:7" ht="15.75">
      <c r="A62" s="11" t="s">
        <v>62</v>
      </c>
      <c r="D62" s="40">
        <v>11695753.9</v>
      </c>
      <c r="E62" s="44">
        <f t="shared" si="0"/>
        <v>0.048753459003562705</v>
      </c>
      <c r="F62" s="42">
        <v>183</v>
      </c>
      <c r="G62" s="41">
        <f t="shared" si="1"/>
        <v>0.05542095699576015</v>
      </c>
    </row>
    <row r="63" spans="1:7" ht="15.75">
      <c r="A63" s="16" t="s">
        <v>63</v>
      </c>
      <c r="B63" s="37"/>
      <c r="C63" s="37"/>
      <c r="D63" s="45">
        <v>8473886.92</v>
      </c>
      <c r="E63" s="46">
        <f t="shared" si="0"/>
        <v>0.035323186695561906</v>
      </c>
      <c r="F63" s="47">
        <v>141</v>
      </c>
      <c r="G63" s="46">
        <f t="shared" si="1"/>
        <v>0.04270139309509388</v>
      </c>
    </row>
    <row r="64" spans="1:7" ht="15.75">
      <c r="A64" s="73" t="s">
        <v>64</v>
      </c>
      <c r="B64" s="37"/>
      <c r="C64" s="37"/>
      <c r="D64" s="45">
        <f>SUM(D54:D63)</f>
        <v>239895878.95999998</v>
      </c>
      <c r="E64" s="46">
        <f>SUM(E54:E63)</f>
        <v>1.0000000000000002</v>
      </c>
      <c r="F64" s="48">
        <f>SUM(F54:F63)</f>
        <v>3302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38111</v>
      </c>
      <c r="E4" s="3" t="s">
        <v>69</v>
      </c>
    </row>
    <row r="5" spans="1:8" ht="15.75">
      <c r="A5" s="2" t="s">
        <v>15</v>
      </c>
      <c r="D5" s="4">
        <v>0.0431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213293407</v>
      </c>
      <c r="E9" s="9">
        <v>4662965</v>
      </c>
      <c r="F9" s="9">
        <v>874506</v>
      </c>
      <c r="G9" s="10">
        <f>+D9/276000000</f>
        <v>0.7728021992753623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107330.4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237293407</v>
      </c>
      <c r="E11" s="19">
        <f>SUM(E9:E10)</f>
        <v>4662965</v>
      </c>
      <c r="F11" s="19">
        <f>SUM(F9:F10)</f>
        <v>981836.4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93</v>
      </c>
      <c r="F17" s="22">
        <v>7500000</v>
      </c>
      <c r="G17" s="5"/>
    </row>
    <row r="18" spans="1:6" ht="15.75">
      <c r="A18" s="23" t="s">
        <v>94</v>
      </c>
      <c r="F18" s="22">
        <v>0</v>
      </c>
    </row>
    <row r="19" spans="1:6" ht="15.75">
      <c r="A19" s="23" t="s">
        <v>95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96</v>
      </c>
      <c r="F30" s="22">
        <v>252946.12</v>
      </c>
    </row>
    <row r="31" spans="1:6" ht="15.75">
      <c r="A31" s="25" t="s">
        <v>68</v>
      </c>
      <c r="F31" s="22">
        <v>1373</v>
      </c>
    </row>
    <row r="32" spans="1:6" ht="15.75">
      <c r="A32" s="23" t="s">
        <v>97</v>
      </c>
      <c r="F32" s="22">
        <f>D50</f>
        <v>235121254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((4775090.68+1547718.16-1218313.73)/242549965)*12</f>
        <v>0.25254153848259675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231362970</v>
      </c>
      <c r="E44" s="32">
        <v>3206</v>
      </c>
      <c r="F44" s="33"/>
    </row>
    <row r="45" spans="1:6" ht="15.75">
      <c r="A45" s="34" t="s">
        <v>35</v>
      </c>
      <c r="B45" s="5"/>
      <c r="C45" s="12"/>
      <c r="D45" s="35">
        <v>2275391</v>
      </c>
      <c r="E45" s="36">
        <v>25</v>
      </c>
      <c r="F45" s="33"/>
    </row>
    <row r="46" spans="1:6" ht="15.75">
      <c r="A46" s="34" t="s">
        <v>36</v>
      </c>
      <c r="B46" s="5"/>
      <c r="C46" s="12"/>
      <c r="D46" s="35">
        <v>390695</v>
      </c>
      <c r="E46" s="36">
        <v>5</v>
      </c>
      <c r="F46" s="33"/>
    </row>
    <row r="47" spans="1:6" ht="15.75">
      <c r="A47" s="11" t="s">
        <v>37</v>
      </c>
      <c r="B47" s="5"/>
      <c r="C47" s="12"/>
      <c r="D47" s="35">
        <f>588797+264748+238653</f>
        <v>1092198</v>
      </c>
      <c r="E47" s="36">
        <v>13</v>
      </c>
      <c r="F47" s="33"/>
    </row>
    <row r="48" spans="1:6" ht="15.75">
      <c r="A48" s="11" t="s">
        <v>27</v>
      </c>
      <c r="B48" s="5"/>
      <c r="C48" s="12"/>
      <c r="D48" s="35">
        <v>0</v>
      </c>
      <c r="E48" s="36">
        <v>0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235121254</v>
      </c>
      <c r="E50" s="39">
        <f>SUM(E44:E49)</f>
        <v>3249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9359209.68</v>
      </c>
      <c r="E54" s="41">
        <f aca="true" t="shared" si="0" ref="E54:E63">D54/D$64</f>
        <v>0.03980588537339471</v>
      </c>
      <c r="F54" s="42">
        <v>146</v>
      </c>
      <c r="G54" s="41">
        <f aca="true" t="shared" si="1" ref="G54:G63">F54/F$64</f>
        <v>0.04493690366266544</v>
      </c>
    </row>
    <row r="55" spans="1:7" ht="15.75">
      <c r="A55" s="11" t="s">
        <v>56</v>
      </c>
      <c r="D55" s="40">
        <v>10957163.98</v>
      </c>
      <c r="E55" s="41">
        <f t="shared" si="0"/>
        <v>0.04660218419269024</v>
      </c>
      <c r="F55" s="42">
        <v>187</v>
      </c>
      <c r="G55" s="41">
        <f t="shared" si="1"/>
        <v>0.05755617112957833</v>
      </c>
    </row>
    <row r="56" spans="1:7" ht="15.75">
      <c r="A56" s="11" t="s">
        <v>66</v>
      </c>
      <c r="D56" s="40">
        <v>74795.1</v>
      </c>
      <c r="E56" s="41">
        <f t="shared" si="0"/>
        <v>0.00031811288334033724</v>
      </c>
      <c r="F56" s="42">
        <v>1</v>
      </c>
      <c r="G56" s="41">
        <f t="shared" si="1"/>
        <v>0.0003077870113881194</v>
      </c>
    </row>
    <row r="57" spans="1:7" ht="15.75">
      <c r="A57" s="11" t="s">
        <v>57</v>
      </c>
      <c r="D57" s="40">
        <v>5503470.3</v>
      </c>
      <c r="E57" s="41">
        <f t="shared" si="0"/>
        <v>0.023406945181046763</v>
      </c>
      <c r="F57" s="42">
        <v>65</v>
      </c>
      <c r="G57" s="41">
        <f t="shared" si="1"/>
        <v>0.020006155740227762</v>
      </c>
    </row>
    <row r="58" spans="1:7" ht="15.75">
      <c r="A58" s="11" t="s">
        <v>58</v>
      </c>
      <c r="D58" s="40">
        <v>20053954.97</v>
      </c>
      <c r="E58" s="41">
        <f t="shared" si="0"/>
        <v>0.08529197016761775</v>
      </c>
      <c r="F58" s="42">
        <v>245</v>
      </c>
      <c r="G58" s="41">
        <f t="shared" si="1"/>
        <v>0.07540781779008926</v>
      </c>
    </row>
    <row r="59" spans="1:8" ht="15.75">
      <c r="A59" s="11" t="s">
        <v>59</v>
      </c>
      <c r="D59" s="40">
        <f>65932319.6+2243588.82+67817781.99</f>
        <v>135993690.41</v>
      </c>
      <c r="E59" s="41">
        <f t="shared" si="0"/>
        <v>0.5783981166201833</v>
      </c>
      <c r="F59" s="42">
        <f>717+1018+22</f>
        <v>1757</v>
      </c>
      <c r="G59" s="41">
        <f t="shared" si="1"/>
        <v>0.5407817790089259</v>
      </c>
      <c r="H59" s="43" t="str">
        <f>IF(E59&gt;80%,"ERROR"," ")</f>
        <v> </v>
      </c>
    </row>
    <row r="60" spans="1:7" ht="15.75">
      <c r="A60" s="11" t="s">
        <v>60</v>
      </c>
      <c r="D60" s="40">
        <v>26758875.87</v>
      </c>
      <c r="E60" s="41">
        <f t="shared" si="0"/>
        <v>0.11380883450856909</v>
      </c>
      <c r="F60" s="42">
        <v>410</v>
      </c>
      <c r="G60" s="41">
        <f t="shared" si="1"/>
        <v>0.12619267466912895</v>
      </c>
    </row>
    <row r="61" spans="1:7" ht="15.75">
      <c r="A61" s="11" t="s">
        <v>61</v>
      </c>
      <c r="D61" s="40">
        <v>7081232.34</v>
      </c>
      <c r="E61" s="41">
        <f t="shared" si="0"/>
        <v>0.030117363801642663</v>
      </c>
      <c r="F61" s="42">
        <v>121</v>
      </c>
      <c r="G61" s="41">
        <f t="shared" si="1"/>
        <v>0.03724222837796245</v>
      </c>
    </row>
    <row r="62" spans="1:7" ht="15.75">
      <c r="A62" s="11" t="s">
        <v>62</v>
      </c>
      <c r="D62" s="40">
        <v>10878365.88</v>
      </c>
      <c r="E62" s="44">
        <f t="shared" si="0"/>
        <v>0.046267046051384986</v>
      </c>
      <c r="F62" s="42">
        <v>175</v>
      </c>
      <c r="G62" s="41">
        <f t="shared" si="1"/>
        <v>0.0538627269929209</v>
      </c>
    </row>
    <row r="63" spans="1:7" ht="15.75">
      <c r="A63" s="16" t="s">
        <v>63</v>
      </c>
      <c r="B63" s="37"/>
      <c r="C63" s="37"/>
      <c r="D63" s="45">
        <v>8460495.33</v>
      </c>
      <c r="E63" s="46">
        <f t="shared" si="0"/>
        <v>0.03598354122013017</v>
      </c>
      <c r="F63" s="47">
        <v>142</v>
      </c>
      <c r="G63" s="46">
        <f t="shared" si="1"/>
        <v>0.04370575561711296</v>
      </c>
    </row>
    <row r="64" spans="1:7" ht="15.75">
      <c r="A64" s="73" t="s">
        <v>64</v>
      </c>
      <c r="B64" s="37"/>
      <c r="C64" s="37"/>
      <c r="D64" s="45">
        <f>SUM(D54:D63)</f>
        <v>235121253.86</v>
      </c>
      <c r="E64" s="46">
        <f>SUM(E54:E63)</f>
        <v>0.9999999999999999</v>
      </c>
      <c r="F64" s="48">
        <f>SUM(F54:F63)</f>
        <v>3249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4" width="21.125" style="2" customWidth="1"/>
    <col min="5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42</v>
      </c>
    </row>
    <row r="4" spans="1:5" ht="15.75">
      <c r="A4" s="2" t="s">
        <v>0</v>
      </c>
      <c r="D4" s="3">
        <v>38139</v>
      </c>
      <c r="E4" s="3" t="s">
        <v>69</v>
      </c>
    </row>
    <row r="5" spans="1:8" ht="15.75">
      <c r="A5" s="2" t="s">
        <v>15</v>
      </c>
      <c r="D5" s="4">
        <v>0.044775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62" customFormat="1" ht="31.5">
      <c r="A8" s="56" t="s">
        <v>2</v>
      </c>
      <c r="B8" s="57"/>
      <c r="C8" s="58" t="s">
        <v>28</v>
      </c>
      <c r="D8" s="59" t="s">
        <v>3</v>
      </c>
      <c r="E8" s="59" t="s">
        <v>29</v>
      </c>
      <c r="F8" s="59" t="s">
        <v>16</v>
      </c>
      <c r="G8" s="60" t="s">
        <v>4</v>
      </c>
      <c r="H8" s="61"/>
    </row>
    <row r="9" spans="1:8" ht="15.75">
      <c r="A9" s="6" t="s">
        <v>30</v>
      </c>
      <c r="B9" s="7"/>
      <c r="C9" s="8">
        <v>29</v>
      </c>
      <c r="D9" s="9">
        <v>209371282</v>
      </c>
      <c r="E9" s="9">
        <v>3922125</v>
      </c>
      <c r="F9" s="9">
        <v>750609.6</v>
      </c>
      <c r="G9" s="10">
        <f>+D9/276000000</f>
        <v>0.7585916014492754</v>
      </c>
      <c r="H9" s="5"/>
    </row>
    <row r="10" spans="1:8" ht="15.75">
      <c r="A10" s="11" t="s">
        <v>5</v>
      </c>
      <c r="B10" s="12"/>
      <c r="C10" s="13">
        <v>80</v>
      </c>
      <c r="D10" s="14">
        <v>24000000</v>
      </c>
      <c r="E10" s="14">
        <v>0</v>
      </c>
      <c r="F10" s="14">
        <v>93823.2</v>
      </c>
      <c r="G10" s="15">
        <f>+D10/24000000</f>
        <v>1</v>
      </c>
      <c r="H10" s="5"/>
    </row>
    <row r="11" spans="1:8" ht="15.75">
      <c r="A11" s="16"/>
      <c r="B11" s="17"/>
      <c r="C11" s="17"/>
      <c r="D11" s="18">
        <f>SUM(D9:D10)</f>
        <v>233371282</v>
      </c>
      <c r="E11" s="19">
        <f>SUM(E9:E10)</f>
        <v>3922125</v>
      </c>
      <c r="F11" s="19">
        <f>SUM(F9:F10)</f>
        <v>844432.7999999999</v>
      </c>
      <c r="G11" s="20"/>
      <c r="H11" s="5"/>
    </row>
    <row r="12" ht="15.75">
      <c r="H12" s="5"/>
    </row>
    <row r="13" spans="1:8" ht="15.75">
      <c r="A13" s="2" t="s">
        <v>43</v>
      </c>
      <c r="F13" s="21" t="s">
        <v>44</v>
      </c>
      <c r="H13" s="5"/>
    </row>
    <row r="14" spans="1:6" ht="15.75">
      <c r="A14" s="2" t="s">
        <v>31</v>
      </c>
      <c r="F14" s="22">
        <v>27000000</v>
      </c>
    </row>
    <row r="15" spans="1:6" ht="15.75">
      <c r="A15" s="2" t="s">
        <v>45</v>
      </c>
      <c r="F15" s="22">
        <v>0</v>
      </c>
    </row>
    <row r="16" ht="15.75">
      <c r="F16" s="22"/>
    </row>
    <row r="17" spans="1:7" ht="15.75">
      <c r="A17" s="23" t="s">
        <v>98</v>
      </c>
      <c r="F17" s="22">
        <v>7500000</v>
      </c>
      <c r="G17" s="5"/>
    </row>
    <row r="18" spans="1:6" ht="15.75">
      <c r="A18" s="23" t="s">
        <v>99</v>
      </c>
      <c r="F18" s="22">
        <v>0</v>
      </c>
    </row>
    <row r="19" spans="1:6" ht="15.75">
      <c r="A19" s="23" t="s">
        <v>100</v>
      </c>
      <c r="F19" s="22">
        <v>7500000</v>
      </c>
    </row>
    <row r="20" ht="15.75">
      <c r="F20" s="22"/>
    </row>
    <row r="21" spans="1:6" ht="15.75">
      <c r="A21" s="2" t="s">
        <v>46</v>
      </c>
      <c r="F21" s="24" t="s">
        <v>65</v>
      </c>
    </row>
    <row r="22" spans="1:6" ht="15.75">
      <c r="A22" s="2" t="s">
        <v>47</v>
      </c>
      <c r="F22" s="22">
        <v>0</v>
      </c>
    </row>
    <row r="23" spans="1:9" ht="15.75">
      <c r="A23" s="2" t="s">
        <v>48</v>
      </c>
      <c r="F23" s="22">
        <v>0</v>
      </c>
      <c r="I23" s="74"/>
    </row>
    <row r="24" spans="1:6" ht="15.75">
      <c r="A24" s="2" t="s">
        <v>49</v>
      </c>
      <c r="F24" s="22">
        <v>0</v>
      </c>
    </row>
    <row r="25" ht="15.75">
      <c r="F25" s="22"/>
    </row>
    <row r="26" spans="1:6" ht="15.75">
      <c r="A26" s="2" t="s">
        <v>6</v>
      </c>
      <c r="F26" s="22">
        <v>0</v>
      </c>
    </row>
    <row r="27" spans="1:6" ht="15.75">
      <c r="A27" s="2" t="s">
        <v>17</v>
      </c>
      <c r="F27" s="22">
        <v>0</v>
      </c>
    </row>
    <row r="28" spans="1:6" ht="15.75">
      <c r="A28" s="2" t="s">
        <v>50</v>
      </c>
      <c r="F28" s="22">
        <v>0</v>
      </c>
    </row>
    <row r="29" ht="15.75">
      <c r="F29" s="22"/>
    </row>
    <row r="30" spans="1:6" ht="15.75">
      <c r="A30" s="23" t="s">
        <v>101</v>
      </c>
      <c r="F30" s="22">
        <v>187150</v>
      </c>
    </row>
    <row r="31" spans="1:6" ht="15.75">
      <c r="A31" s="25" t="s">
        <v>68</v>
      </c>
      <c r="F31" s="22">
        <v>1201</v>
      </c>
    </row>
    <row r="32" spans="1:6" ht="15.75">
      <c r="A32" s="23" t="s">
        <v>102</v>
      </c>
      <c r="F32" s="22">
        <f>D50</f>
        <v>230686683</v>
      </c>
    </row>
    <row r="33" ht="15.75">
      <c r="F33" s="22"/>
    </row>
    <row r="34" spans="5:6" ht="15.75">
      <c r="E34" s="26" t="s">
        <v>18</v>
      </c>
      <c r="F34" s="27" t="s">
        <v>19</v>
      </c>
    </row>
    <row r="35" spans="1:6" ht="15.75">
      <c r="A35" s="2" t="s">
        <v>32</v>
      </c>
      <c r="E35" s="26">
        <f>2+7+8+1+5+11+0+1+4+2+0+3+3+1+6+1+2+1+8+3+1+1+1+4+3+3+1+2+2+4+1+2+3+1+3-1+1+1</f>
        <v>102</v>
      </c>
      <c r="F35" s="27">
        <f>32000+104053.84+251710.59+13000+98734+233814.67+0+12000+162795+40984+0+97554+73495+22955+286726.66+66022.41+61911+25000+80040+115070+30000+7000+27500+275829+133976.75+74023+60000+30000+101265+280445+46500+70000+135000+50000+171642-124977+34787+35000</f>
        <v>3215856.92</v>
      </c>
    </row>
    <row r="36" spans="1:6" ht="15.75">
      <c r="A36" s="2" t="s">
        <v>7</v>
      </c>
      <c r="E36" s="26">
        <v>0</v>
      </c>
      <c r="F36" s="27">
        <v>0</v>
      </c>
    </row>
    <row r="37" spans="1:6" ht="15.75">
      <c r="A37" s="2" t="s">
        <v>33</v>
      </c>
      <c r="E37" s="26">
        <f>21+75+43+56+62+54+43+24+20+53+24+57+50+52+96+79+31+50+49+57+57+54+50+39+106+49+61+96+58+64+47+76+35+81+19+79</f>
        <v>1967</v>
      </c>
      <c r="F37" s="27">
        <f>2550929.3+4376753+4568123.79+3273316+3233664+10300070+5253468+3158020+2167631+3198032+3245093+5258505.98+4642667+5443156+7839490+8508138+5988094+6966850.62+5939496.72+58386338.37+4962121+3504107.93+3728302+4554605.55+3055556.82+8435294.14+3618830+4645152.18+6157895+4463610.07+5735500.96+3530842.18-53000000+3784912.47+4996140.14+4770138.98+3168535.68</f>
        <v>174409381.88000003</v>
      </c>
    </row>
    <row r="38" spans="1:6" ht="15.75" hidden="1">
      <c r="A38" s="23" t="s">
        <v>76</v>
      </c>
      <c r="E38" s="26">
        <v>0</v>
      </c>
      <c r="F38" s="27">
        <v>0</v>
      </c>
    </row>
    <row r="39" spans="3:6" ht="15.75">
      <c r="C39" s="28"/>
      <c r="E39" s="26"/>
      <c r="F39" s="27"/>
    </row>
    <row r="40" spans="1:6" ht="15.75">
      <c r="A40" s="2" t="s">
        <v>41</v>
      </c>
      <c r="E40" s="26"/>
      <c r="F40" s="29">
        <f>((4328422+1399049-1120840)/238422919)*12</f>
        <v>0.23185510953332467</v>
      </c>
    </row>
    <row r="41" ht="15.75">
      <c r="F41" s="22"/>
    </row>
    <row r="42" spans="1:6" ht="15.75">
      <c r="A42" s="2" t="s">
        <v>34</v>
      </c>
      <c r="F42" s="22"/>
    </row>
    <row r="43" spans="1:6" s="62" customFormat="1" ht="31.5">
      <c r="A43" s="56" t="s">
        <v>8</v>
      </c>
      <c r="B43" s="63"/>
      <c r="C43" s="57"/>
      <c r="D43" s="64" t="s">
        <v>9</v>
      </c>
      <c r="E43" s="65" t="s">
        <v>10</v>
      </c>
      <c r="F43" s="66"/>
    </row>
    <row r="44" spans="1:6" ht="15.75">
      <c r="A44" s="6" t="s">
        <v>11</v>
      </c>
      <c r="B44" s="30"/>
      <c r="C44" s="7"/>
      <c r="D44" s="31">
        <v>227308624</v>
      </c>
      <c r="E44" s="32">
        <v>3171</v>
      </c>
      <c r="F44" s="33"/>
    </row>
    <row r="45" spans="1:6" ht="15.75">
      <c r="A45" s="34" t="s">
        <v>35</v>
      </c>
      <c r="B45" s="5"/>
      <c r="C45" s="12"/>
      <c r="D45" s="35">
        <v>1865086</v>
      </c>
      <c r="E45" s="36">
        <v>17</v>
      </c>
      <c r="F45" s="33"/>
    </row>
    <row r="46" spans="1:6" ht="15.75">
      <c r="A46" s="34" t="s">
        <v>36</v>
      </c>
      <c r="B46" s="5"/>
      <c r="C46" s="12"/>
      <c r="D46" s="35">
        <v>323356</v>
      </c>
      <c r="E46" s="36">
        <v>5</v>
      </c>
      <c r="F46" s="33"/>
    </row>
    <row r="47" spans="1:6" ht="15.75">
      <c r="A47" s="11" t="s">
        <v>37</v>
      </c>
      <c r="B47" s="5"/>
      <c r="C47" s="12"/>
      <c r="D47" s="35">
        <f>654782+198088+336746+1</f>
        <v>1189617</v>
      </c>
      <c r="E47" s="36">
        <f>6+2+2</f>
        <v>10</v>
      </c>
      <c r="F47" s="33"/>
    </row>
    <row r="48" spans="1:6" ht="15.75">
      <c r="A48" s="11" t="s">
        <v>27</v>
      </c>
      <c r="B48" s="5"/>
      <c r="C48" s="12"/>
      <c r="D48" s="35">
        <v>0</v>
      </c>
      <c r="E48" s="36">
        <v>0</v>
      </c>
      <c r="F48" s="33" t="s">
        <v>67</v>
      </c>
    </row>
    <row r="49" spans="1:6" ht="15.75">
      <c r="A49" s="11" t="s">
        <v>38</v>
      </c>
      <c r="B49" s="5"/>
      <c r="C49" s="12"/>
      <c r="D49" s="35">
        <v>0</v>
      </c>
      <c r="E49" s="36">
        <v>0</v>
      </c>
      <c r="F49" s="33"/>
    </row>
    <row r="50" spans="1:7" ht="15.75">
      <c r="A50" s="16"/>
      <c r="B50" s="37"/>
      <c r="C50" s="17"/>
      <c r="D50" s="38">
        <f>SUM(D44:D49)</f>
        <v>230686683</v>
      </c>
      <c r="E50" s="39">
        <f>SUM(E44:E49)</f>
        <v>3203</v>
      </c>
      <c r="F50" s="33"/>
      <c r="G50" s="22"/>
    </row>
    <row r="51" ht="15.75">
      <c r="F51" s="22"/>
    </row>
    <row r="52" spans="1:6" ht="15.75">
      <c r="A52" s="2" t="s">
        <v>51</v>
      </c>
      <c r="F52" s="22"/>
    </row>
    <row r="53" spans="1:7" s="62" customFormat="1" ht="44.25" customHeight="1">
      <c r="A53" s="67" t="s">
        <v>52</v>
      </c>
      <c r="B53" s="68"/>
      <c r="C53" s="68"/>
      <c r="D53" s="69" t="s">
        <v>9</v>
      </c>
      <c r="E53" s="70" t="s">
        <v>53</v>
      </c>
      <c r="F53" s="71" t="s">
        <v>10</v>
      </c>
      <c r="G53" s="72" t="s">
        <v>54</v>
      </c>
    </row>
    <row r="54" spans="1:7" ht="15.75">
      <c r="A54" s="11" t="s">
        <v>55</v>
      </c>
      <c r="D54" s="40">
        <v>9269818.95</v>
      </c>
      <c r="E54" s="41">
        <f aca="true" t="shared" si="0" ref="E54:E63">D54/D$64</f>
        <v>0.040183589451729375</v>
      </c>
      <c r="F54" s="42">
        <v>145</v>
      </c>
      <c r="G54" s="41">
        <f aca="true" t="shared" si="1" ref="G54:G63">F54/F$64</f>
        <v>0.04527005931938807</v>
      </c>
    </row>
    <row r="55" spans="1:7" ht="15.75">
      <c r="A55" s="11" t="s">
        <v>56</v>
      </c>
      <c r="D55" s="40">
        <v>10818249.49</v>
      </c>
      <c r="E55" s="41">
        <f t="shared" si="0"/>
        <v>0.0468958561582846</v>
      </c>
      <c r="F55" s="42">
        <v>186</v>
      </c>
      <c r="G55" s="41">
        <f t="shared" si="1"/>
        <v>0.05807055885107711</v>
      </c>
    </row>
    <row r="56" spans="1:7" ht="15.75">
      <c r="A56" s="11" t="s">
        <v>66</v>
      </c>
      <c r="D56" s="40">
        <v>74795.1</v>
      </c>
      <c r="E56" s="41">
        <f t="shared" si="0"/>
        <v>0.00032422807906092325</v>
      </c>
      <c r="F56" s="42">
        <v>1</v>
      </c>
      <c r="G56" s="41">
        <f t="shared" si="1"/>
        <v>0.00031220730565095225</v>
      </c>
    </row>
    <row r="57" spans="1:7" ht="15.75">
      <c r="A57" s="11" t="s">
        <v>57</v>
      </c>
      <c r="D57" s="40">
        <v>5504854.07</v>
      </c>
      <c r="E57" s="41">
        <f t="shared" si="0"/>
        <v>0.02386290359431039</v>
      </c>
      <c r="F57" s="42">
        <v>64</v>
      </c>
      <c r="G57" s="41">
        <f t="shared" si="1"/>
        <v>0.019981267561660944</v>
      </c>
    </row>
    <row r="58" spans="1:7" ht="15.75">
      <c r="A58" s="11" t="s">
        <v>58</v>
      </c>
      <c r="D58" s="40">
        <v>19357741.59</v>
      </c>
      <c r="E58" s="41">
        <f t="shared" si="0"/>
        <v>0.08391356346449756</v>
      </c>
      <c r="F58" s="42">
        <v>237</v>
      </c>
      <c r="G58" s="41">
        <f t="shared" si="1"/>
        <v>0.07399313143927568</v>
      </c>
    </row>
    <row r="59" spans="1:8" ht="15.75">
      <c r="A59" s="11" t="s">
        <v>59</v>
      </c>
      <c r="D59" s="40">
        <f>64311531.85+66523158.61+2241392</f>
        <v>133076082.46000001</v>
      </c>
      <c r="E59" s="41">
        <f t="shared" si="0"/>
        <v>0.5768693749317645</v>
      </c>
      <c r="F59" s="42">
        <f>709+1004+22</f>
        <v>1735</v>
      </c>
      <c r="G59" s="41">
        <f t="shared" si="1"/>
        <v>0.5416796753044021</v>
      </c>
      <c r="H59" s="43" t="str">
        <f>IF(E59&gt;80%,"ERROR"," ")</f>
        <v> </v>
      </c>
    </row>
    <row r="60" spans="1:7" ht="15.75">
      <c r="A60" s="11" t="s">
        <v>60</v>
      </c>
      <c r="D60" s="40">
        <v>26463974.17</v>
      </c>
      <c r="E60" s="41">
        <f t="shared" si="0"/>
        <v>0.11471825707107805</v>
      </c>
      <c r="F60" s="42">
        <v>403</v>
      </c>
      <c r="G60" s="41">
        <f t="shared" si="1"/>
        <v>0.12581954417733374</v>
      </c>
    </row>
    <row r="61" spans="1:7" ht="15.75">
      <c r="A61" s="11" t="s">
        <v>61</v>
      </c>
      <c r="D61" s="40">
        <v>6999254.87</v>
      </c>
      <c r="E61" s="41">
        <f t="shared" si="0"/>
        <v>0.03034095764773243</v>
      </c>
      <c r="F61" s="42">
        <v>120</v>
      </c>
      <c r="G61" s="41">
        <f t="shared" si="1"/>
        <v>0.03746487667811427</v>
      </c>
    </row>
    <row r="62" spans="1:7" ht="15.75">
      <c r="A62" s="11" t="s">
        <v>62</v>
      </c>
      <c r="D62" s="40">
        <v>10768736.53</v>
      </c>
      <c r="E62" s="44">
        <f t="shared" si="0"/>
        <v>0.04668122322231124</v>
      </c>
      <c r="F62" s="42">
        <v>172</v>
      </c>
      <c r="G62" s="41">
        <f t="shared" si="1"/>
        <v>0.05369965657196379</v>
      </c>
    </row>
    <row r="63" spans="1:7" ht="15.75">
      <c r="A63" s="16" t="s">
        <v>63</v>
      </c>
      <c r="B63" s="37"/>
      <c r="C63" s="37"/>
      <c r="D63" s="45">
        <v>8353175.48</v>
      </c>
      <c r="E63" s="46">
        <f t="shared" si="0"/>
        <v>0.036210046379230795</v>
      </c>
      <c r="F63" s="47">
        <v>140</v>
      </c>
      <c r="G63" s="46">
        <f t="shared" si="1"/>
        <v>0.04370902279113331</v>
      </c>
    </row>
    <row r="64" spans="1:7" ht="15.75">
      <c r="A64" s="73" t="s">
        <v>64</v>
      </c>
      <c r="B64" s="37"/>
      <c r="C64" s="37"/>
      <c r="D64" s="45">
        <f>SUM(D54:D63)</f>
        <v>230686682.71000004</v>
      </c>
      <c r="E64" s="46">
        <f>SUM(E54:E63)</f>
        <v>1</v>
      </c>
      <c r="F64" s="48">
        <f>SUM(F54:F63)</f>
        <v>3203</v>
      </c>
      <c r="G64" s="46">
        <f>SUM(G54:G63)</f>
        <v>1</v>
      </c>
    </row>
    <row r="65" spans="1:7" ht="15.75">
      <c r="A65" s="49"/>
      <c r="B65" s="5"/>
      <c r="C65" s="5"/>
      <c r="D65" s="50"/>
      <c r="E65" s="51"/>
      <c r="F65" s="52"/>
      <c r="G65" s="51"/>
    </row>
    <row r="66" spans="1:6" ht="15.75">
      <c r="A66" s="25" t="s">
        <v>39</v>
      </c>
      <c r="D66" s="22"/>
      <c r="E66" s="26" t="s">
        <v>26</v>
      </c>
      <c r="F66" s="26" t="s">
        <v>19</v>
      </c>
    </row>
    <row r="67" spans="5:6" ht="15.75">
      <c r="E67" s="26"/>
      <c r="F67" s="27"/>
    </row>
    <row r="68" spans="1:6" ht="15.75">
      <c r="A68" s="23" t="s">
        <v>20</v>
      </c>
      <c r="E68" s="26">
        <v>0</v>
      </c>
      <c r="F68" s="27">
        <v>0</v>
      </c>
    </row>
    <row r="69" spans="1:6" ht="15.75">
      <c r="A69" s="25" t="s">
        <v>21</v>
      </c>
      <c r="E69" s="26">
        <v>0</v>
      </c>
      <c r="F69" s="27">
        <v>0</v>
      </c>
    </row>
    <row r="70" spans="1:6" ht="15.75">
      <c r="A70" s="2" t="s">
        <v>12</v>
      </c>
      <c r="E70" s="26">
        <v>0</v>
      </c>
      <c r="F70" s="27">
        <v>0</v>
      </c>
    </row>
    <row r="71" spans="1:6" ht="15.75">
      <c r="A71" s="25" t="s">
        <v>22</v>
      </c>
      <c r="E71" s="26"/>
      <c r="F71" s="27">
        <f>F68-F72-F69-F70</f>
        <v>0</v>
      </c>
    </row>
    <row r="72" spans="1:6" ht="15.75">
      <c r="A72" s="2" t="s">
        <v>23</v>
      </c>
      <c r="E72" s="26"/>
      <c r="F72" s="53">
        <v>0</v>
      </c>
    </row>
    <row r="73" spans="5:6" ht="15.75">
      <c r="E73" s="26"/>
      <c r="F73" s="27"/>
    </row>
    <row r="74" spans="1:6" ht="15.75">
      <c r="A74" s="2" t="s">
        <v>24</v>
      </c>
      <c r="E74" s="26"/>
      <c r="F74" s="54">
        <v>0</v>
      </c>
    </row>
    <row r="75" spans="1:6" ht="15.75">
      <c r="A75" s="2" t="s">
        <v>13</v>
      </c>
      <c r="E75" s="26"/>
      <c r="F75" s="27">
        <v>0</v>
      </c>
    </row>
    <row r="76" spans="5:6" ht="15.75">
      <c r="E76" s="26"/>
      <c r="F76" s="27"/>
    </row>
    <row r="77" spans="1:6" ht="15.75">
      <c r="A77" s="2" t="s">
        <v>25</v>
      </c>
      <c r="E77" s="26"/>
      <c r="F77" s="54">
        <v>0</v>
      </c>
    </row>
    <row r="78" spans="1:6" ht="15.75">
      <c r="A78" s="2" t="s">
        <v>40</v>
      </c>
      <c r="E78" s="26"/>
      <c r="F78" s="55">
        <v>0</v>
      </c>
    </row>
    <row r="79" spans="5:6" ht="15.75">
      <c r="E79" s="26"/>
      <c r="F79" s="27"/>
    </row>
    <row r="80" ht="15.75">
      <c r="F80" s="22"/>
    </row>
    <row r="81" ht="15.75">
      <c r="F81" s="22"/>
    </row>
    <row r="82" ht="15.75">
      <c r="F82" s="22"/>
    </row>
    <row r="83" spans="1:6" ht="15.75">
      <c r="A83" s="30" t="s">
        <v>14</v>
      </c>
      <c r="B83" s="30"/>
      <c r="C83" s="30"/>
      <c r="F83" s="22"/>
    </row>
    <row r="84" ht="15.75">
      <c r="A84" s="2" t="s">
        <v>70</v>
      </c>
    </row>
  </sheetData>
  <printOptions/>
  <pageMargins left="0.7480314960629921" right="0.7480314960629921" top="0.5118110236220472" bottom="0.984251968503937" header="0.5118110236220472" footer="0.5118110236220472"/>
  <pageSetup fitToHeight="2" horizontalDpi="600" verticalDpi="600" orientation="portrait" paperSize="9" scale="83" r:id="rId2"/>
  <headerFooter alignWithMargins="0">
    <oddFooter>&amp;L&amp;10O:\Inv\2001\Monthly Analysis\&amp;F\&amp;A</oddFooter>
  </headerFooter>
  <rowBreaks count="1" manualBreakCount="1">
    <brk id="5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Hyde</dc:creator>
  <cp:keywords/>
  <dc:description/>
  <cp:lastModifiedBy>DoJulia</cp:lastModifiedBy>
  <cp:lastPrinted>2006-05-05T11:00:18Z</cp:lastPrinted>
  <dcterms:created xsi:type="dcterms:W3CDTF">1998-12-07T10:38:10Z</dcterms:created>
  <dcterms:modified xsi:type="dcterms:W3CDTF">2006-07-14T06:48:33Z</dcterms:modified>
  <cp:category/>
  <cp:version/>
  <cp:contentType/>
  <cp:contentStatus/>
</cp:coreProperties>
</file>