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95" windowHeight="5985" firstSheet="15" activeTab="22"/>
  </bookViews>
  <sheets>
    <sheet name="Sept 04" sheetId="1" r:id="rId1"/>
    <sheet name="Oct 04" sheetId="2" r:id="rId2"/>
    <sheet name="Nov 04" sheetId="3" r:id="rId3"/>
    <sheet name="Dec 04" sheetId="4" r:id="rId4"/>
    <sheet name="Jan 05" sheetId="5" r:id="rId5"/>
    <sheet name="Feb 05" sheetId="6" r:id="rId6"/>
    <sheet name="Mar 05" sheetId="7" r:id="rId7"/>
    <sheet name="Apr 05" sheetId="8" r:id="rId8"/>
    <sheet name="May 05" sheetId="9" r:id="rId9"/>
    <sheet name="Jun 05" sheetId="10" r:id="rId10"/>
    <sheet name="Jul 05" sheetId="11" r:id="rId11"/>
    <sheet name="Aug 05" sheetId="12" r:id="rId12"/>
    <sheet name="Sept 05" sheetId="13" r:id="rId13"/>
    <sheet name="Oct 05" sheetId="14" r:id="rId14"/>
    <sheet name="Nov 05" sheetId="15" r:id="rId15"/>
    <sheet name="Dec 05" sheetId="16" r:id="rId16"/>
    <sheet name="Jan 06" sheetId="17" r:id="rId17"/>
    <sheet name="Feb 06" sheetId="18" r:id="rId18"/>
    <sheet name="Mar 06" sheetId="19" r:id="rId19"/>
    <sheet name="Apr 06" sheetId="20" r:id="rId20"/>
    <sheet name="May 06" sheetId="21" r:id="rId21"/>
    <sheet name="Jun 06" sheetId="22" r:id="rId22"/>
    <sheet name="July 06" sheetId="23" r:id="rId23"/>
  </sheets>
  <definedNames>
    <definedName name="_xlnm.Print_Area" localSheetId="7">'Apr 05'!$A$1:$P$127</definedName>
    <definedName name="_xlnm.Print_Area" localSheetId="19">'Apr 06'!$A$1:$P$127</definedName>
    <definedName name="_xlnm.Print_Area" localSheetId="15">'Dec 05'!$A$1:$P$129</definedName>
    <definedName name="_xlnm.Print_Area" localSheetId="5">'Feb 05'!$A$1:$P$129</definedName>
    <definedName name="_xlnm.Print_Area" localSheetId="17">'Feb 06'!$A$1:$P$128</definedName>
    <definedName name="_xlnm.Print_Area" localSheetId="4">'Jan 05'!$A$1:$P$127</definedName>
    <definedName name="_xlnm.Print_Area" localSheetId="16">'Jan 06'!$A$1:$P$128</definedName>
    <definedName name="_xlnm.Print_Area" localSheetId="10">'Jul 05'!$A$1:$P$128</definedName>
    <definedName name="_xlnm.Print_Area" localSheetId="8">'May 05'!$A$1:$P$126</definedName>
    <definedName name="_xlnm.Print_Area" localSheetId="1">'Oct 04'!$A$1:$P$133</definedName>
    <definedName name="_xlnm.Print_Area" localSheetId="13">'Oct 05'!$A$1:$P$128</definedName>
    <definedName name="_xlnm.Print_Area" localSheetId="0">'Sept 04'!$A$1:$Q$135</definedName>
    <definedName name="_xlnm.Print_Titles" localSheetId="1">'Oct 04'!$1:$2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<sst xmlns="http://schemas.openxmlformats.org/spreadsheetml/2006/main" count="3017" uniqueCount="265">
  <si>
    <t>the information herein when making any decisions whether to buy, hold or sell notes (or other securities) or</t>
  </si>
  <si>
    <t>for any other purpose.</t>
  </si>
  <si>
    <t>their structure.  This data fact sheet and its notes are for information purposes only and are not intended as</t>
  </si>
  <si>
    <t xml:space="preserve">This data fact sheet  can only be a summary of certain features of the Notes and their structure. No </t>
  </si>
  <si>
    <t xml:space="preserve">therefore. Reference should be made to the issue documentation for a full description of the bonds and </t>
  </si>
  <si>
    <t>representation can be made that the information herein is accurate or complete and no liability is accepted</t>
  </si>
  <si>
    <t>an offer or invitation with respect to the purchase or sale of any security.  Reliance should not be placed on</t>
  </si>
  <si>
    <t>Interest Payment Date Prepared:</t>
  </si>
  <si>
    <t>Note Rate LIBOR:</t>
  </si>
  <si>
    <t>Summary Features of Notes</t>
  </si>
  <si>
    <t>Note Class</t>
  </si>
  <si>
    <t>Fitch rating at closing</t>
  </si>
  <si>
    <t>Fitch current rating</t>
  </si>
  <si>
    <t>Class B Notes as a percentage of Class A Notes at closing</t>
  </si>
  <si>
    <t>Current Class B Notes as a percentage of Class A Notes</t>
  </si>
  <si>
    <t>Current Note interest margin (bps)</t>
  </si>
  <si>
    <t>Step-up margin (bps)</t>
  </si>
  <si>
    <t>Step-up date</t>
  </si>
  <si>
    <t>Interest payment frequency</t>
  </si>
  <si>
    <t>Last interest payment date</t>
  </si>
  <si>
    <t>Mortgage Asset Movements</t>
  </si>
  <si>
    <t>Annualised total net repayment rate</t>
  </si>
  <si>
    <t>Annualised net Prepayment rate</t>
  </si>
  <si>
    <t>Other fees and expenses (£'000)</t>
  </si>
  <si>
    <t>Redraw Facility fees/interest (£'000)</t>
  </si>
  <si>
    <t>Redraw Facility</t>
  </si>
  <si>
    <t>Redraw Facility Available Amount at closing</t>
  </si>
  <si>
    <t>Redraw Facility Available Amount at beginning of last Collection Period</t>
  </si>
  <si>
    <t>Redraw Facility drawn balance at beginning of last Collection Period</t>
  </si>
  <si>
    <t>Increase/decrease of Redraw Facility drawn balance</t>
  </si>
  <si>
    <t>New redraw Facility drawn balance</t>
  </si>
  <si>
    <t>Redraw Facility commitment fee</t>
  </si>
  <si>
    <t>Redraw Facility drawn margin</t>
  </si>
  <si>
    <t>Reserve Fund</t>
  </si>
  <si>
    <t>Reserve Fund balance at beginning of last Collection Period</t>
  </si>
  <si>
    <t>Increase/decrease of Reserve Fund balance</t>
  </si>
  <si>
    <t>Use of decrease of Reserve Fund balance</t>
  </si>
  <si>
    <t xml:space="preserve">          Redraw Facility fees/interest</t>
  </si>
  <si>
    <t xml:space="preserve">          A Note interest</t>
  </si>
  <si>
    <t xml:space="preserve">          B Note interest</t>
  </si>
  <si>
    <t>New Reserve Fund balance</t>
  </si>
  <si>
    <t>Principal Deficiency Ledger (PDL)</t>
  </si>
  <si>
    <t>PDL balance at beginning of last Collection Period</t>
  </si>
  <si>
    <t>Losses realised (during Collection Period)</t>
  </si>
  <si>
    <t>Reduction of PDL balance</t>
  </si>
  <si>
    <t>New PDL balance</t>
  </si>
  <si>
    <t>Arrears Band</t>
  </si>
  <si>
    <t>Current</t>
  </si>
  <si>
    <t>Over 1 month - 2 months</t>
  </si>
  <si>
    <t>Over 2 months - 3 months</t>
  </si>
  <si>
    <t>Over 3 months - 6 months</t>
  </si>
  <si>
    <t>Over 6 months - 12 months</t>
  </si>
  <si>
    <t>Over 12 months</t>
  </si>
  <si>
    <t>Loss Analysis</t>
  </si>
  <si>
    <t>Properties taken into possession this Collection Period</t>
  </si>
  <si>
    <t>Cumulative Properties taken into possession since closing</t>
  </si>
  <si>
    <t>Principal losses realised during this Collection Period</t>
  </si>
  <si>
    <t>Cumulative principal losses since closing</t>
  </si>
  <si>
    <t>Cumulative average sale period (months)</t>
  </si>
  <si>
    <t>Properties Sold in Detail</t>
  </si>
  <si>
    <t>Sale price over latest valuation</t>
  </si>
  <si>
    <t>Total recovery over balance at sale</t>
  </si>
  <si>
    <t>Average sale period (months)</t>
  </si>
  <si>
    <t>Senior</t>
  </si>
  <si>
    <t>Subordinated</t>
  </si>
  <si>
    <t xml:space="preserve">Number of mortgages </t>
  </si>
  <si>
    <t>A</t>
  </si>
  <si>
    <t>B</t>
  </si>
  <si>
    <t>AAA</t>
  </si>
  <si>
    <t>monthly</t>
  </si>
  <si>
    <t>Annualised Redemption rate</t>
  </si>
  <si>
    <t>n/a</t>
  </si>
  <si>
    <t>Amount of note redemption (£)</t>
  </si>
  <si>
    <t>Note interest payment (£)</t>
  </si>
  <si>
    <t>Trustee fee (£)</t>
  </si>
  <si>
    <t>Servicer fee (£)</t>
  </si>
  <si>
    <t>Outstanding balance (£)</t>
  </si>
  <si>
    <t>Issue amount at closing (£)</t>
  </si>
  <si>
    <t>Note principal outstanding at previous Interest Payment Date (£)</t>
  </si>
  <si>
    <t>Current Note principal outstanding (£)</t>
  </si>
  <si>
    <t>Mortgage principal balance at beginning of last Collection Period (£)</t>
  </si>
  <si>
    <t>Mortgage interest received during last Collection Period (£)</t>
  </si>
  <si>
    <t>Gross principal payments received during last Collection Period (£)</t>
  </si>
  <si>
    <t>Redraws funded during last Collection Period (£)</t>
  </si>
  <si>
    <t>Net Principal payments received (£)</t>
  </si>
  <si>
    <t xml:space="preserve">          of this redemption's received during last Collection Period (£)</t>
  </si>
  <si>
    <t>Further Advances purchased (£)</t>
  </si>
  <si>
    <t>Further Mortgages purchased (£)</t>
  </si>
  <si>
    <t>Class A Note redemption (£)</t>
  </si>
  <si>
    <t>Class B Note redemption (£)</t>
  </si>
  <si>
    <t>Properties sold balance at sale (£)</t>
  </si>
  <si>
    <t>Sale proceeds (£)</t>
  </si>
  <si>
    <t>MIG payments received (£)</t>
  </si>
  <si>
    <t>Further recovery amount (£)</t>
  </si>
  <si>
    <t>Surplus/Loss (£)</t>
  </si>
  <si>
    <t xml:space="preserve">          of this net prepayments received during last Collection Period (£)</t>
  </si>
  <si>
    <t>Bloomberg Monthly Report for First Flexible No.2 Plc</t>
  </si>
  <si>
    <t>June 2007</t>
  </si>
  <si>
    <t>Moody's rating at closing</t>
  </si>
  <si>
    <t>Moody's current rating</t>
  </si>
  <si>
    <t>Aaa</t>
  </si>
  <si>
    <t>A2</t>
  </si>
  <si>
    <t>Current month annualised Note repayment rate (CPR)</t>
  </si>
  <si>
    <t>Reserve Fund balance at closing</t>
  </si>
  <si>
    <t>Mortgage principal balance at end of last Collection Period (£)</t>
  </si>
  <si>
    <t>Litigation</t>
  </si>
  <si>
    <t>Undrawn Mortgages</t>
  </si>
  <si>
    <t>Drawn Mortgages</t>
  </si>
  <si>
    <t>Initial Pool</t>
  </si>
  <si>
    <t>Max WALTV (Initial Pool +1%)</t>
  </si>
  <si>
    <t>Current Pool</t>
  </si>
  <si>
    <t>Geographical Area</t>
  </si>
  <si>
    <t>South East</t>
  </si>
  <si>
    <t>London</t>
  </si>
  <si>
    <t>Percentage of Mortgages</t>
  </si>
  <si>
    <t>Total</t>
  </si>
  <si>
    <t>Possessions</t>
  </si>
  <si>
    <t>WALTV Analysis as at PDD date</t>
  </si>
  <si>
    <t>Pool factor October 2004</t>
  </si>
  <si>
    <t>Collection period ran from 19 Aug to 20 Sep 2004</t>
  </si>
  <si>
    <t>Gross Excess Spread for calender month September 2004</t>
  </si>
  <si>
    <t>Additional Release from Reserves to Margin in September 2004</t>
  </si>
  <si>
    <t>Selected Fees and Expenses in calendar month September 2004</t>
  </si>
  <si>
    <t>Arrears Analysis as at 20/09/04</t>
  </si>
  <si>
    <t>Geographical Analysis as at 20/09/04</t>
  </si>
  <si>
    <t>Pool factor September 2004</t>
  </si>
  <si>
    <t>Collection period ran from 21 July to 18 August 2004</t>
  </si>
  <si>
    <t>Gross Excess Spread for calender month August 2004</t>
  </si>
  <si>
    <t>Additional Release from Reserves to Margin in August 2004</t>
  </si>
  <si>
    <t>Selected Fees and Expenses in calendar month August 2004</t>
  </si>
  <si>
    <t>Arrears Analysis as at 18/08/04</t>
  </si>
  <si>
    <t>Geographical Analysis as at 18/08/04</t>
  </si>
  <si>
    <t>Pool factor November 2004</t>
  </si>
  <si>
    <t>Collection period ran from 21 Sep to 19 Oct 2004</t>
  </si>
  <si>
    <t>Gross Excess Spread for calender month October 2004</t>
  </si>
  <si>
    <t>Additional Release from Reserves to Margin in October 2004</t>
  </si>
  <si>
    <t>Selected Fees and Expenses in calendar month October 2004</t>
  </si>
  <si>
    <t>Arrears Analysis as at 19/10/04</t>
  </si>
  <si>
    <t>Geographical Analysis as at 19/10/04</t>
  </si>
  <si>
    <t>Collection period ran from 20 Oct to 18 Nov 2004</t>
  </si>
  <si>
    <t>Gross Excess Spread for calender month November 2004</t>
  </si>
  <si>
    <t>Additional Release from Reserves to Margin in November 2004</t>
  </si>
  <si>
    <t>Selected Fees and Expenses in calendar month November 2004</t>
  </si>
  <si>
    <t>Arrears Analysis as at 18/11/04</t>
  </si>
  <si>
    <t>Pool factor December 2004</t>
  </si>
  <si>
    <t>Collection period ran from 19 Nov to 17 Dec 2004</t>
  </si>
  <si>
    <t>Gross Excess Spread for calender month December 2004</t>
  </si>
  <si>
    <t>Additional Release from Reserves to Margin in December 2004</t>
  </si>
  <si>
    <t>Selected Fees and Expenses in calendar month December 2004</t>
  </si>
  <si>
    <t>Arrears Analysis as at 17/12/04</t>
  </si>
  <si>
    <t>Geographical Analysis as at 17/12/04</t>
  </si>
  <si>
    <t>Pool factor January 2005</t>
  </si>
  <si>
    <t>Pool factor February 2005</t>
  </si>
  <si>
    <t>Collection period ran from 18 Dec to 19 Jan 2005</t>
  </si>
  <si>
    <t>Gross Excess Spread for calender month January 2005</t>
  </si>
  <si>
    <t>Additional Release from Reserves to Margin in January 2005</t>
  </si>
  <si>
    <t>Selected Fees and Expenses in calendar month January 2005</t>
  </si>
  <si>
    <t>Arrears Analysis as at 19/01/05</t>
  </si>
  <si>
    <t>Geographical Analysis as at 19/01/05</t>
  </si>
  <si>
    <t xml:space="preserve">Pool factor </t>
  </si>
  <si>
    <t>Collection period ran from 20 Jan to 16 Feb 2005</t>
  </si>
  <si>
    <t>March 1 2005</t>
  </si>
  <si>
    <t>Gross Excess Spread for calender month February 2005</t>
  </si>
  <si>
    <t>Additional Release from Reserves to Margin in February 2005</t>
  </si>
  <si>
    <t>Selected Fees and Expenses in calendar month February 2005</t>
  </si>
  <si>
    <t>Arrears Analysis as at 16/02/05</t>
  </si>
  <si>
    <t>Geographical Analysis as at 16/02/05</t>
  </si>
  <si>
    <t>Collection period ran from 17 Feb to 17 Mar 2005</t>
  </si>
  <si>
    <t>Gross Excess Spread for calender month March 2005</t>
  </si>
  <si>
    <t>Additional Release from Reserves to Margin in March 2005</t>
  </si>
  <si>
    <t>Selected Fees and Expenses in calendar month March 2005</t>
  </si>
  <si>
    <t>Arrears Analysis as at 17/03/05</t>
  </si>
  <si>
    <t>Geographical Analysis as at 17/03/05</t>
  </si>
  <si>
    <t>Collection period ran from 18 Mar to 19 Apr 2005</t>
  </si>
  <si>
    <t>Gross Excess Spread for calender month April 2005</t>
  </si>
  <si>
    <t>Additional Release from Reserves to Margin in April 2005</t>
  </si>
  <si>
    <t>Selected Fees and Expenses in calendar month April 2005</t>
  </si>
  <si>
    <t>Arrears Analysis as at 19/04/05</t>
  </si>
  <si>
    <t>Geographical Analysis as at 19/04/05</t>
  </si>
  <si>
    <t>Collection period ran from 20 Apr to 18 May 2005</t>
  </si>
  <si>
    <t>Gross Excess Spread for calender month May 2005</t>
  </si>
  <si>
    <t>Additional Release from Reserves to Margin in May 2005</t>
  </si>
  <si>
    <t>Selected Fees and Expenses in calendar month May 2005</t>
  </si>
  <si>
    <t>Arrears Analysis as at 18/05/05</t>
  </si>
  <si>
    <t>Geographical Analysis as at 18/05/05</t>
  </si>
  <si>
    <t>Receiver of Rent</t>
  </si>
  <si>
    <t>Collection period ran from  19 May to 20 June 2005</t>
  </si>
  <si>
    <t>Gross Excess Spread for calender month June 2005</t>
  </si>
  <si>
    <t>Additional Release from Reserves to Margin in June 2005</t>
  </si>
  <si>
    <t>Selected Fees and Expenses in calendar month June 2005</t>
  </si>
  <si>
    <t>Arrears Analysis as at 20/06/05</t>
  </si>
  <si>
    <t>Geographical Analysis as at 20/06/05</t>
  </si>
  <si>
    <t>Collection period ran from 21 June to 19 July 2005</t>
  </si>
  <si>
    <t>Gross Excess Spread for calender month July 2005</t>
  </si>
  <si>
    <t>Additional Release from Reserves to Margin in July 2005</t>
  </si>
  <si>
    <t>Selected Fees and Expenses in calendar month July 2005</t>
  </si>
  <si>
    <t>Arrears Analysis as at 19/07/05</t>
  </si>
  <si>
    <t>Geographical Analysis as at 19/07/05</t>
  </si>
  <si>
    <t>A1</t>
  </si>
  <si>
    <t>Collection period ran from 20 July to 18 August 2005</t>
  </si>
  <si>
    <t>Gross Excess Spread for calender month August 2005</t>
  </si>
  <si>
    <t>Additional Release from Reserves to Margin in August 2005</t>
  </si>
  <si>
    <t>Selected Fees and Expenses in calendar month August 2005</t>
  </si>
  <si>
    <t>Arrears Analysis as at 18/08/05</t>
  </si>
  <si>
    <t>Geographical Analysis as at 18/08/05</t>
  </si>
  <si>
    <t>Collection period ran from 19 August to 20 September 2005</t>
  </si>
  <si>
    <t>Gross Excess Spread for calender month September 2005</t>
  </si>
  <si>
    <t>Additional Release from Reserves to Margin in September 2005</t>
  </si>
  <si>
    <t>Selected Fees and Expenses in calendar month September 2005</t>
  </si>
  <si>
    <t>Arrears Analysis as at 20/09/05</t>
  </si>
  <si>
    <t>Geographical Analysis as at 20/09/05</t>
  </si>
  <si>
    <t>Collection period ran from 21 September to 19 October 2005</t>
  </si>
  <si>
    <t>Gross Excess Spread for calender month October 2005</t>
  </si>
  <si>
    <t>Additional Release from Reserves to Margin in October 2005</t>
  </si>
  <si>
    <t>Selected Fees and Expenses in calendar month October 2005</t>
  </si>
  <si>
    <t>Arrears Analysis as at 19/10/05</t>
  </si>
  <si>
    <t>Geographical Analysis as at 19/10/05</t>
  </si>
  <si>
    <t>Collection period ran from 20 October to 18 November 2005</t>
  </si>
  <si>
    <t>Gross Excess Spread for calender month November 2005</t>
  </si>
  <si>
    <t>Additional Release from Reserves to Margin in November 2005</t>
  </si>
  <si>
    <t>Selected Fees and Expenses in calendar month November 2005</t>
  </si>
  <si>
    <t>Arrears Analysis as at 18/11/05</t>
  </si>
  <si>
    <t>Geographical Analysis as at 18/11/05</t>
  </si>
  <si>
    <t>Collection period ran from 19 November to 16 December 2005</t>
  </si>
  <si>
    <t>Gross Excess Spread for calender month December 2005</t>
  </si>
  <si>
    <t>Additional Release from Reserves to Margin in December 2005</t>
  </si>
  <si>
    <t>Selected Fees and Expenses in calendar month December 2005</t>
  </si>
  <si>
    <t>Arrears Analysis as at 16/12/05</t>
  </si>
  <si>
    <t>Geographical Analysis as at 16/12/05</t>
  </si>
  <si>
    <t>Collection period ran from 17 December to 19 January 2006</t>
  </si>
  <si>
    <t>Gross Excess Spread for calender month January 2006</t>
  </si>
  <si>
    <t>Additional Release from Reserves to Margin in January 2006</t>
  </si>
  <si>
    <t>Selected Fees and Expenses in calendar month January 2006</t>
  </si>
  <si>
    <t>Arrears Analysis as at 19/01/06</t>
  </si>
  <si>
    <t>Geographical Analysis as at 19/01/06</t>
  </si>
  <si>
    <t>Collection period ran from 20 January to 16 February 2006</t>
  </si>
  <si>
    <t>Gross Excess Spread for calender month February 2006</t>
  </si>
  <si>
    <t>Additional Release from Reserves to Margin in February 2006</t>
  </si>
  <si>
    <t>Selected Fees and Expenses in calendar month February 2006</t>
  </si>
  <si>
    <t>Arrears Analysis as at 16/02/06</t>
  </si>
  <si>
    <t>Geographical Analysis as at 16/02/06</t>
  </si>
  <si>
    <t>Collection period ran from 17 February to 21 March 2006</t>
  </si>
  <si>
    <t>Gross Excess Spread for calender month March 2006</t>
  </si>
  <si>
    <t>Additional Release from Reserves to Margin in March 2006</t>
  </si>
  <si>
    <t>Selected Fees and Expenses in calendar month March 2006</t>
  </si>
  <si>
    <t>Arrears Analysis as at 21/03/06</t>
  </si>
  <si>
    <t>Geographical Analysis as at 21/03/06</t>
  </si>
  <si>
    <t>Collection period ran from 22 March to 18 April 2006</t>
  </si>
  <si>
    <t>Gross Excess Spread for calender month April 2006</t>
  </si>
  <si>
    <t>Additional Release from Reserves to Margin in April 2006</t>
  </si>
  <si>
    <t>Selected Fees and Expenses in calendar month April 2006</t>
  </si>
  <si>
    <t>Arrears Analysis as at 18/04/06</t>
  </si>
  <si>
    <t>Geographical Analysis as at 18/04/06</t>
  </si>
  <si>
    <t>Collection period ran from 19 April to 18 May 2006</t>
  </si>
  <si>
    <t>Gross Excess Spread for calender month May 2006</t>
  </si>
  <si>
    <t>Additional Release from Reserves to Margin in May 2006</t>
  </si>
  <si>
    <t>Selected Fees and Expenses in calendar month May 2006</t>
  </si>
  <si>
    <t>Arrears Analysis as at 18/05/06</t>
  </si>
  <si>
    <t>Geographical Analysis as at 18/05/06</t>
  </si>
  <si>
    <t>Collection period ran from 19 May to 20 June 2006</t>
  </si>
  <si>
    <t>Gross Excess Spread for calender month June 2006</t>
  </si>
  <si>
    <t>Selected Fees and Expenses in calendar month June 2006</t>
  </si>
  <si>
    <t>Arrears Analysis as at 20/06/06</t>
  </si>
  <si>
    <t>Geographical Analysis as at 20/06/06</t>
  </si>
  <si>
    <t>Additional Release from Reserves to Margin in June 2006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</si>
</sst>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mmmm\ d\,\ yyyy"/>
    <numFmt numFmtId="181" formatCode="0.00000%"/>
    <numFmt numFmtId="182" formatCode="0.0"/>
    <numFmt numFmtId="183" formatCode="0.000"/>
    <numFmt numFmtId="184" formatCode="0.0000"/>
    <numFmt numFmtId="185" formatCode="0.000000"/>
    <numFmt numFmtId="186" formatCode="0.00000"/>
    <numFmt numFmtId="187" formatCode="0.0000000"/>
    <numFmt numFmtId="188" formatCode="mmmm\-yy"/>
    <numFmt numFmtId="189" formatCode="#,##0.0"/>
    <numFmt numFmtId="190" formatCode="&quot;£&quot;#,##0.00"/>
    <numFmt numFmtId="191" formatCode="&quot;£&quot;#,##0"/>
    <numFmt numFmtId="192" formatCode="0.0000%"/>
    <numFmt numFmtId="193" formatCode="\-\(\)"/>
  </numFmts>
  <fonts count="1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80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3" fontId="11" fillId="0" borderId="0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3" fontId="11" fillId="0" borderId="3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0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left"/>
    </xf>
    <xf numFmtId="181" fontId="14" fillId="0" borderId="0" xfId="0" applyNumberFormat="1" applyFont="1" applyFill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0" fontId="11" fillId="0" borderId="8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0" fontId="11" fillId="0" borderId="7" xfId="0" applyNumberFormat="1" applyFont="1" applyFill="1" applyBorder="1" applyAlignment="1">
      <alignment horizontal="center"/>
    </xf>
    <xf numFmtId="10" fontId="11" fillId="0" borderId="5" xfId="0" applyNumberFormat="1" applyFont="1" applyFill="1" applyBorder="1" applyAlignment="1">
      <alignment horizontal="center"/>
    </xf>
    <xf numFmtId="10" fontId="11" fillId="0" borderId="2" xfId="0" applyNumberFormat="1" applyFont="1" applyFill="1" applyBorder="1" applyAlignment="1">
      <alignment horizontal="center"/>
    </xf>
    <xf numFmtId="10" fontId="11" fillId="0" borderId="6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191" fontId="11" fillId="0" borderId="9" xfId="0" applyNumberFormat="1" applyFont="1" applyFill="1" applyBorder="1" applyAlignment="1">
      <alignment horizontal="center"/>
    </xf>
    <xf numFmtId="191" fontId="11" fillId="0" borderId="10" xfId="0" applyNumberFormat="1" applyFont="1" applyFill="1" applyBorder="1" applyAlignment="1">
      <alignment horizontal="center"/>
    </xf>
    <xf numFmtId="191" fontId="11" fillId="0" borderId="11" xfId="0" applyNumberFormat="1" applyFont="1" applyFill="1" applyBorder="1" applyAlignment="1">
      <alignment horizontal="center"/>
    </xf>
    <xf numFmtId="191" fontId="11" fillId="0" borderId="5" xfId="0" applyNumberFormat="1" applyFont="1" applyFill="1" applyBorder="1" applyAlignment="1">
      <alignment horizontal="center"/>
    </xf>
    <xf numFmtId="191" fontId="11" fillId="0" borderId="2" xfId="0" applyNumberFormat="1" applyFont="1" applyFill="1" applyBorder="1" applyAlignment="1">
      <alignment horizontal="center"/>
    </xf>
    <xf numFmtId="191" fontId="11" fillId="0" borderId="6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>
      <alignment horizontal="center"/>
    </xf>
    <xf numFmtId="15" fontId="11" fillId="0" borderId="2" xfId="0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17" fontId="11" fillId="0" borderId="8" xfId="0" applyNumberFormat="1" applyFont="1" applyFill="1" applyBorder="1" applyAlignment="1" quotePrefix="1">
      <alignment horizontal="center"/>
    </xf>
    <xf numFmtId="187" fontId="11" fillId="0" borderId="8" xfId="0" applyNumberFormat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187" fontId="11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91" fontId="2" fillId="0" borderId="5" xfId="0" applyNumberFormat="1" applyFont="1" applyFill="1" applyBorder="1" applyAlignment="1">
      <alignment horizontal="center"/>
    </xf>
    <xf numFmtId="191" fontId="2" fillId="0" borderId="2" xfId="0" applyNumberFormat="1" applyFont="1" applyFill="1" applyBorder="1" applyAlignment="1">
      <alignment horizontal="center"/>
    </xf>
    <xf numFmtId="191" fontId="2" fillId="0" borderId="6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87" fontId="2" fillId="0" borderId="8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187" fontId="2" fillId="0" borderId="7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17" fontId="2" fillId="0" borderId="8" xfId="0" applyNumberFormat="1" applyFont="1" applyFill="1" applyBorder="1" applyAlignment="1" quotePrefix="1">
      <alignment horizontal="center"/>
    </xf>
    <xf numFmtId="15" fontId="2" fillId="0" borderId="5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91" fontId="2" fillId="0" borderId="9" xfId="0" applyNumberFormat="1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187" fontId="15" fillId="0" borderId="8" xfId="0" applyNumberFormat="1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 horizontal="center"/>
    </xf>
    <xf numFmtId="187" fontId="15" fillId="0" borderId="7" xfId="0" applyNumberFormat="1" applyFont="1" applyFill="1" applyBorder="1" applyAlignment="1">
      <alignment horizontal="center"/>
    </xf>
    <xf numFmtId="4" fontId="15" fillId="0" borderId="8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91" fontId="15" fillId="0" borderId="9" xfId="0" applyNumberFormat="1" applyFont="1" applyFill="1" applyBorder="1" applyAlignment="1">
      <alignment horizontal="center"/>
    </xf>
    <xf numFmtId="191" fontId="15" fillId="0" borderId="10" xfId="0" applyNumberFormat="1" applyFont="1" applyFill="1" applyBorder="1" applyAlignment="1">
      <alignment horizontal="center"/>
    </xf>
    <xf numFmtId="191" fontId="15" fillId="0" borderId="11" xfId="0" applyNumberFormat="1" applyFont="1" applyFill="1" applyBorder="1" applyAlignment="1">
      <alignment horizontal="center"/>
    </xf>
    <xf numFmtId="4" fontId="15" fillId="0" borderId="9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0" fontId="15" fillId="0" borderId="8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15" fillId="0" borderId="7" xfId="0" applyNumberFormat="1" applyFont="1" applyFill="1" applyBorder="1" applyAlignment="1">
      <alignment horizontal="center"/>
    </xf>
    <xf numFmtId="10" fontId="15" fillId="0" borderId="5" xfId="0" applyNumberFormat="1" applyFont="1" applyFill="1" applyBorder="1" applyAlignment="1">
      <alignment horizontal="center"/>
    </xf>
    <xf numFmtId="10" fontId="15" fillId="0" borderId="2" xfId="0" applyNumberFormat="1" applyFont="1" applyFill="1" applyBorder="1" applyAlignment="1">
      <alignment horizontal="center"/>
    </xf>
    <xf numFmtId="10" fontId="15" fillId="0" borderId="6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39" fontId="2" fillId="0" borderId="8" xfId="0" applyNumberFormat="1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39" fontId="2" fillId="0" borderId="7" xfId="0" applyNumberFormat="1" applyFont="1" applyFill="1" applyBorder="1" applyAlignment="1">
      <alignment horizontal="center"/>
    </xf>
    <xf numFmtId="39" fontId="2" fillId="0" borderId="9" xfId="0" applyNumberFormat="1" applyFont="1" applyFill="1" applyBorder="1" applyAlignment="1">
      <alignment horizontal="center"/>
    </xf>
    <xf numFmtId="39" fontId="2" fillId="0" borderId="10" xfId="0" applyNumberFormat="1" applyFont="1" applyFill="1" applyBorder="1" applyAlignment="1">
      <alignment horizontal="center"/>
    </xf>
    <xf numFmtId="39" fontId="2" fillId="0" borderId="11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25" customWidth="1"/>
    <col min="5" max="5" width="20.57421875" style="25" customWidth="1"/>
    <col min="6" max="7" width="9.140625" style="25" customWidth="1"/>
    <col min="8" max="9" width="12.7109375" style="25" bestFit="1" customWidth="1"/>
    <col min="10" max="11" width="9.140625" style="25" customWidth="1"/>
    <col min="12" max="12" width="10.57421875" style="25" bestFit="1" customWidth="1"/>
    <col min="13" max="14" width="9.140625" style="25" customWidth="1"/>
    <col min="15" max="15" width="10.57421875" style="25" bestFit="1" customWidth="1"/>
    <col min="16" max="16384" width="9.140625" style="25" customWidth="1"/>
  </cols>
  <sheetData>
    <row r="1" ht="15">
      <c r="A1" s="24" t="s">
        <v>96</v>
      </c>
    </row>
    <row r="2" ht="12.75" hidden="1"/>
    <row r="3" ht="12.75" hidden="1">
      <c r="A3" s="26" t="s">
        <v>3</v>
      </c>
    </row>
    <row r="4" ht="12.75" hidden="1">
      <c r="A4" s="26" t="s">
        <v>5</v>
      </c>
    </row>
    <row r="5" ht="12.75" hidden="1">
      <c r="A5" s="26" t="s">
        <v>4</v>
      </c>
    </row>
    <row r="6" ht="12.75" hidden="1">
      <c r="A6" s="26" t="s">
        <v>2</v>
      </c>
    </row>
    <row r="7" ht="12.75" hidden="1">
      <c r="A7" s="26" t="s">
        <v>6</v>
      </c>
    </row>
    <row r="8" ht="12.75" hidden="1">
      <c r="A8" s="26" t="s">
        <v>0</v>
      </c>
    </row>
    <row r="9" ht="12.75" hidden="1">
      <c r="A9" s="26" t="s">
        <v>1</v>
      </c>
    </row>
    <row r="10" ht="12.75" hidden="1"/>
    <row r="11" ht="12.75" hidden="1"/>
    <row r="12" spans="1:5" s="28" customFormat="1" ht="15">
      <c r="A12" s="27" t="s">
        <v>7</v>
      </c>
      <c r="E12" s="29">
        <v>38231</v>
      </c>
    </row>
    <row r="13" spans="1:5" s="28" customFormat="1" ht="15">
      <c r="A13" s="27" t="s">
        <v>8</v>
      </c>
      <c r="E13" s="30">
        <v>0.0485125</v>
      </c>
    </row>
    <row r="14" s="28" customFormat="1" ht="14.25"/>
    <row r="15" spans="1:13" s="28" customFormat="1" ht="15">
      <c r="A15" s="24" t="s">
        <v>9</v>
      </c>
      <c r="H15" s="109" t="s">
        <v>63</v>
      </c>
      <c r="I15" s="110"/>
      <c r="J15" s="111"/>
      <c r="K15" s="109" t="s">
        <v>64</v>
      </c>
      <c r="L15" s="110"/>
      <c r="M15" s="111"/>
    </row>
    <row r="16" spans="1:13" s="28" customFormat="1" ht="14.25">
      <c r="A16" s="28" t="s">
        <v>10</v>
      </c>
      <c r="H16" s="59" t="s">
        <v>66</v>
      </c>
      <c r="I16" s="60"/>
      <c r="J16" s="61"/>
      <c r="K16" s="59" t="s">
        <v>67</v>
      </c>
      <c r="L16" s="60"/>
      <c r="M16" s="61"/>
    </row>
    <row r="17" spans="1:13" s="28" customFormat="1" ht="14.25">
      <c r="A17" s="28" t="s">
        <v>98</v>
      </c>
      <c r="H17" s="59" t="s">
        <v>100</v>
      </c>
      <c r="I17" s="60"/>
      <c r="J17" s="61"/>
      <c r="K17" s="106" t="s">
        <v>101</v>
      </c>
      <c r="L17" s="107"/>
      <c r="M17" s="108"/>
    </row>
    <row r="18" spans="1:13" s="28" customFormat="1" ht="14.25">
      <c r="A18" s="28" t="s">
        <v>99</v>
      </c>
      <c r="H18" s="59" t="s">
        <v>100</v>
      </c>
      <c r="I18" s="60"/>
      <c r="J18" s="61"/>
      <c r="K18" s="106" t="s">
        <v>101</v>
      </c>
      <c r="L18" s="107"/>
      <c r="M18" s="108"/>
    </row>
    <row r="19" spans="1:13" s="28" customFormat="1" ht="14.25">
      <c r="A19" s="28" t="s">
        <v>11</v>
      </c>
      <c r="H19" s="59" t="s">
        <v>68</v>
      </c>
      <c r="I19" s="60"/>
      <c r="J19" s="61"/>
      <c r="K19" s="59" t="s">
        <v>66</v>
      </c>
      <c r="L19" s="60" t="s">
        <v>66</v>
      </c>
      <c r="M19" s="61"/>
    </row>
    <row r="20" spans="1:13" s="28" customFormat="1" ht="14.25">
      <c r="A20" s="28" t="s">
        <v>12</v>
      </c>
      <c r="H20" s="59" t="s">
        <v>68</v>
      </c>
      <c r="I20" s="60"/>
      <c r="J20" s="61"/>
      <c r="K20" s="59" t="s">
        <v>66</v>
      </c>
      <c r="L20" s="60"/>
      <c r="M20" s="61"/>
    </row>
    <row r="21" spans="8:13" s="28" customFormat="1" ht="14.25">
      <c r="H21" s="59"/>
      <c r="I21" s="60"/>
      <c r="J21" s="61"/>
      <c r="K21" s="59"/>
      <c r="L21" s="60"/>
      <c r="M21" s="61"/>
    </row>
    <row r="22" spans="1:13" s="28" customFormat="1" ht="14.25">
      <c r="A22" s="28" t="s">
        <v>77</v>
      </c>
      <c r="H22" s="80">
        <v>276000000</v>
      </c>
      <c r="I22" s="81"/>
      <c r="J22" s="82"/>
      <c r="K22" s="80">
        <v>24000000</v>
      </c>
      <c r="L22" s="81"/>
      <c r="M22" s="82"/>
    </row>
    <row r="23" spans="1:13" s="28" customFormat="1" ht="14.25">
      <c r="A23" s="28" t="s">
        <v>78</v>
      </c>
      <c r="H23" s="80">
        <v>199274263.2</v>
      </c>
      <c r="I23" s="81"/>
      <c r="J23" s="82"/>
      <c r="K23" s="81">
        <v>24000000</v>
      </c>
      <c r="L23" s="81"/>
      <c r="M23" s="82"/>
    </row>
    <row r="24" spans="1:13" s="28" customFormat="1" ht="14.25">
      <c r="A24" s="28" t="s">
        <v>72</v>
      </c>
      <c r="H24" s="80">
        <f>H23-H25</f>
        <v>3817190.399999976</v>
      </c>
      <c r="I24" s="81"/>
      <c r="J24" s="82"/>
      <c r="K24" s="60" t="s">
        <v>71</v>
      </c>
      <c r="L24" s="60"/>
      <c r="M24" s="61"/>
    </row>
    <row r="25" spans="1:13" s="28" customFormat="1" ht="14.25">
      <c r="A25" s="28" t="s">
        <v>79</v>
      </c>
      <c r="H25" s="80">
        <v>195457072.8</v>
      </c>
      <c r="I25" s="81"/>
      <c r="J25" s="82"/>
      <c r="K25" s="80">
        <v>24000000</v>
      </c>
      <c r="L25" s="81"/>
      <c r="M25" s="82"/>
    </row>
    <row r="26" spans="1:13" s="28" customFormat="1" ht="14.25">
      <c r="A26" s="28" t="s">
        <v>125</v>
      </c>
      <c r="H26" s="103">
        <v>0.7081778</v>
      </c>
      <c r="I26" s="104"/>
      <c r="J26" s="105"/>
      <c r="K26" s="103">
        <v>1</v>
      </c>
      <c r="L26" s="104"/>
      <c r="M26" s="105"/>
    </row>
    <row r="27" spans="1:13" s="28" customFormat="1" ht="14.25">
      <c r="A27" s="28" t="s">
        <v>102</v>
      </c>
      <c r="H27" s="68">
        <f>H24/H23*12</f>
        <v>0.22986553338313742</v>
      </c>
      <c r="I27" s="69"/>
      <c r="J27" s="70"/>
      <c r="K27" s="59" t="s">
        <v>71</v>
      </c>
      <c r="L27" s="60"/>
      <c r="M27" s="61"/>
    </row>
    <row r="28" spans="8:13" s="28" customFormat="1" ht="14.25">
      <c r="H28" s="59"/>
      <c r="I28" s="60"/>
      <c r="J28" s="61"/>
      <c r="K28" s="59"/>
      <c r="L28" s="60"/>
      <c r="M28" s="61"/>
    </row>
    <row r="29" spans="1:13" s="28" customFormat="1" ht="14.25">
      <c r="A29" s="28" t="s">
        <v>13</v>
      </c>
      <c r="H29" s="59" t="s">
        <v>71</v>
      </c>
      <c r="I29" s="60"/>
      <c r="J29" s="61"/>
      <c r="K29" s="68">
        <f>K22/H22*100%</f>
        <v>0.08695652173913043</v>
      </c>
      <c r="L29" s="60"/>
      <c r="M29" s="61"/>
    </row>
    <row r="30" spans="1:13" s="28" customFormat="1" ht="14.25">
      <c r="A30" s="28" t="s">
        <v>14</v>
      </c>
      <c r="H30" s="59" t="s">
        <v>71</v>
      </c>
      <c r="I30" s="60"/>
      <c r="J30" s="61"/>
      <c r="K30" s="68">
        <f>K25/H25*100%</f>
        <v>0.12278910993698254</v>
      </c>
      <c r="L30" s="69"/>
      <c r="M30" s="70"/>
    </row>
    <row r="31" spans="8:13" s="28" customFormat="1" ht="14.25">
      <c r="H31" s="59"/>
      <c r="I31" s="60"/>
      <c r="J31" s="61"/>
      <c r="K31" s="59"/>
      <c r="L31" s="60"/>
      <c r="M31" s="61"/>
    </row>
    <row r="32" spans="1:13" s="28" customFormat="1" ht="14.25">
      <c r="A32" s="28" t="s">
        <v>15</v>
      </c>
      <c r="H32" s="59">
        <v>29</v>
      </c>
      <c r="I32" s="60"/>
      <c r="J32" s="61"/>
      <c r="K32" s="59">
        <v>80</v>
      </c>
      <c r="L32" s="60"/>
      <c r="M32" s="61"/>
    </row>
    <row r="33" spans="1:13" s="28" customFormat="1" ht="14.25">
      <c r="A33" s="28" t="s">
        <v>73</v>
      </c>
      <c r="H33" s="89">
        <v>298.44</v>
      </c>
      <c r="I33" s="57"/>
      <c r="J33" s="58"/>
      <c r="K33" s="89">
        <v>463.22</v>
      </c>
      <c r="L33" s="57"/>
      <c r="M33" s="58"/>
    </row>
    <row r="34" spans="1:13" s="28" customFormat="1" ht="14.25">
      <c r="A34" s="28" t="s">
        <v>16</v>
      </c>
      <c r="H34" s="59">
        <v>58</v>
      </c>
      <c r="I34" s="60"/>
      <c r="J34" s="61"/>
      <c r="K34" s="59">
        <v>160</v>
      </c>
      <c r="L34" s="60"/>
      <c r="M34" s="61"/>
    </row>
    <row r="35" spans="1:13" s="28" customFormat="1" ht="14.25">
      <c r="A35" s="28" t="s">
        <v>17</v>
      </c>
      <c r="H35" s="102" t="s">
        <v>97</v>
      </c>
      <c r="I35" s="60"/>
      <c r="J35" s="61"/>
      <c r="K35" s="102" t="s">
        <v>97</v>
      </c>
      <c r="L35" s="60"/>
      <c r="M35" s="61"/>
    </row>
    <row r="36" spans="8:13" s="28" customFormat="1" ht="14.25">
      <c r="H36" s="59"/>
      <c r="I36" s="60"/>
      <c r="J36" s="61"/>
      <c r="K36" s="59"/>
      <c r="L36" s="60"/>
      <c r="M36" s="61"/>
    </row>
    <row r="37" spans="1:13" s="28" customFormat="1" ht="14.25">
      <c r="A37" s="28" t="s">
        <v>18</v>
      </c>
      <c r="H37" s="59" t="s">
        <v>69</v>
      </c>
      <c r="I37" s="60"/>
      <c r="J37" s="61"/>
      <c r="K37" s="59" t="s">
        <v>69</v>
      </c>
      <c r="L37" s="60"/>
      <c r="M37" s="61"/>
    </row>
    <row r="38" spans="1:13" s="28" customFormat="1" ht="14.25">
      <c r="A38" s="28" t="s">
        <v>19</v>
      </c>
      <c r="H38" s="99">
        <f>E12</f>
        <v>38231</v>
      </c>
      <c r="I38" s="100"/>
      <c r="J38" s="101"/>
      <c r="K38" s="99">
        <f>H38</f>
        <v>38231</v>
      </c>
      <c r="L38" s="100"/>
      <c r="M38" s="101"/>
    </row>
    <row r="39" s="28" customFormat="1" ht="14.25"/>
    <row r="40" s="28" customFormat="1" ht="15">
      <c r="A40" s="24" t="s">
        <v>20</v>
      </c>
    </row>
    <row r="41" spans="1:10" s="28" customFormat="1" ht="14.25">
      <c r="A41" s="28" t="s">
        <v>126</v>
      </c>
      <c r="H41" s="34"/>
      <c r="I41" s="34"/>
      <c r="J41" s="34"/>
    </row>
    <row r="42" spans="1:13" s="28" customFormat="1" ht="14.25">
      <c r="A42" s="28" t="s">
        <v>80</v>
      </c>
      <c r="H42" s="80">
        <v>223274259.93</v>
      </c>
      <c r="I42" s="81"/>
      <c r="J42" s="82"/>
      <c r="K42" s="35"/>
      <c r="L42" s="35"/>
      <c r="M42" s="35"/>
    </row>
    <row r="43" spans="1:13" s="28" customFormat="1" ht="15">
      <c r="A43" s="36" t="s">
        <v>104</v>
      </c>
      <c r="F43" s="27"/>
      <c r="H43" s="80">
        <v>219457067.68</v>
      </c>
      <c r="I43" s="81"/>
      <c r="J43" s="82"/>
      <c r="K43" s="35"/>
      <c r="L43" s="35"/>
      <c r="M43" s="35"/>
    </row>
    <row r="44" spans="1:13" s="28" customFormat="1" ht="14.25">
      <c r="A44" s="28" t="s">
        <v>81</v>
      </c>
      <c r="H44" s="80">
        <v>1134398.73</v>
      </c>
      <c r="I44" s="81"/>
      <c r="J44" s="82"/>
      <c r="K44" s="35"/>
      <c r="L44" s="35"/>
      <c r="M44" s="35"/>
    </row>
    <row r="45" spans="8:13" s="28" customFormat="1" ht="14.25">
      <c r="H45" s="59"/>
      <c r="I45" s="60"/>
      <c r="J45" s="61"/>
      <c r="K45" s="35"/>
      <c r="L45" s="35"/>
      <c r="M45" s="35"/>
    </row>
    <row r="46" spans="1:13" s="28" customFormat="1" ht="14.25">
      <c r="A46" s="28" t="s">
        <v>82</v>
      </c>
      <c r="H46" s="80">
        <f>H49+H50</f>
        <v>5909350.93</v>
      </c>
      <c r="I46" s="60"/>
      <c r="J46" s="61"/>
      <c r="K46" s="35"/>
      <c r="L46" s="35"/>
      <c r="M46" s="35"/>
    </row>
    <row r="47" spans="1:13" s="28" customFormat="1" ht="14.25">
      <c r="A47" s="28" t="s">
        <v>83</v>
      </c>
      <c r="H47" s="80">
        <v>1747913.1</v>
      </c>
      <c r="I47" s="60"/>
      <c r="J47" s="61"/>
      <c r="K47" s="35"/>
      <c r="L47" s="35"/>
      <c r="M47" s="35"/>
    </row>
    <row r="48" spans="1:13" s="28" customFormat="1" ht="14.25">
      <c r="A48" s="28" t="s">
        <v>84</v>
      </c>
      <c r="H48" s="59"/>
      <c r="I48" s="60"/>
      <c r="J48" s="61"/>
      <c r="K48" s="35"/>
      <c r="L48" s="37"/>
      <c r="M48" s="35"/>
    </row>
    <row r="49" spans="1:13" s="28" customFormat="1" ht="14.25">
      <c r="A49" s="28" t="s">
        <v>85</v>
      </c>
      <c r="H49" s="80">
        <v>3949637</v>
      </c>
      <c r="I49" s="60"/>
      <c r="J49" s="61"/>
      <c r="K49" s="80"/>
      <c r="L49" s="60"/>
      <c r="M49" s="60"/>
    </row>
    <row r="50" spans="1:27" s="28" customFormat="1" ht="14.25">
      <c r="A50" s="28" t="s">
        <v>95</v>
      </c>
      <c r="H50" s="80">
        <v>1959713.93</v>
      </c>
      <c r="I50" s="60"/>
      <c r="J50" s="61"/>
      <c r="K50" s="35"/>
      <c r="L50" s="37"/>
      <c r="M50" s="35"/>
      <c r="V50" s="59"/>
      <c r="W50" s="60"/>
      <c r="X50" s="61"/>
      <c r="Y50" s="68"/>
      <c r="Z50" s="69"/>
      <c r="AA50" s="70"/>
    </row>
    <row r="51" spans="1:13" s="28" customFormat="1" ht="14.25">
      <c r="A51" s="28" t="s">
        <v>86</v>
      </c>
      <c r="H51" s="80">
        <v>344242.93</v>
      </c>
      <c r="I51" s="81"/>
      <c r="J51" s="82"/>
      <c r="K51" s="35"/>
      <c r="L51" s="37"/>
      <c r="M51" s="35"/>
    </row>
    <row r="52" spans="1:13" s="28" customFormat="1" ht="14.25">
      <c r="A52" s="28" t="s">
        <v>87</v>
      </c>
      <c r="H52" s="80">
        <v>0</v>
      </c>
      <c r="I52" s="81"/>
      <c r="J52" s="82"/>
      <c r="K52" s="35"/>
      <c r="L52" s="37"/>
      <c r="M52" s="35"/>
    </row>
    <row r="53" spans="1:13" s="28" customFormat="1" ht="14.25">
      <c r="A53" s="28" t="s">
        <v>88</v>
      </c>
      <c r="H53" s="80">
        <f>H24</f>
        <v>3817190.399999976</v>
      </c>
      <c r="I53" s="81"/>
      <c r="J53" s="82"/>
      <c r="K53" s="35"/>
      <c r="L53" s="35"/>
      <c r="M53" s="35"/>
    </row>
    <row r="54" spans="1:13" s="28" customFormat="1" ht="14.25">
      <c r="A54" s="28" t="s">
        <v>89</v>
      </c>
      <c r="H54" s="59" t="s">
        <v>71</v>
      </c>
      <c r="I54" s="60"/>
      <c r="J54" s="61"/>
      <c r="K54" s="35"/>
      <c r="L54" s="35"/>
      <c r="M54" s="35"/>
    </row>
    <row r="55" spans="8:13" s="28" customFormat="1" ht="14.25">
      <c r="H55" s="59"/>
      <c r="I55" s="60"/>
      <c r="J55" s="61"/>
      <c r="K55" s="35"/>
      <c r="L55" s="35"/>
      <c r="M55" s="35"/>
    </row>
    <row r="56" spans="1:13" s="28" customFormat="1" ht="14.25">
      <c r="A56" s="28" t="s">
        <v>21</v>
      </c>
      <c r="H56" s="68">
        <f>(H46-H47)/H42*12*100%</f>
        <v>0.22365880408989422</v>
      </c>
      <c r="I56" s="69"/>
      <c r="J56" s="70"/>
      <c r="K56" s="35"/>
      <c r="L56" s="35"/>
      <c r="M56" s="35"/>
    </row>
    <row r="57" spans="1:13" s="28" customFormat="1" ht="14.25">
      <c r="A57" s="28" t="s">
        <v>70</v>
      </c>
      <c r="H57" s="68">
        <f>H49/H42*12*100%</f>
        <v>0.2122754499997415</v>
      </c>
      <c r="I57" s="69"/>
      <c r="J57" s="70"/>
      <c r="K57" s="35"/>
      <c r="L57" s="35"/>
      <c r="M57" s="35"/>
    </row>
    <row r="58" spans="1:13" s="28" customFormat="1" ht="14.25">
      <c r="A58" s="28" t="s">
        <v>22</v>
      </c>
      <c r="H58" s="71">
        <f>(H50-H47)/H42*12*100%</f>
        <v>0.011383354090152769</v>
      </c>
      <c r="I58" s="72"/>
      <c r="J58" s="73"/>
      <c r="K58" s="35"/>
      <c r="L58" s="35"/>
      <c r="M58" s="35"/>
    </row>
    <row r="59" spans="8:13" s="28" customFormat="1" ht="15.75">
      <c r="H59" s="33"/>
      <c r="I59" s="33"/>
      <c r="J59" s="33"/>
      <c r="K59" s="35"/>
      <c r="L59" s="38"/>
      <c r="M59" s="35"/>
    </row>
    <row r="60" spans="1:13" s="28" customFormat="1" ht="15.75">
      <c r="A60" s="27" t="s">
        <v>127</v>
      </c>
      <c r="H60" s="90">
        <v>165596.25</v>
      </c>
      <c r="I60" s="91"/>
      <c r="J60" s="92"/>
      <c r="K60" s="35"/>
      <c r="L60" s="38"/>
      <c r="M60" s="35"/>
    </row>
    <row r="61" spans="1:13" s="28" customFormat="1" ht="15">
      <c r="A61" s="27" t="s">
        <v>128</v>
      </c>
      <c r="H61" s="93">
        <v>0</v>
      </c>
      <c r="I61" s="94"/>
      <c r="J61" s="95"/>
      <c r="K61" s="35"/>
      <c r="L61" s="35"/>
      <c r="M61" s="35"/>
    </row>
    <row r="62" s="28" customFormat="1" ht="14.25"/>
    <row r="63" spans="1:13" s="28" customFormat="1" ht="15">
      <c r="A63" s="24" t="s">
        <v>129</v>
      </c>
      <c r="H63" s="35"/>
      <c r="I63" s="35"/>
      <c r="J63" s="35"/>
      <c r="K63" s="35"/>
      <c r="L63" s="35"/>
      <c r="M63" s="35"/>
    </row>
    <row r="64" spans="1:13" s="28" customFormat="1" ht="14.25">
      <c r="A64" s="28" t="s">
        <v>74</v>
      </c>
      <c r="H64" s="96">
        <v>200</v>
      </c>
      <c r="I64" s="97"/>
      <c r="J64" s="98"/>
      <c r="K64" s="35"/>
      <c r="L64" s="35"/>
      <c r="M64" s="35"/>
    </row>
    <row r="65" spans="1:13" s="28" customFormat="1" ht="14.25">
      <c r="A65" s="28" t="s">
        <v>75</v>
      </c>
      <c r="H65" s="89">
        <v>18970.01</v>
      </c>
      <c r="I65" s="57"/>
      <c r="J65" s="58"/>
      <c r="K65" s="35"/>
      <c r="L65" s="35"/>
      <c r="M65" s="35"/>
    </row>
    <row r="66" spans="1:13" s="28" customFormat="1" ht="14.25">
      <c r="A66" s="28" t="s">
        <v>23</v>
      </c>
      <c r="H66" s="89">
        <f>1175+300+400</f>
        <v>1875</v>
      </c>
      <c r="I66" s="57"/>
      <c r="J66" s="58"/>
      <c r="K66" s="35"/>
      <c r="L66" s="35"/>
      <c r="M66" s="35"/>
    </row>
    <row r="67" spans="1:13" s="28" customFormat="1" ht="14.25">
      <c r="A67" s="28" t="s">
        <v>24</v>
      </c>
      <c r="H67" s="54">
        <v>3430.33</v>
      </c>
      <c r="I67" s="55"/>
      <c r="J67" s="56"/>
      <c r="K67" s="35"/>
      <c r="L67" s="35"/>
      <c r="M67" s="35"/>
    </row>
    <row r="68" spans="8:13" s="28" customFormat="1" ht="14.25">
      <c r="H68" s="35"/>
      <c r="I68" s="35"/>
      <c r="J68" s="35"/>
      <c r="K68" s="35"/>
      <c r="L68" s="35"/>
      <c r="M68" s="35"/>
    </row>
    <row r="69" spans="1:13" s="28" customFormat="1" ht="15">
      <c r="A69" s="24" t="s">
        <v>25</v>
      </c>
      <c r="H69" s="35"/>
      <c r="I69" s="35"/>
      <c r="J69" s="35"/>
      <c r="K69" s="35"/>
      <c r="L69" s="35"/>
      <c r="M69" s="35"/>
    </row>
    <row r="70" spans="1:13" s="28" customFormat="1" ht="14.25">
      <c r="A70" s="36" t="s">
        <v>26</v>
      </c>
      <c r="H70" s="86">
        <v>27000000</v>
      </c>
      <c r="I70" s="87"/>
      <c r="J70" s="88"/>
      <c r="K70" s="35"/>
      <c r="L70" s="35"/>
      <c r="M70" s="35"/>
    </row>
    <row r="71" spans="1:13" s="28" customFormat="1" ht="14.25">
      <c r="A71" s="28" t="s">
        <v>27</v>
      </c>
      <c r="H71" s="80">
        <v>27000000</v>
      </c>
      <c r="I71" s="81"/>
      <c r="J71" s="82"/>
      <c r="K71" s="35"/>
      <c r="L71" s="35"/>
      <c r="M71" s="35"/>
    </row>
    <row r="72" spans="1:13" s="28" customFormat="1" ht="14.25">
      <c r="A72" s="28" t="s">
        <v>28</v>
      </c>
      <c r="H72" s="80">
        <v>0</v>
      </c>
      <c r="I72" s="81"/>
      <c r="J72" s="82"/>
      <c r="K72" s="35"/>
      <c r="L72" s="35"/>
      <c r="M72" s="35"/>
    </row>
    <row r="73" spans="1:13" s="28" customFormat="1" ht="14.25">
      <c r="A73" s="28" t="s">
        <v>29</v>
      </c>
      <c r="H73" s="59">
        <v>0</v>
      </c>
      <c r="I73" s="60"/>
      <c r="J73" s="61"/>
      <c r="K73" s="35"/>
      <c r="L73" s="35"/>
      <c r="M73" s="35"/>
    </row>
    <row r="74" spans="1:13" s="28" customFormat="1" ht="14.25">
      <c r="A74" s="28" t="s">
        <v>30</v>
      </c>
      <c r="H74" s="80">
        <v>0</v>
      </c>
      <c r="I74" s="81"/>
      <c r="J74" s="82"/>
      <c r="K74" s="35"/>
      <c r="L74" s="35"/>
      <c r="M74" s="35"/>
    </row>
    <row r="75" spans="1:13" s="28" customFormat="1" ht="14.25">
      <c r="A75" s="28" t="s">
        <v>31</v>
      </c>
      <c r="H75" s="89">
        <f>H67</f>
        <v>3430.33</v>
      </c>
      <c r="I75" s="57"/>
      <c r="J75" s="58"/>
      <c r="K75" s="35"/>
      <c r="L75" s="35"/>
      <c r="M75" s="35"/>
    </row>
    <row r="76" spans="1:13" s="28" customFormat="1" ht="14.25">
      <c r="A76" s="28" t="s">
        <v>32</v>
      </c>
      <c r="H76" s="71">
        <v>0.0015</v>
      </c>
      <c r="I76" s="63"/>
      <c r="J76" s="64"/>
      <c r="K76" s="35"/>
      <c r="L76" s="35"/>
      <c r="M76" s="35"/>
    </row>
    <row r="77" spans="8:13" s="28" customFormat="1" ht="14.25">
      <c r="H77" s="35"/>
      <c r="I77" s="35"/>
      <c r="J77" s="35"/>
      <c r="K77" s="35"/>
      <c r="L77" s="35"/>
      <c r="M77" s="35"/>
    </row>
    <row r="78" s="28" customFormat="1" ht="15">
      <c r="A78" s="24" t="s">
        <v>33</v>
      </c>
    </row>
    <row r="79" spans="1:10" s="28" customFormat="1" ht="14.25">
      <c r="A79" s="36" t="s">
        <v>103</v>
      </c>
      <c r="H79" s="86">
        <v>5250000</v>
      </c>
      <c r="I79" s="87"/>
      <c r="J79" s="88"/>
    </row>
    <row r="80" spans="1:10" s="28" customFormat="1" ht="14.25">
      <c r="A80" s="28" t="s">
        <v>34</v>
      </c>
      <c r="H80" s="80">
        <v>7500000</v>
      </c>
      <c r="I80" s="81"/>
      <c r="J80" s="82"/>
    </row>
    <row r="81" spans="1:10" s="28" customFormat="1" ht="14.25">
      <c r="A81" s="28" t="s">
        <v>35</v>
      </c>
      <c r="H81" s="80">
        <v>0</v>
      </c>
      <c r="I81" s="60"/>
      <c r="J81" s="61"/>
    </row>
    <row r="82" spans="1:10" s="28" customFormat="1" ht="14.25">
      <c r="A82" s="28" t="s">
        <v>36</v>
      </c>
      <c r="H82" s="59"/>
      <c r="I82" s="60"/>
      <c r="J82" s="61"/>
    </row>
    <row r="83" spans="1:10" s="28" customFormat="1" ht="14.25">
      <c r="A83" s="28" t="s">
        <v>37</v>
      </c>
      <c r="H83" s="59">
        <v>0</v>
      </c>
      <c r="I83" s="60"/>
      <c r="J83" s="61"/>
    </row>
    <row r="84" spans="1:10" s="28" customFormat="1" ht="14.25">
      <c r="A84" s="28" t="s">
        <v>38</v>
      </c>
      <c r="H84" s="59">
        <v>0</v>
      </c>
      <c r="I84" s="60"/>
      <c r="J84" s="61"/>
    </row>
    <row r="85" spans="1:10" s="28" customFormat="1" ht="14.25">
      <c r="A85" s="28" t="s">
        <v>39</v>
      </c>
      <c r="H85" s="59">
        <v>0</v>
      </c>
      <c r="I85" s="60"/>
      <c r="J85" s="61"/>
    </row>
    <row r="86" spans="1:10" s="28" customFormat="1" ht="14.25">
      <c r="A86" s="28" t="s">
        <v>40</v>
      </c>
      <c r="H86" s="83">
        <f>H80+H81</f>
        <v>7500000</v>
      </c>
      <c r="I86" s="84"/>
      <c r="J86" s="85"/>
    </row>
    <row r="87" s="28" customFormat="1" ht="14.25"/>
    <row r="88" s="28" customFormat="1" ht="15">
      <c r="A88" s="24" t="s">
        <v>41</v>
      </c>
    </row>
    <row r="89" spans="1:10" s="28" customFormat="1" ht="14.25">
      <c r="A89" s="28" t="s">
        <v>42</v>
      </c>
      <c r="H89" s="65">
        <v>0</v>
      </c>
      <c r="I89" s="66"/>
      <c r="J89" s="67"/>
    </row>
    <row r="90" spans="1:10" s="28" customFormat="1" ht="14.25">
      <c r="A90" s="28" t="s">
        <v>43</v>
      </c>
      <c r="H90" s="59">
        <v>0</v>
      </c>
      <c r="I90" s="60"/>
      <c r="J90" s="61"/>
    </row>
    <row r="91" spans="1:10" s="28" customFormat="1" ht="14.25">
      <c r="A91" s="28" t="s">
        <v>44</v>
      </c>
      <c r="H91" s="59">
        <v>0</v>
      </c>
      <c r="I91" s="60"/>
      <c r="J91" s="61"/>
    </row>
    <row r="92" spans="1:10" s="28" customFormat="1" ht="14.25">
      <c r="A92" s="28" t="s">
        <v>45</v>
      </c>
      <c r="H92" s="62">
        <v>0</v>
      </c>
      <c r="I92" s="63"/>
      <c r="J92" s="64"/>
    </row>
    <row r="93" s="28" customFormat="1" ht="14.25"/>
    <row r="94" s="28" customFormat="1" ht="15">
      <c r="A94" s="39" t="s">
        <v>130</v>
      </c>
    </row>
    <row r="95" spans="1:13" s="28" customFormat="1" ht="15">
      <c r="A95" s="27" t="s">
        <v>46</v>
      </c>
      <c r="H95" s="77" t="s">
        <v>76</v>
      </c>
      <c r="I95" s="78"/>
      <c r="J95" s="79"/>
      <c r="K95" s="77" t="s">
        <v>65</v>
      </c>
      <c r="L95" s="78"/>
      <c r="M95" s="79"/>
    </row>
    <row r="96" spans="1:13" s="28" customFormat="1" ht="14.25">
      <c r="A96" s="28" t="s">
        <v>47</v>
      </c>
      <c r="H96" s="80">
        <v>215976458.09</v>
      </c>
      <c r="I96" s="81"/>
      <c r="J96" s="82"/>
      <c r="K96" s="59">
        <v>2921</v>
      </c>
      <c r="L96" s="60"/>
      <c r="M96" s="61"/>
    </row>
    <row r="97" spans="1:13" s="28" customFormat="1" ht="14.25">
      <c r="A97" s="28" t="s">
        <v>48</v>
      </c>
      <c r="H97" s="80">
        <v>2643275.3</v>
      </c>
      <c r="I97" s="81"/>
      <c r="J97" s="82"/>
      <c r="K97" s="59">
        <v>12</v>
      </c>
      <c r="L97" s="60"/>
      <c r="M97" s="61"/>
    </row>
    <row r="98" spans="1:13" s="28" customFormat="1" ht="14.25">
      <c r="A98" s="28" t="s">
        <v>49</v>
      </c>
      <c r="H98" s="80">
        <v>1335.34</v>
      </c>
      <c r="I98" s="81"/>
      <c r="J98" s="82"/>
      <c r="K98" s="59">
        <v>1</v>
      </c>
      <c r="L98" s="60"/>
      <c r="M98" s="61"/>
    </row>
    <row r="99" spans="1:13" s="28" customFormat="1" ht="14.25">
      <c r="A99" s="28" t="s">
        <v>50</v>
      </c>
      <c r="H99" s="80">
        <v>757127.73</v>
      </c>
      <c r="I99" s="81"/>
      <c r="J99" s="82"/>
      <c r="K99" s="59">
        <v>7</v>
      </c>
      <c r="L99" s="60"/>
      <c r="M99" s="61"/>
    </row>
    <row r="100" spans="1:13" s="28" customFormat="1" ht="14.25">
      <c r="A100" s="28" t="s">
        <v>51</v>
      </c>
      <c r="H100" s="80">
        <f>62216.66+10184.85</f>
        <v>72401.51000000001</v>
      </c>
      <c r="I100" s="81"/>
      <c r="J100" s="82"/>
      <c r="K100" s="59">
        <f>2+1</f>
        <v>3</v>
      </c>
      <c r="L100" s="60"/>
      <c r="M100" s="61"/>
    </row>
    <row r="101" spans="1:13" s="28" customFormat="1" ht="14.25">
      <c r="A101" s="28" t="s">
        <v>52</v>
      </c>
      <c r="H101" s="80">
        <f>5972.32+279.14</f>
        <v>6251.46</v>
      </c>
      <c r="I101" s="81"/>
      <c r="J101" s="82"/>
      <c r="K101" s="59">
        <f>1+1</f>
        <v>2</v>
      </c>
      <c r="L101" s="60"/>
      <c r="M101" s="61"/>
    </row>
    <row r="102" spans="1:13" s="28" customFormat="1" ht="14.25">
      <c r="A102" s="28" t="s">
        <v>105</v>
      </c>
      <c r="H102" s="80">
        <v>218.25</v>
      </c>
      <c r="I102" s="81"/>
      <c r="J102" s="82"/>
      <c r="K102" s="59">
        <v>1</v>
      </c>
      <c r="L102" s="60"/>
      <c r="M102" s="61"/>
    </row>
    <row r="103" spans="1:13" s="28" customFormat="1" ht="14.25">
      <c r="A103" s="28" t="s">
        <v>116</v>
      </c>
      <c r="H103" s="80">
        <v>0</v>
      </c>
      <c r="I103" s="81"/>
      <c r="J103" s="82"/>
      <c r="K103" s="59">
        <v>0</v>
      </c>
      <c r="L103" s="60"/>
      <c r="M103" s="61"/>
    </row>
    <row r="104" spans="1:13" s="28" customFormat="1" ht="14.25">
      <c r="A104" s="28" t="s">
        <v>115</v>
      </c>
      <c r="H104" s="40"/>
      <c r="I104" s="41">
        <f>SUM(H96:J103)</f>
        <v>219457067.68</v>
      </c>
      <c r="J104" s="42"/>
      <c r="K104" s="43"/>
      <c r="L104" s="44">
        <f>SUM(K96:M103)</f>
        <v>2947</v>
      </c>
      <c r="M104" s="45"/>
    </row>
    <row r="105" spans="8:13" s="28" customFormat="1" ht="14.25">
      <c r="H105" s="32"/>
      <c r="I105" s="32"/>
      <c r="J105" s="32"/>
      <c r="K105" s="31"/>
      <c r="L105" s="31"/>
      <c r="M105" s="31"/>
    </row>
    <row r="106" spans="1:13" s="28" customFormat="1" ht="15">
      <c r="A106" s="24" t="s">
        <v>131</v>
      </c>
      <c r="H106" s="32"/>
      <c r="I106" s="32"/>
      <c r="J106" s="32"/>
      <c r="K106" s="31"/>
      <c r="L106" s="31"/>
      <c r="M106" s="31"/>
    </row>
    <row r="107" spans="1:13" s="28" customFormat="1" ht="15">
      <c r="A107" s="27" t="s">
        <v>111</v>
      </c>
      <c r="H107" s="74" t="s">
        <v>114</v>
      </c>
      <c r="I107" s="75"/>
      <c r="J107" s="76"/>
      <c r="K107" s="31"/>
      <c r="L107" s="31"/>
      <c r="M107" s="31"/>
    </row>
    <row r="108" spans="1:13" s="28" customFormat="1" ht="14.25">
      <c r="A108" s="28" t="s">
        <v>112</v>
      </c>
      <c r="H108" s="68">
        <f>63647057.8/219457067.68</f>
        <v>0.2900205423905808</v>
      </c>
      <c r="I108" s="69"/>
      <c r="J108" s="70"/>
      <c r="K108" s="31"/>
      <c r="L108" s="31"/>
      <c r="M108" s="31"/>
    </row>
    <row r="109" spans="1:13" s="28" customFormat="1" ht="14.25">
      <c r="A109" s="28" t="s">
        <v>113</v>
      </c>
      <c r="H109" s="71">
        <f>62484355.93/219457067.68</f>
        <v>0.2847224588870894</v>
      </c>
      <c r="I109" s="72"/>
      <c r="J109" s="73"/>
      <c r="K109" s="31"/>
      <c r="L109" s="31"/>
      <c r="M109" s="31"/>
    </row>
    <row r="110" spans="8:13" s="28" customFormat="1" ht="14.25">
      <c r="H110" s="32"/>
      <c r="I110" s="32"/>
      <c r="J110" s="32"/>
      <c r="K110" s="31"/>
      <c r="L110" s="31"/>
      <c r="M110" s="31"/>
    </row>
    <row r="111" spans="1:16" s="28" customFormat="1" ht="15">
      <c r="A111" s="24" t="s">
        <v>117</v>
      </c>
      <c r="H111" s="74" t="s">
        <v>108</v>
      </c>
      <c r="I111" s="75"/>
      <c r="J111" s="76"/>
      <c r="K111" s="77" t="s">
        <v>109</v>
      </c>
      <c r="L111" s="78"/>
      <c r="M111" s="79"/>
      <c r="N111" s="77" t="s">
        <v>110</v>
      </c>
      <c r="O111" s="78"/>
      <c r="P111" s="79"/>
    </row>
    <row r="112" spans="1:16" s="28" customFormat="1" ht="14.25">
      <c r="A112" s="28" t="s">
        <v>106</v>
      </c>
      <c r="H112" s="68">
        <v>0.7353</v>
      </c>
      <c r="I112" s="69"/>
      <c r="J112" s="70"/>
      <c r="K112" s="68">
        <v>0.7453</v>
      </c>
      <c r="L112" s="69"/>
      <c r="M112" s="70"/>
      <c r="N112" s="68">
        <v>0.7144</v>
      </c>
      <c r="O112" s="69"/>
      <c r="P112" s="70"/>
    </row>
    <row r="113" spans="1:16" s="28" customFormat="1" ht="14.25">
      <c r="A113" s="28" t="s">
        <v>107</v>
      </c>
      <c r="H113" s="71">
        <v>0.7211</v>
      </c>
      <c r="I113" s="72"/>
      <c r="J113" s="73"/>
      <c r="K113" s="71">
        <v>0.7311</v>
      </c>
      <c r="L113" s="72"/>
      <c r="M113" s="73"/>
      <c r="N113" s="71">
        <v>0.6881</v>
      </c>
      <c r="O113" s="72"/>
      <c r="P113" s="73"/>
    </row>
    <row r="114" s="28" customFormat="1" ht="14.25">
      <c r="H114" s="46"/>
    </row>
    <row r="115" spans="1:13" s="28" customFormat="1" ht="15">
      <c r="A115" s="24" t="s">
        <v>53</v>
      </c>
      <c r="K115" s="35"/>
      <c r="L115" s="35"/>
      <c r="M115" s="35"/>
    </row>
    <row r="116" spans="1:13" s="28" customFormat="1" ht="14.25">
      <c r="A116" s="28" t="s">
        <v>54</v>
      </c>
      <c r="H116" s="65">
        <v>0</v>
      </c>
      <c r="I116" s="66"/>
      <c r="J116" s="67"/>
      <c r="K116" s="35"/>
      <c r="L116" s="35"/>
      <c r="M116" s="35"/>
    </row>
    <row r="117" spans="1:13" s="28" customFormat="1" ht="14.25">
      <c r="A117" s="28" t="s">
        <v>55</v>
      </c>
      <c r="H117" s="59">
        <v>0</v>
      </c>
      <c r="I117" s="60"/>
      <c r="J117" s="61"/>
      <c r="K117" s="35"/>
      <c r="L117" s="35"/>
      <c r="M117" s="35"/>
    </row>
    <row r="118" spans="8:13" s="28" customFormat="1" ht="14.25">
      <c r="H118" s="59"/>
      <c r="I118" s="60"/>
      <c r="J118" s="61"/>
      <c r="K118" s="35"/>
      <c r="L118" s="35"/>
      <c r="M118" s="35"/>
    </row>
    <row r="119" spans="1:13" s="28" customFormat="1" ht="14.25">
      <c r="A119" s="28" t="s">
        <v>56</v>
      </c>
      <c r="H119" s="59">
        <v>0</v>
      </c>
      <c r="I119" s="60"/>
      <c r="J119" s="61"/>
      <c r="K119" s="35"/>
      <c r="L119" s="35"/>
      <c r="M119" s="35"/>
    </row>
    <row r="120" spans="1:13" s="28" customFormat="1" ht="14.25">
      <c r="A120" s="28" t="s">
        <v>57</v>
      </c>
      <c r="H120" s="59">
        <v>0</v>
      </c>
      <c r="I120" s="60"/>
      <c r="J120" s="61"/>
      <c r="K120" s="35"/>
      <c r="L120" s="35"/>
      <c r="M120" s="35"/>
    </row>
    <row r="121" spans="1:13" s="28" customFormat="1" ht="14.25">
      <c r="A121" s="28" t="s">
        <v>58</v>
      </c>
      <c r="H121" s="62">
        <v>0</v>
      </c>
      <c r="I121" s="63"/>
      <c r="J121" s="64"/>
      <c r="K121" s="35"/>
      <c r="L121" s="35"/>
      <c r="M121" s="35"/>
    </row>
    <row r="122" spans="11:13" s="28" customFormat="1" ht="14.25">
      <c r="K122" s="35"/>
      <c r="L122" s="35"/>
      <c r="M122" s="35"/>
    </row>
    <row r="123" s="28" customFormat="1" ht="15">
      <c r="A123" s="24" t="s">
        <v>59</v>
      </c>
    </row>
    <row r="124" spans="1:10" s="28" customFormat="1" ht="14.25">
      <c r="A124" s="28" t="s">
        <v>90</v>
      </c>
      <c r="H124" s="65">
        <v>0</v>
      </c>
      <c r="I124" s="66"/>
      <c r="J124" s="67"/>
    </row>
    <row r="125" spans="1:10" s="28" customFormat="1" ht="14.25">
      <c r="A125" s="28" t="s">
        <v>91</v>
      </c>
      <c r="H125" s="59">
        <v>0</v>
      </c>
      <c r="I125" s="60"/>
      <c r="J125" s="61"/>
    </row>
    <row r="126" spans="1:10" s="28" customFormat="1" ht="14.25">
      <c r="A126" s="28" t="s">
        <v>92</v>
      </c>
      <c r="H126" s="59">
        <v>0</v>
      </c>
      <c r="I126" s="60"/>
      <c r="J126" s="61"/>
    </row>
    <row r="127" spans="1:10" s="28" customFormat="1" ht="14.25">
      <c r="A127" s="28" t="s">
        <v>93</v>
      </c>
      <c r="H127" s="59">
        <v>0</v>
      </c>
      <c r="I127" s="60"/>
      <c r="J127" s="61"/>
    </row>
    <row r="128" spans="1:10" s="28" customFormat="1" ht="14.25">
      <c r="A128" s="28" t="s">
        <v>94</v>
      </c>
      <c r="H128" s="59">
        <v>0</v>
      </c>
      <c r="I128" s="60"/>
      <c r="J128" s="61"/>
    </row>
    <row r="129" spans="1:10" s="28" customFormat="1" ht="14.25">
      <c r="A129" s="28" t="s">
        <v>60</v>
      </c>
      <c r="H129" s="59">
        <v>0</v>
      </c>
      <c r="I129" s="60"/>
      <c r="J129" s="61"/>
    </row>
    <row r="130" spans="1:10" s="28" customFormat="1" ht="14.25">
      <c r="A130" s="28" t="s">
        <v>61</v>
      </c>
      <c r="H130" s="59">
        <v>0</v>
      </c>
      <c r="I130" s="60"/>
      <c r="J130" s="61"/>
    </row>
    <row r="131" spans="1:10" s="28" customFormat="1" ht="14.25">
      <c r="A131" s="28" t="s">
        <v>62</v>
      </c>
      <c r="H131" s="62">
        <v>0</v>
      </c>
      <c r="I131" s="63"/>
      <c r="J131" s="64"/>
    </row>
    <row r="132" s="28" customFormat="1" ht="14.25"/>
  </sheetData>
  <mergeCells count="137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V50:X50"/>
    <mergeCell ref="Y50:AA50"/>
    <mergeCell ref="H51:J51"/>
    <mergeCell ref="H52:J52"/>
    <mergeCell ref="H53:J53"/>
    <mergeCell ref="H54:J54"/>
    <mergeCell ref="H55:J55"/>
    <mergeCell ref="H56:J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3:J83"/>
    <mergeCell ref="H84:J84"/>
    <mergeCell ref="H85:J85"/>
    <mergeCell ref="H86:J86"/>
    <mergeCell ref="H89:J89"/>
    <mergeCell ref="H90:J90"/>
    <mergeCell ref="H91:J91"/>
    <mergeCell ref="H92:J92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0:J100"/>
    <mergeCell ref="K100:M100"/>
    <mergeCell ref="H101:J101"/>
    <mergeCell ref="K101:M101"/>
    <mergeCell ref="H102:J102"/>
    <mergeCell ref="K102:M102"/>
    <mergeCell ref="H103:J103"/>
    <mergeCell ref="K103:M103"/>
    <mergeCell ref="H107:J107"/>
    <mergeCell ref="H108:J108"/>
    <mergeCell ref="H109:J109"/>
    <mergeCell ref="H111:J111"/>
    <mergeCell ref="K111:M111"/>
    <mergeCell ref="N111:P111"/>
    <mergeCell ref="H112:J112"/>
    <mergeCell ref="K112:M112"/>
    <mergeCell ref="N112:P112"/>
    <mergeCell ref="H113:J113"/>
    <mergeCell ref="K113:M113"/>
    <mergeCell ref="N113:P113"/>
    <mergeCell ref="H116:J116"/>
    <mergeCell ref="H117:J117"/>
    <mergeCell ref="H118:J118"/>
    <mergeCell ref="H119:J119"/>
    <mergeCell ref="H120:J120"/>
    <mergeCell ref="H121:J121"/>
    <mergeCell ref="H124:J124"/>
    <mergeCell ref="H125:J125"/>
    <mergeCell ref="H130:J130"/>
    <mergeCell ref="H131:J131"/>
    <mergeCell ref="H126:J126"/>
    <mergeCell ref="H127:J127"/>
    <mergeCell ref="H128:J128"/>
    <mergeCell ref="H129:J129"/>
  </mergeCells>
  <printOptions/>
  <pageMargins left="0.75" right="0.75" top="1" bottom="1" header="0.5" footer="0.5"/>
  <pageSetup horizontalDpi="600" verticalDpi="600" orientation="portrait" paperSize="9" scale="44" r:id="rId1"/>
  <rowBreaks count="1" manualBreakCount="1">
    <brk id="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38504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0.0485438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106" t="s">
        <v>68</v>
      </c>
      <c r="I12" s="107"/>
      <c r="J12" s="108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106" t="s">
        <v>68</v>
      </c>
      <c r="I13" s="107"/>
      <c r="J13" s="108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169557012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1550485.199999988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168006526.8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0.6087193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0.10973195493678467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0.14285159307275197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257.38</v>
      </c>
      <c r="I26" s="171"/>
      <c r="J26" s="172"/>
      <c r="K26" s="170">
        <v>464.74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38504</v>
      </c>
      <c r="I31" s="135"/>
      <c r="J31" s="136"/>
      <c r="K31" s="134">
        <f>H31</f>
        <v>38504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179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193556987.56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192006508.05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1037058.05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3146806.71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1352630.98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2164574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982232.71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243690.3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1550485.199999988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0.11123395249849073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0.13419762483102368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-0.02296367233253297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180</v>
      </c>
      <c r="B53" s="2"/>
      <c r="C53" s="2"/>
      <c r="D53" s="2"/>
      <c r="E53" s="2"/>
      <c r="F53" s="2"/>
      <c r="G53" s="2"/>
      <c r="H53" s="175">
        <f>1037058.08-744651.45-115643.55</f>
        <v>176763.08000000002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181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182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17025.24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</f>
        <v>1702.5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3439.73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3439.73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183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188237260.47</v>
      </c>
      <c r="I91" s="165"/>
      <c r="J91" s="166"/>
      <c r="K91" s="184">
        <v>2517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970456.29</v>
      </c>
      <c r="I92" s="165"/>
      <c r="J92" s="166"/>
      <c r="K92" s="184">
        <v>6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2074466.34</v>
      </c>
      <c r="I93" s="165"/>
      <c r="J93" s="166"/>
      <c r="K93" s="184">
        <v>10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126515.2</v>
      </c>
      <c r="I94" s="165"/>
      <c r="J94" s="166"/>
      <c r="K94" s="184">
        <v>6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126540.46</v>
      </c>
      <c r="I95" s="165"/>
      <c r="J95" s="166"/>
      <c r="K95" s="184">
        <v>1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50216.82</v>
      </c>
      <c r="I96" s="165"/>
      <c r="J96" s="166"/>
      <c r="K96" s="184">
        <v>3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420834.22</v>
      </c>
      <c r="I99" s="192"/>
      <c r="J99" s="193"/>
      <c r="K99" s="194">
        <v>2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192006508.04999998</v>
      </c>
      <c r="J100" s="21"/>
      <c r="K100" s="22"/>
      <c r="L100" s="14">
        <f>SUM(K91:M99)</f>
        <v>2546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184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56911403.24/192006508</f>
        <v>0.29640351169763474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55312555.87/192006508</f>
        <v>0.2880764638977758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0.7063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0.6796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99:J99"/>
    <mergeCell ref="K99:M99"/>
    <mergeCell ref="H127:J127"/>
    <mergeCell ref="H123:J123"/>
    <mergeCell ref="H124:J124"/>
    <mergeCell ref="H125:J125"/>
    <mergeCell ref="H126:J126"/>
    <mergeCell ref="H117:J117"/>
    <mergeCell ref="H120:J120"/>
    <mergeCell ref="H121:J121"/>
    <mergeCell ref="H122:J122"/>
    <mergeCell ref="H113:J113"/>
    <mergeCell ref="H114:J114"/>
    <mergeCell ref="H115:J115"/>
    <mergeCell ref="H116:J116"/>
    <mergeCell ref="H109:J109"/>
    <mergeCell ref="K109:M109"/>
    <mergeCell ref="N109:P109"/>
    <mergeCell ref="H112:J112"/>
    <mergeCell ref="K107:M107"/>
    <mergeCell ref="N107:P107"/>
    <mergeCell ref="H108:J108"/>
    <mergeCell ref="K108:M108"/>
    <mergeCell ref="N108:P108"/>
    <mergeCell ref="H103:J103"/>
    <mergeCell ref="H104:J104"/>
    <mergeCell ref="H105:J105"/>
    <mergeCell ref="H107:J107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38534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0.0479375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168006527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3460212.199999988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164546314.8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0.5961823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0.2471484122756722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0.14585559104846021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257.41</v>
      </c>
      <c r="I26" s="171"/>
      <c r="J26" s="172"/>
      <c r="K26" s="170">
        <v>475.09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38534</v>
      </c>
      <c r="I31" s="135"/>
      <c r="J31" s="136"/>
      <c r="K31" s="134">
        <f>H31</f>
        <v>38534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186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192006508.05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188546306.42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1007267.76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4571555.64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944851.15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3585186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986369.64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166484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3460212.199999988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0.22666134769070917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0.22406653001989218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0.002594817670816965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187</v>
      </c>
      <c r="B53" s="2"/>
      <c r="C53" s="2"/>
      <c r="D53" s="2"/>
      <c r="E53" s="2"/>
      <c r="F53" s="2"/>
      <c r="G53" s="2"/>
      <c r="H53" s="175">
        <f>1007267.76-710368.8-111537.6</f>
        <v>185361.35999999996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188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189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15725.82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</f>
        <v>1702.5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3328.77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3328.77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190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184087739.3</v>
      </c>
      <c r="I91" s="165"/>
      <c r="J91" s="166"/>
      <c r="K91" s="184">
        <v>2468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1666881.03</v>
      </c>
      <c r="I92" s="165"/>
      <c r="J92" s="166"/>
      <c r="K92" s="184">
        <v>16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553353.07</v>
      </c>
      <c r="I93" s="165"/>
      <c r="J93" s="166"/>
      <c r="K93" s="184">
        <v>9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1752693.48</v>
      </c>
      <c r="I94" s="165"/>
      <c r="J94" s="166"/>
      <c r="K94" s="184">
        <v>4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956.51</v>
      </c>
      <c r="I95" s="165"/>
      <c r="J95" s="166"/>
      <c r="K95" s="184">
        <v>1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5972.32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478492.46</v>
      </c>
      <c r="I99" s="192"/>
      <c r="J99" s="193"/>
      <c r="K99" s="194">
        <v>3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188546306.42</v>
      </c>
      <c r="J100" s="21"/>
      <c r="K100" s="22"/>
      <c r="L100" s="14">
        <f>SUM(K91:M99)</f>
        <v>2503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191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54616481.21/188546306</f>
        <v>0.28967144659943644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55008447.55/188546306</f>
        <v>0.29175033293943187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0.706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0.6795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8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38565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0.0464063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164546314.8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5772015.600000024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158774299.2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0.5752692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0.4209403734394681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0.15115796524328165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240.9</v>
      </c>
      <c r="I26" s="171"/>
      <c r="J26" s="172"/>
      <c r="K26" s="170">
        <v>462.08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38565</v>
      </c>
      <c r="I31" s="135"/>
      <c r="J31" s="136"/>
      <c r="K31" s="134">
        <f>H31</f>
        <v>38565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192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188546306.42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182774292.61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973761.84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6774266.779999999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931208.99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3977483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2796783.78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71035.15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5772015.600000024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0.3718804935049228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0.25314627958650415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0.1187342139184187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193</v>
      </c>
      <c r="B53" s="2"/>
      <c r="C53" s="2"/>
      <c r="D53" s="2"/>
      <c r="E53" s="2"/>
      <c r="F53" s="2"/>
      <c r="G53" s="2"/>
      <c r="H53" s="175">
        <f>973761.84-710451.6-114021.6</f>
        <v>149288.63999999998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194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195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15234.43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</f>
        <v>1702.5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3439.73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3439.73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196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177342194.38</v>
      </c>
      <c r="I91" s="165"/>
      <c r="J91" s="166"/>
      <c r="K91" s="184">
        <v>2424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2178110.88</v>
      </c>
      <c r="I92" s="165"/>
      <c r="J92" s="166"/>
      <c r="K92" s="184">
        <v>19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2218479.61</v>
      </c>
      <c r="I93" s="165"/>
      <c r="J93" s="166"/>
      <c r="K93" s="184">
        <v>8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434700.16</v>
      </c>
      <c r="I94" s="165"/>
      <c r="J94" s="166"/>
      <c r="K94" s="184">
        <v>6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3135.19</v>
      </c>
      <c r="I95" s="165"/>
      <c r="J95" s="166"/>
      <c r="K95" s="184">
        <v>1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6222.01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591232.13</v>
      </c>
      <c r="I99" s="192"/>
      <c r="J99" s="193"/>
      <c r="K99" s="194">
        <v>5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182774292.60999998</v>
      </c>
      <c r="J100" s="21"/>
      <c r="K100" s="22"/>
      <c r="L100" s="14">
        <f>SUM(K91:M99)</f>
        <v>2466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197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54164675.51/182774293</f>
        <v>0.2963473397760592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52931664.99/182774293</f>
        <v>0.28960125694481553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0.7027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0.6762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38596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0.0459063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158774299.2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3312469.199999988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155461830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0.5632675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0.2503530521015196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0.15437873077912437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241.02</v>
      </c>
      <c r="I26" s="171"/>
      <c r="J26" s="172"/>
      <c r="K26" s="170">
        <v>472.6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38596</v>
      </c>
      <c r="I31" s="135"/>
      <c r="J31" s="136"/>
      <c r="K31" s="134">
        <f>H31</f>
        <v>38596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199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182774292.61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179461804.11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955115.35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4767577.61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1180076.07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4148954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618623.61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275006.61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3312469.199999988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0.23553650716000435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0.2723985265599436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-0.036862019399939286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200</v>
      </c>
      <c r="B53" s="2"/>
      <c r="C53" s="2"/>
      <c r="D53" s="2"/>
      <c r="E53" s="2"/>
      <c r="F53" s="2"/>
      <c r="G53" s="2"/>
      <c r="H53" s="175">
        <f>955115.35-664884-110899.2</f>
        <v>179332.14999999997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201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202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14968.12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</f>
        <v>1702.5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3439.73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3439.73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203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175383932.41</v>
      </c>
      <c r="I91" s="165"/>
      <c r="J91" s="166"/>
      <c r="K91" s="184">
        <v>2380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2915655.08</v>
      </c>
      <c r="I92" s="165"/>
      <c r="J92" s="166"/>
      <c r="K92" s="184">
        <v>14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537226.71</v>
      </c>
      <c r="I93" s="165"/>
      <c r="J93" s="166"/>
      <c r="K93" s="184">
        <v>7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80830.68</v>
      </c>
      <c r="I94" s="165"/>
      <c r="J94" s="166"/>
      <c r="K94" s="184">
        <v>3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5972.32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537968.66</v>
      </c>
      <c r="I99" s="192"/>
      <c r="J99" s="193"/>
      <c r="K99" s="194">
        <v>4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179461804.11</v>
      </c>
      <c r="J100" s="21"/>
      <c r="K100" s="22"/>
      <c r="L100" s="14">
        <f>SUM(K91:M99)</f>
        <v>2410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204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53347546.23/179461804</f>
        <v>0.2972640697961556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52034766.35/179461804</f>
        <v>0.28994897627352506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0.7012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0.6754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3:J103"/>
    <mergeCell ref="H104:J104"/>
    <mergeCell ref="H105:J105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12:J112"/>
    <mergeCell ref="H113:J113"/>
    <mergeCell ref="H114:J114"/>
    <mergeCell ref="H115:J115"/>
    <mergeCell ref="H116:J116"/>
    <mergeCell ref="H117:J117"/>
    <mergeCell ref="H120:J120"/>
    <mergeCell ref="H121:J121"/>
    <mergeCell ref="H126:J126"/>
    <mergeCell ref="H127:J127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38628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0.046025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155461830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2740983.599999994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152720846.4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0.5533364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0.2115747846271971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0.15714946954353703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215.09</v>
      </c>
      <c r="I26" s="171"/>
      <c r="J26" s="172"/>
      <c r="K26" s="170">
        <v>429.24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38628</v>
      </c>
      <c r="I31" s="135"/>
      <c r="J31" s="136"/>
      <c r="K31" s="134">
        <f>H31</f>
        <v>38628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205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179461804.11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176720843.26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903196.92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3824764.76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979934.68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2880254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944510.76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103843.15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2740983.599999994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0.19022410439535836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0.19259278135204078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-0.002368676956682359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206</v>
      </c>
      <c r="B53" s="2"/>
      <c r="C53" s="2"/>
      <c r="D53" s="2"/>
      <c r="E53" s="2"/>
      <c r="F53" s="2"/>
      <c r="G53" s="2"/>
      <c r="H53" s="175">
        <f>903196.96-623639.25-106335</f>
        <v>173222.70999999996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207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208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13804.97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587.5+850+265+150.12</f>
        <v>1852.62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3328.77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3328.77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209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171003171.28</v>
      </c>
      <c r="I91" s="165"/>
      <c r="J91" s="166"/>
      <c r="K91" s="184">
        <v>2343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3275550.78</v>
      </c>
      <c r="I92" s="165"/>
      <c r="J92" s="166"/>
      <c r="K92" s="184">
        <v>15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622328.7</v>
      </c>
      <c r="I93" s="165"/>
      <c r="J93" s="166"/>
      <c r="K93" s="184">
        <v>6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861.77</v>
      </c>
      <c r="I94" s="165"/>
      <c r="J94" s="166"/>
      <c r="K94" s="184">
        <v>1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5972.32</v>
      </c>
      <c r="I95" s="165"/>
      <c r="J95" s="166"/>
      <c r="K95" s="184">
        <v>1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1208141.47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604598.69</v>
      </c>
      <c r="I99" s="192"/>
      <c r="J99" s="193"/>
      <c r="K99" s="194">
        <v>7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176720843.26</v>
      </c>
      <c r="J100" s="21"/>
      <c r="K100" s="22"/>
      <c r="L100" s="14">
        <f>SUM(K91:M99)</f>
        <v>2375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210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52801387.14/176720843</f>
        <v>0.29878415156722626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50930627.81/176720843</f>
        <v>0.28819819408625164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0.7005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0.6747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8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38657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152720846.4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4067467.200000018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148653379.2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0.5385992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0.3196001564328693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0.16144940753556716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216.03</v>
      </c>
      <c r="I26" s="171"/>
      <c r="J26" s="172"/>
      <c r="K26" s="170">
        <v>443.01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38657</v>
      </c>
      <c r="I31" s="135"/>
      <c r="J31" s="136"/>
      <c r="K31" s="134">
        <f>H31</f>
        <v>38657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211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176720843.26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172653363.51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881853.23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4849239.34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692530.86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4149519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699720.34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89226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4067467.200000018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0.2822559062069066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0.28176771387821187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0.0004881923286947526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212</v>
      </c>
      <c r="B53" s="2"/>
      <c r="C53" s="2"/>
      <c r="D53" s="2"/>
      <c r="E53" s="2"/>
      <c r="F53" s="2"/>
      <c r="G53" s="2"/>
      <c r="H53" s="175">
        <f>881853.23-635224.35-110106.6</f>
        <v>136522.28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213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214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15313.59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3439.73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3439.73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215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168760328.17</v>
      </c>
      <c r="I91" s="165"/>
      <c r="J91" s="166"/>
      <c r="K91" s="184">
        <v>2305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1252005.05</v>
      </c>
      <c r="I92" s="165"/>
      <c r="J92" s="166"/>
      <c r="K92" s="184">
        <v>13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706668.97</v>
      </c>
      <c r="I93" s="165"/>
      <c r="J93" s="166"/>
      <c r="K93" s="184">
        <v>6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861.77</v>
      </c>
      <c r="I94" s="165"/>
      <c r="J94" s="166"/>
      <c r="K94" s="184">
        <v>1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5972.32</v>
      </c>
      <c r="I95" s="165"/>
      <c r="J95" s="166"/>
      <c r="K95" s="184">
        <v>1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1208694.52</f>
        <v>1208694.52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718614.46</v>
      </c>
      <c r="I99" s="192"/>
      <c r="J99" s="193"/>
      <c r="K99" s="194">
        <v>7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172653363.51000002</v>
      </c>
      <c r="J100" s="21"/>
      <c r="K100" s="22"/>
      <c r="L100" s="14">
        <f>SUM(K91:M99)</f>
        <v>2335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216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50918938.08/172653364</f>
        <v>0.29492004615676065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50342243.99/172653364</f>
        <v>0.29157986165853106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0.6995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0.6737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38687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0.04585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148653379.2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3203007.599999994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145450371.6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0.5269941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0.25856183967595897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0.16500473485211778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232.27</v>
      </c>
      <c r="I26" s="171"/>
      <c r="J26" s="172"/>
      <c r="K26" s="170">
        <v>486.86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38687</v>
      </c>
      <c r="I31" s="135"/>
      <c r="J31" s="136"/>
      <c r="K31" s="134">
        <f>H31</f>
        <v>38687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217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172653363.51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169450371.19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861762.83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4137968.46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704525.43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3090127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1047841.46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230435.05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3203007.599999994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0.2386360481046385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0.21477440836449302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0.023861639740145477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218</v>
      </c>
      <c r="B53" s="2"/>
      <c r="C53" s="2"/>
      <c r="D53" s="2"/>
      <c r="E53" s="2"/>
      <c r="F53" s="2"/>
      <c r="G53" s="2"/>
      <c r="H53" s="175">
        <f>861762.83-596242.8-106322.4</f>
        <v>159197.62999999992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219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220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14135.36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1849.32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1849.32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221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166247843.45</v>
      </c>
      <c r="I91" s="165"/>
      <c r="J91" s="166"/>
      <c r="K91" s="184">
        <v>2271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609677.37</v>
      </c>
      <c r="I92" s="165"/>
      <c r="J92" s="166"/>
      <c r="K92" s="184">
        <v>11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316323.15</v>
      </c>
      <c r="I93" s="165"/>
      <c r="J93" s="166"/>
      <c r="K93" s="184">
        <v>5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340141.77</v>
      </c>
      <c r="I94" s="165"/>
      <c r="J94" s="166"/>
      <c r="K94" s="184">
        <v>3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5972.32+1209250.07</f>
        <v>1215222.3900000001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720944.81</v>
      </c>
      <c r="I99" s="192"/>
      <c r="J99" s="193"/>
      <c r="K99" s="194">
        <v>6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169450371.19</v>
      </c>
      <c r="J100" s="21"/>
      <c r="K100" s="22"/>
      <c r="L100" s="14">
        <f>SUM(K91:M99)</f>
        <v>2299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222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49913052.39/169450371</f>
        <v>0.2945585311819707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49022864.42/169450371</f>
        <v>0.2893051465788765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0.6991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0.6743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8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38720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0.046475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145450371.6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2369570.400000006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143080801.2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0.5184087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0.1954951677827138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0.1677373889348895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203.37</v>
      </c>
      <c r="I26" s="171"/>
      <c r="J26" s="172"/>
      <c r="K26" s="170">
        <v>432.82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38720</v>
      </c>
      <c r="I31" s="135"/>
      <c r="J31" s="136"/>
      <c r="K31" s="134">
        <f>H31</f>
        <v>38720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223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169450371.19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167080794.9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849512.47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3369677.59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846201.05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2511068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858609.59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153900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2369570.400000006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0.1787055305181123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0.17782679251975736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0.0008787379983549214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224</v>
      </c>
      <c r="B53" s="2"/>
      <c r="C53" s="2"/>
      <c r="D53" s="2"/>
      <c r="E53" s="2"/>
      <c r="F53" s="2"/>
      <c r="G53" s="2"/>
      <c r="H53" s="175">
        <f>849512.47-602212.76-109764.8</f>
        <v>137534.90999999997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225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226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13070.27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1910.96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1910.96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227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163935900.8</v>
      </c>
      <c r="I91" s="165"/>
      <c r="J91" s="166"/>
      <c r="K91" s="184">
        <v>2233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551283.25</v>
      </c>
      <c r="I92" s="165"/>
      <c r="J92" s="166"/>
      <c r="K92" s="184">
        <v>6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143396.83</v>
      </c>
      <c r="I93" s="165"/>
      <c r="J93" s="166"/>
      <c r="K93" s="184">
        <v>3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471943.52</v>
      </c>
      <c r="I94" s="165"/>
      <c r="J94" s="166"/>
      <c r="K94" s="184">
        <v>6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5972.32+1209808.13</f>
        <v>1215780.45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762271.8</v>
      </c>
      <c r="I99" s="192"/>
      <c r="J99" s="193"/>
      <c r="K99" s="194">
        <v>7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167080794.90000004</v>
      </c>
      <c r="J100" s="21"/>
      <c r="K100" s="22"/>
      <c r="L100" s="14">
        <f>SUM(K91:M99)</f>
        <v>2258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228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49022677.77/167080795</f>
        <v>0.2934070176647173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48506643.17/167080795</f>
        <v>0.29031848435961777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0.6991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0.6743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3:J103"/>
    <mergeCell ref="H104:J104"/>
    <mergeCell ref="H105:J105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12:J112"/>
    <mergeCell ref="H113:J113"/>
    <mergeCell ref="H114:J114"/>
    <mergeCell ref="H115:J115"/>
    <mergeCell ref="H116:J116"/>
    <mergeCell ref="H117:J117"/>
    <mergeCell ref="H120:J120"/>
    <mergeCell ref="H121:J121"/>
    <mergeCell ref="H126:J126"/>
    <mergeCell ref="H127:J127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38749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0.04585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143080801.2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1940059.199999988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141140742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0.5113795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0.16271023229355427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0.17004303406595384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191.24</v>
      </c>
      <c r="I26" s="171"/>
      <c r="J26" s="172"/>
      <c r="K26" s="170">
        <v>413.1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38749</v>
      </c>
      <c r="I31" s="135"/>
      <c r="J31" s="136"/>
      <c r="K31" s="134">
        <f>H31</f>
        <v>38749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229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167080794.9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165140722.03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839252.03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2673456.82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582001.52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1876916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796540.82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151375.98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1940059.199999988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0.1502115405604884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0.13480299763644468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0.015408542924043743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230</v>
      </c>
      <c r="B53" s="2"/>
      <c r="C53" s="2"/>
      <c r="D53" s="2"/>
      <c r="E53" s="2"/>
      <c r="F53" s="2"/>
      <c r="G53" s="2"/>
      <c r="H53" s="175">
        <f>839252.03-600153.64-110958.4</f>
        <v>128139.99000000002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231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232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14641.36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1910.96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1910.96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233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161615526.01</v>
      </c>
      <c r="I91" s="165"/>
      <c r="J91" s="166"/>
      <c r="K91" s="164">
        <v>2193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587829.25</v>
      </c>
      <c r="I92" s="165"/>
      <c r="J92" s="166"/>
      <c r="K92" s="184">
        <v>7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192531.3</v>
      </c>
      <c r="I93" s="165"/>
      <c r="J93" s="166"/>
      <c r="K93" s="184">
        <v>4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132462.47</v>
      </c>
      <c r="I94" s="165"/>
      <c r="J94" s="166"/>
      <c r="K94" s="184">
        <v>4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5972.32+1210371.27</f>
        <v>1216343.59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1395811.16</v>
      </c>
      <c r="I99" s="192"/>
      <c r="J99" s="193"/>
      <c r="K99" s="194">
        <v>11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165140722.03</v>
      </c>
      <c r="J100" s="21"/>
      <c r="K100" s="22"/>
      <c r="L100" s="13">
        <f>SUM(K91:M99)</f>
        <v>2222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234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48654798.5/165140722</f>
        <v>0.2946262915091288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47958122.98/165140722</f>
        <v>0.29040761357456096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0.6979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0.6726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38777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141140742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1723592.400000006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139417149.6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0.5051346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0.14654244059451005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0.17214524948227747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222.18</v>
      </c>
      <c r="I26" s="171"/>
      <c r="J26" s="172"/>
      <c r="K26" s="170">
        <v>485.96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38777</v>
      </c>
      <c r="I31" s="135"/>
      <c r="J31" s="136"/>
      <c r="K31" s="134">
        <f>H31</f>
        <v>38777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235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165140722.03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163417132.73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828585.27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2929556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949674.72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2121429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808127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256272.45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1723592.400000006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0.14386866587445307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0.15415427331954729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-0.0102856074450942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236</v>
      </c>
      <c r="B53" s="2"/>
      <c r="C53" s="2"/>
      <c r="D53" s="2"/>
      <c r="E53" s="2"/>
      <c r="F53" s="2"/>
      <c r="G53" s="2"/>
      <c r="H53" s="175">
        <f>828585.27-527822.4-99144</f>
        <v>201618.87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237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238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13627.58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1726.03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1726.03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239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159292107.43</v>
      </c>
      <c r="I91" s="165"/>
      <c r="J91" s="166"/>
      <c r="K91" s="164">
        <v>2161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1364585.87</v>
      </c>
      <c r="I92" s="165"/>
      <c r="J92" s="166"/>
      <c r="K92" s="184">
        <v>12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46448.69</v>
      </c>
      <c r="I93" s="165"/>
      <c r="J93" s="166"/>
      <c r="K93" s="184">
        <v>2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46758.72</v>
      </c>
      <c r="I94" s="165"/>
      <c r="J94" s="166"/>
      <c r="K94" s="184">
        <v>2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86800.32</v>
      </c>
      <c r="I95" s="165"/>
      <c r="J95" s="166"/>
      <c r="K95" s="184">
        <v>2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5972.32+1210936.98</f>
        <v>1216909.3</v>
      </c>
      <c r="I96" s="165"/>
      <c r="J96" s="166"/>
      <c r="K96" s="184">
        <f>1+1</f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1363304.15</v>
      </c>
      <c r="I99" s="192"/>
      <c r="J99" s="193"/>
      <c r="K99" s="194">
        <v>10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163417132.73000002</v>
      </c>
      <c r="J100" s="21"/>
      <c r="K100" s="22"/>
      <c r="L100" s="13">
        <f>SUM(K91:M99)</f>
        <v>2192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240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48107711.34/163417133</f>
        <v>0.29438597077822926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47701883.62/163417133</f>
        <v>0.2919025853917043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0.6975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0.6722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1"/>
  <sheetViews>
    <sheetView zoomScale="75" zoomScaleNormal="75" workbookViewId="0" topLeftCell="A1">
      <pane xSplit="6" ySplit="15" topLeftCell="G16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140625" defaultRowHeight="12.75"/>
  <cols>
    <col min="1" max="4" width="9.140625" style="6" customWidth="1"/>
    <col min="5" max="5" width="20.57421875" style="6" customWidth="1"/>
    <col min="6" max="6" width="11.28125" style="6" customWidth="1"/>
    <col min="7" max="7" width="9.140625" style="6" customWidth="1"/>
    <col min="8" max="9" width="12.7109375" style="6" bestFit="1" customWidth="1"/>
    <col min="10" max="11" width="9.140625" style="6" customWidth="1"/>
    <col min="12" max="12" width="10.57421875" style="6" bestFit="1" customWidth="1"/>
    <col min="13" max="14" width="9.140625" style="6" customWidth="1"/>
    <col min="15" max="15" width="10.57421875" style="6" bestFit="1" customWidth="1"/>
    <col min="16" max="16384" width="9.140625" style="6" customWidth="1"/>
  </cols>
  <sheetData>
    <row r="1" ht="15">
      <c r="A1" s="7" t="s">
        <v>96</v>
      </c>
    </row>
    <row r="2" ht="12.75" hidden="1"/>
    <row r="3" ht="12.75" hidden="1">
      <c r="A3" s="8" t="s">
        <v>3</v>
      </c>
    </row>
    <row r="4" ht="12.75" hidden="1">
      <c r="A4" s="8" t="s">
        <v>5</v>
      </c>
    </row>
    <row r="5" ht="12.75" hidden="1">
      <c r="A5" s="8" t="s">
        <v>4</v>
      </c>
    </row>
    <row r="6" ht="12.75" hidden="1">
      <c r="A6" s="8" t="s">
        <v>2</v>
      </c>
    </row>
    <row r="7" ht="12.75" hidden="1">
      <c r="A7" s="8" t="s">
        <v>6</v>
      </c>
    </row>
    <row r="8" ht="12.75" hidden="1">
      <c r="A8" s="8" t="s">
        <v>0</v>
      </c>
    </row>
    <row r="9" ht="12.75" hidden="1">
      <c r="A9" s="8" t="s">
        <v>1</v>
      </c>
    </row>
    <row r="10" ht="12.75" hidden="1"/>
    <row r="11" ht="12.75" hidden="1"/>
    <row r="12" spans="1:5" s="2" customFormat="1" ht="15">
      <c r="A12" s="4" t="s">
        <v>7</v>
      </c>
      <c r="E12" s="17">
        <v>38261</v>
      </c>
    </row>
    <row r="13" spans="1:5" s="2" customFormat="1" ht="15">
      <c r="A13" s="4" t="s">
        <v>8</v>
      </c>
      <c r="E13" s="18">
        <v>0.04845</v>
      </c>
    </row>
    <row r="14" s="2" customFormat="1" ht="14.25"/>
    <row r="15" spans="1:13" s="2" customFormat="1" ht="15">
      <c r="A15" s="7" t="s">
        <v>9</v>
      </c>
      <c r="H15" s="115" t="s">
        <v>63</v>
      </c>
      <c r="I15" s="116"/>
      <c r="J15" s="117"/>
      <c r="K15" s="115" t="s">
        <v>64</v>
      </c>
      <c r="L15" s="116"/>
      <c r="M15" s="117"/>
    </row>
    <row r="16" spans="1:13" s="2" customFormat="1" ht="14.25">
      <c r="A16" s="2" t="s">
        <v>10</v>
      </c>
      <c r="H16" s="106" t="s">
        <v>66</v>
      </c>
      <c r="I16" s="107"/>
      <c r="J16" s="108"/>
      <c r="K16" s="106" t="s">
        <v>67</v>
      </c>
      <c r="L16" s="107"/>
      <c r="M16" s="108"/>
    </row>
    <row r="17" spans="1:13" s="2" customFormat="1" ht="14.25">
      <c r="A17" s="2" t="s">
        <v>98</v>
      </c>
      <c r="H17" s="106" t="s">
        <v>100</v>
      </c>
      <c r="I17" s="107"/>
      <c r="J17" s="108"/>
      <c r="K17" s="106" t="s">
        <v>101</v>
      </c>
      <c r="L17" s="107"/>
      <c r="M17" s="108"/>
    </row>
    <row r="18" spans="1:13" s="2" customFormat="1" ht="14.25">
      <c r="A18" s="2" t="s">
        <v>99</v>
      </c>
      <c r="H18" s="106" t="s">
        <v>100</v>
      </c>
      <c r="I18" s="107"/>
      <c r="J18" s="108"/>
      <c r="K18" s="106" t="s">
        <v>101</v>
      </c>
      <c r="L18" s="107"/>
      <c r="M18" s="108"/>
    </row>
    <row r="19" spans="1:13" s="2" customFormat="1" ht="14.25">
      <c r="A19" s="2" t="s">
        <v>11</v>
      </c>
      <c r="H19" s="59" t="s">
        <v>68</v>
      </c>
      <c r="I19" s="60"/>
      <c r="J19" s="61"/>
      <c r="K19" s="106" t="s">
        <v>66</v>
      </c>
      <c r="L19" s="107" t="s">
        <v>66</v>
      </c>
      <c r="M19" s="108"/>
    </row>
    <row r="20" spans="1:13" s="2" customFormat="1" ht="14.25">
      <c r="A20" s="2" t="s">
        <v>12</v>
      </c>
      <c r="H20" s="59" t="s">
        <v>68</v>
      </c>
      <c r="I20" s="60"/>
      <c r="J20" s="61"/>
      <c r="K20" s="106" t="s">
        <v>66</v>
      </c>
      <c r="L20" s="107"/>
      <c r="M20" s="108"/>
    </row>
    <row r="21" spans="8:13" s="2" customFormat="1" ht="14.25">
      <c r="H21" s="106"/>
      <c r="I21" s="107"/>
      <c r="J21" s="108"/>
      <c r="K21" s="106"/>
      <c r="L21" s="107"/>
      <c r="M21" s="108"/>
    </row>
    <row r="22" spans="1:13" s="2" customFormat="1" ht="14.25">
      <c r="A22" s="2" t="s">
        <v>77</v>
      </c>
      <c r="H22" s="121">
        <v>276000000</v>
      </c>
      <c r="I22" s="122"/>
      <c r="J22" s="123"/>
      <c r="K22" s="121">
        <v>24000000</v>
      </c>
      <c r="L22" s="122"/>
      <c r="M22" s="123"/>
    </row>
    <row r="23" spans="1:13" s="2" customFormat="1" ht="14.25">
      <c r="A23" s="2" t="s">
        <v>78</v>
      </c>
      <c r="H23" s="121">
        <v>195457072.8</v>
      </c>
      <c r="I23" s="122"/>
      <c r="J23" s="123"/>
      <c r="K23" s="122">
        <v>24000000</v>
      </c>
      <c r="L23" s="122"/>
      <c r="M23" s="123"/>
    </row>
    <row r="24" spans="1:13" s="2" customFormat="1" ht="14.25">
      <c r="A24" s="2" t="s">
        <v>72</v>
      </c>
      <c r="H24" s="121">
        <f>H23-H25</f>
        <v>3112810.800000012</v>
      </c>
      <c r="I24" s="122"/>
      <c r="J24" s="123"/>
      <c r="K24" s="107" t="s">
        <v>71</v>
      </c>
      <c r="L24" s="107"/>
      <c r="M24" s="108"/>
    </row>
    <row r="25" spans="1:13" s="2" customFormat="1" ht="14.25">
      <c r="A25" s="2" t="s">
        <v>79</v>
      </c>
      <c r="H25" s="121">
        <v>192344262</v>
      </c>
      <c r="I25" s="122"/>
      <c r="J25" s="123"/>
      <c r="K25" s="121">
        <v>24000000</v>
      </c>
      <c r="L25" s="122"/>
      <c r="M25" s="123"/>
    </row>
    <row r="26" spans="1:13" s="2" customFormat="1" ht="14.25">
      <c r="A26" s="2" t="s">
        <v>118</v>
      </c>
      <c r="H26" s="124">
        <v>0.6968995</v>
      </c>
      <c r="I26" s="125"/>
      <c r="J26" s="126"/>
      <c r="K26" s="124">
        <v>1</v>
      </c>
      <c r="L26" s="125"/>
      <c r="M26" s="126"/>
    </row>
    <row r="27" spans="1:13" s="2" customFormat="1" ht="14.25">
      <c r="A27" s="2" t="s">
        <v>102</v>
      </c>
      <c r="H27" s="127">
        <f>H24/H23*12</f>
        <v>0.19110963376711404</v>
      </c>
      <c r="I27" s="128"/>
      <c r="J27" s="129"/>
      <c r="K27" s="106" t="s">
        <v>71</v>
      </c>
      <c r="L27" s="107"/>
      <c r="M27" s="108"/>
    </row>
    <row r="28" spans="8:13" s="2" customFormat="1" ht="14.25">
      <c r="H28" s="106"/>
      <c r="I28" s="107"/>
      <c r="J28" s="108"/>
      <c r="K28" s="106"/>
      <c r="L28" s="107"/>
      <c r="M28" s="108"/>
    </row>
    <row r="29" spans="1:13" s="2" customFormat="1" ht="14.25">
      <c r="A29" s="2" t="s">
        <v>13</v>
      </c>
      <c r="H29" s="106" t="s">
        <v>71</v>
      </c>
      <c r="I29" s="107"/>
      <c r="J29" s="108"/>
      <c r="K29" s="127">
        <f>K22/H22*100%</f>
        <v>0.08695652173913043</v>
      </c>
      <c r="L29" s="107"/>
      <c r="M29" s="108"/>
    </row>
    <row r="30" spans="1:13" s="2" customFormat="1" ht="14.25">
      <c r="A30" s="2" t="s">
        <v>14</v>
      </c>
      <c r="H30" s="106" t="s">
        <v>71</v>
      </c>
      <c r="I30" s="107"/>
      <c r="J30" s="108"/>
      <c r="K30" s="127">
        <f>K25/H25*100%</f>
        <v>0.12477627224460691</v>
      </c>
      <c r="L30" s="128"/>
      <c r="M30" s="129"/>
    </row>
    <row r="31" spans="8:13" s="2" customFormat="1" ht="14.25">
      <c r="H31" s="106"/>
      <c r="I31" s="107"/>
      <c r="J31" s="108"/>
      <c r="K31" s="106"/>
      <c r="L31" s="107"/>
      <c r="M31" s="108"/>
    </row>
    <row r="32" spans="1:13" s="2" customFormat="1" ht="14.25">
      <c r="A32" s="2" t="s">
        <v>15</v>
      </c>
      <c r="H32" s="106">
        <v>29</v>
      </c>
      <c r="I32" s="107"/>
      <c r="J32" s="108"/>
      <c r="K32" s="106">
        <v>80</v>
      </c>
      <c r="L32" s="107"/>
      <c r="M32" s="108"/>
    </row>
    <row r="33" spans="1:13" s="2" customFormat="1" ht="14.25">
      <c r="A33" s="2" t="s">
        <v>73</v>
      </c>
      <c r="H33" s="130">
        <v>303.1</v>
      </c>
      <c r="I33" s="131"/>
      <c r="J33" s="132"/>
      <c r="K33" s="130">
        <v>478.13</v>
      </c>
      <c r="L33" s="131"/>
      <c r="M33" s="132"/>
    </row>
    <row r="34" spans="1:13" s="2" customFormat="1" ht="14.25">
      <c r="A34" s="2" t="s">
        <v>16</v>
      </c>
      <c r="H34" s="106">
        <v>58</v>
      </c>
      <c r="I34" s="107"/>
      <c r="J34" s="108"/>
      <c r="K34" s="106">
        <v>160</v>
      </c>
      <c r="L34" s="107"/>
      <c r="M34" s="108"/>
    </row>
    <row r="35" spans="1:13" s="2" customFormat="1" ht="14.25">
      <c r="A35" s="2" t="s">
        <v>17</v>
      </c>
      <c r="H35" s="133" t="s">
        <v>97</v>
      </c>
      <c r="I35" s="107"/>
      <c r="J35" s="108"/>
      <c r="K35" s="133" t="s">
        <v>97</v>
      </c>
      <c r="L35" s="107"/>
      <c r="M35" s="108"/>
    </row>
    <row r="36" spans="8:13" s="2" customFormat="1" ht="14.25">
      <c r="H36" s="106"/>
      <c r="I36" s="107"/>
      <c r="J36" s="108"/>
      <c r="K36" s="106"/>
      <c r="L36" s="107"/>
      <c r="M36" s="108"/>
    </row>
    <row r="37" spans="1:13" s="2" customFormat="1" ht="14.25">
      <c r="A37" s="2" t="s">
        <v>18</v>
      </c>
      <c r="H37" s="106" t="s">
        <v>69</v>
      </c>
      <c r="I37" s="107"/>
      <c r="J37" s="108"/>
      <c r="K37" s="106" t="s">
        <v>69</v>
      </c>
      <c r="L37" s="107"/>
      <c r="M37" s="108"/>
    </row>
    <row r="38" spans="1:13" s="2" customFormat="1" ht="14.25">
      <c r="A38" s="2" t="s">
        <v>19</v>
      </c>
      <c r="H38" s="134">
        <f>E12</f>
        <v>38261</v>
      </c>
      <c r="I38" s="135"/>
      <c r="J38" s="136"/>
      <c r="K38" s="134">
        <f>H38</f>
        <v>38261</v>
      </c>
      <c r="L38" s="135"/>
      <c r="M38" s="136"/>
    </row>
    <row r="39" s="2" customFormat="1" ht="14.25"/>
    <row r="40" s="2" customFormat="1" ht="15">
      <c r="A40" s="7" t="s">
        <v>20</v>
      </c>
    </row>
    <row r="41" spans="1:10" s="2" customFormat="1" ht="14.25">
      <c r="A41" s="2" t="s">
        <v>119</v>
      </c>
      <c r="H41" s="15"/>
      <c r="I41" s="15"/>
      <c r="J41" s="15"/>
    </row>
    <row r="42" spans="1:13" s="2" customFormat="1" ht="14.25">
      <c r="A42" s="2" t="s">
        <v>80</v>
      </c>
      <c r="H42" s="121">
        <v>219457067.68</v>
      </c>
      <c r="I42" s="122"/>
      <c r="J42" s="123"/>
      <c r="K42" s="1"/>
      <c r="L42" s="1"/>
      <c r="M42" s="1"/>
    </row>
    <row r="43" spans="1:13" s="2" customFormat="1" ht="15">
      <c r="A43" s="9" t="s">
        <v>104</v>
      </c>
      <c r="F43" s="4"/>
      <c r="H43" s="121">
        <v>216344261.44</v>
      </c>
      <c r="I43" s="122"/>
      <c r="J43" s="123"/>
      <c r="K43" s="1"/>
      <c r="L43" s="1"/>
      <c r="M43" s="1"/>
    </row>
    <row r="44" spans="1:13" s="2" customFormat="1" ht="14.25">
      <c r="A44" s="2" t="s">
        <v>81</v>
      </c>
      <c r="H44" s="121">
        <v>1162668.83</v>
      </c>
      <c r="I44" s="122"/>
      <c r="J44" s="123"/>
      <c r="K44" s="1"/>
      <c r="L44" s="1"/>
      <c r="M44" s="1"/>
    </row>
    <row r="45" spans="8:13" s="2" customFormat="1" ht="14.25">
      <c r="H45" s="106"/>
      <c r="I45" s="107"/>
      <c r="J45" s="108"/>
      <c r="K45" s="1"/>
      <c r="L45" s="1"/>
      <c r="M45" s="1"/>
    </row>
    <row r="46" spans="1:13" s="2" customFormat="1" ht="14.25">
      <c r="A46" s="2" t="s">
        <v>82</v>
      </c>
      <c r="H46" s="121">
        <f>H49+H50</f>
        <v>4974927.68</v>
      </c>
      <c r="I46" s="107"/>
      <c r="J46" s="108"/>
      <c r="K46" s="1"/>
      <c r="L46" s="1"/>
      <c r="M46" s="1"/>
    </row>
    <row r="47" spans="1:13" s="2" customFormat="1" ht="14.25">
      <c r="A47" s="2" t="s">
        <v>83</v>
      </c>
      <c r="H47" s="121">
        <v>1508218.12</v>
      </c>
      <c r="I47" s="107"/>
      <c r="J47" s="108"/>
      <c r="K47" s="1"/>
      <c r="L47" s="1"/>
      <c r="M47" s="1"/>
    </row>
    <row r="48" spans="1:13" s="2" customFormat="1" ht="14.25">
      <c r="A48" s="2" t="s">
        <v>84</v>
      </c>
      <c r="H48" s="106"/>
      <c r="I48" s="107"/>
      <c r="J48" s="108"/>
      <c r="K48" s="1"/>
      <c r="L48" s="16"/>
      <c r="M48" s="1"/>
    </row>
    <row r="49" spans="1:13" s="2" customFormat="1" ht="14.25">
      <c r="A49" s="2" t="s">
        <v>85</v>
      </c>
      <c r="H49" s="121">
        <v>3495343</v>
      </c>
      <c r="I49" s="107"/>
      <c r="J49" s="108"/>
      <c r="K49" s="121"/>
      <c r="L49" s="107"/>
      <c r="M49" s="107"/>
    </row>
    <row r="50" spans="1:27" s="2" customFormat="1" ht="14.25">
      <c r="A50" s="2" t="s">
        <v>95</v>
      </c>
      <c r="H50" s="121">
        <v>1479584.68</v>
      </c>
      <c r="I50" s="107"/>
      <c r="J50" s="108"/>
      <c r="K50" s="1"/>
      <c r="L50" s="16"/>
      <c r="M50" s="1"/>
      <c r="V50" s="106"/>
      <c r="W50" s="107"/>
      <c r="X50" s="108"/>
      <c r="Y50" s="127"/>
      <c r="Z50" s="128"/>
      <c r="AA50" s="129"/>
    </row>
    <row r="51" spans="1:13" s="2" customFormat="1" ht="14.25">
      <c r="A51" s="2" t="s">
        <v>86</v>
      </c>
      <c r="H51" s="121">
        <v>353897.92</v>
      </c>
      <c r="I51" s="122"/>
      <c r="J51" s="123"/>
      <c r="K51" s="1"/>
      <c r="L51" s="16"/>
      <c r="M51" s="1"/>
    </row>
    <row r="52" spans="1:13" s="2" customFormat="1" ht="14.25">
      <c r="A52" s="2" t="s">
        <v>87</v>
      </c>
      <c r="H52" s="121">
        <v>0</v>
      </c>
      <c r="I52" s="122"/>
      <c r="J52" s="123"/>
      <c r="K52" s="1"/>
      <c r="L52" s="16"/>
      <c r="M52" s="1"/>
    </row>
    <row r="53" spans="1:13" s="2" customFormat="1" ht="14.25">
      <c r="A53" s="2" t="s">
        <v>88</v>
      </c>
      <c r="H53" s="121">
        <f>H24</f>
        <v>3112810.800000012</v>
      </c>
      <c r="I53" s="122"/>
      <c r="J53" s="123"/>
      <c r="K53" s="1"/>
      <c r="L53" s="1"/>
      <c r="M53" s="1"/>
    </row>
    <row r="54" spans="1:13" s="2" customFormat="1" ht="14.25">
      <c r="A54" s="2" t="s">
        <v>89</v>
      </c>
      <c r="H54" s="106" t="s">
        <v>71</v>
      </c>
      <c r="I54" s="107"/>
      <c r="J54" s="108"/>
      <c r="K54" s="1"/>
      <c r="L54" s="1"/>
      <c r="M54" s="1"/>
    </row>
    <row r="55" spans="8:13" s="2" customFormat="1" ht="14.25">
      <c r="H55" s="106"/>
      <c r="I55" s="107"/>
      <c r="J55" s="108"/>
      <c r="K55" s="1"/>
      <c r="L55" s="1"/>
      <c r="M55" s="1"/>
    </row>
    <row r="56" spans="1:13" s="2" customFormat="1" ht="14.25">
      <c r="A56" s="2" t="s">
        <v>21</v>
      </c>
      <c r="H56" s="127">
        <f>(H46-H47)/H42*12*100%</f>
        <v>0.1895610615770167</v>
      </c>
      <c r="I56" s="128"/>
      <c r="J56" s="129"/>
      <c r="K56" s="1"/>
      <c r="L56" s="1"/>
      <c r="M56" s="1"/>
    </row>
    <row r="57" spans="1:13" s="2" customFormat="1" ht="14.25">
      <c r="A57" s="2" t="s">
        <v>70</v>
      </c>
      <c r="H57" s="127">
        <f>H49/H42*12*100%</f>
        <v>0.19112674949781322</v>
      </c>
      <c r="I57" s="128"/>
      <c r="J57" s="129"/>
      <c r="K57" s="1"/>
      <c r="L57" s="1"/>
      <c r="M57" s="1"/>
    </row>
    <row r="58" spans="1:13" s="2" customFormat="1" ht="14.25">
      <c r="A58" s="2" t="s">
        <v>22</v>
      </c>
      <c r="H58" s="137">
        <f>(H50-H47)/H42*12*100%</f>
        <v>-0.001565687920796528</v>
      </c>
      <c r="I58" s="159"/>
      <c r="J58" s="160"/>
      <c r="K58" s="1"/>
      <c r="L58" s="1"/>
      <c r="M58" s="1"/>
    </row>
    <row r="59" spans="8:13" s="2" customFormat="1" ht="15.75">
      <c r="H59" s="3"/>
      <c r="I59" s="3"/>
      <c r="J59" s="3"/>
      <c r="K59" s="1"/>
      <c r="L59" s="19"/>
      <c r="M59" s="1"/>
    </row>
    <row r="60" spans="1:13" s="2" customFormat="1" ht="15.75">
      <c r="A60" s="4" t="s">
        <v>120</v>
      </c>
      <c r="H60" s="156">
        <v>227802</v>
      </c>
      <c r="I60" s="157"/>
      <c r="J60" s="158"/>
      <c r="K60" s="1"/>
      <c r="L60" s="19"/>
      <c r="M60" s="1"/>
    </row>
    <row r="61" spans="1:13" s="2" customFormat="1" ht="15">
      <c r="A61" s="4" t="s">
        <v>121</v>
      </c>
      <c r="H61" s="112">
        <v>0</v>
      </c>
      <c r="I61" s="113"/>
      <c r="J61" s="114"/>
      <c r="K61" s="1"/>
      <c r="L61" s="1"/>
      <c r="M61" s="1"/>
    </row>
    <row r="62" s="2" customFormat="1" ht="14.25"/>
    <row r="63" spans="1:13" s="2" customFormat="1" ht="15">
      <c r="A63" s="7" t="s">
        <v>122</v>
      </c>
      <c r="H63" s="1"/>
      <c r="I63" s="1"/>
      <c r="J63" s="1"/>
      <c r="K63" s="1"/>
      <c r="L63" s="1"/>
      <c r="M63" s="1"/>
    </row>
    <row r="64" spans="1:13" s="2" customFormat="1" ht="14.25">
      <c r="A64" s="2" t="s">
        <v>74</v>
      </c>
      <c r="H64" s="140">
        <v>200</v>
      </c>
      <c r="I64" s="141"/>
      <c r="J64" s="142"/>
      <c r="K64" s="1"/>
      <c r="L64" s="1"/>
      <c r="M64" s="1"/>
    </row>
    <row r="65" spans="1:13" s="2" customFormat="1" ht="14.25">
      <c r="A65" s="2" t="s">
        <v>75</v>
      </c>
      <c r="H65" s="130">
        <v>18073.39</v>
      </c>
      <c r="I65" s="131"/>
      <c r="J65" s="132"/>
      <c r="K65" s="1"/>
      <c r="L65" s="1"/>
      <c r="M65" s="1"/>
    </row>
    <row r="66" spans="1:13" s="2" customFormat="1" ht="14.25">
      <c r="A66" s="2" t="s">
        <v>23</v>
      </c>
      <c r="H66" s="130">
        <f>1175+2329.99+400</f>
        <v>3904.99</v>
      </c>
      <c r="I66" s="131"/>
      <c r="J66" s="132"/>
      <c r="K66" s="1"/>
      <c r="L66" s="1"/>
      <c r="M66" s="1"/>
    </row>
    <row r="67" spans="1:13" s="2" customFormat="1" ht="14.25">
      <c r="A67" s="2" t="s">
        <v>24</v>
      </c>
      <c r="H67" s="143">
        <v>3319.67</v>
      </c>
      <c r="I67" s="144"/>
      <c r="J67" s="145"/>
      <c r="K67" s="1"/>
      <c r="L67" s="1"/>
      <c r="M67" s="1"/>
    </row>
    <row r="68" spans="8:13" s="2" customFormat="1" ht="14.25">
      <c r="H68" s="1"/>
      <c r="I68" s="1"/>
      <c r="J68" s="1"/>
      <c r="K68" s="1"/>
      <c r="L68" s="1"/>
      <c r="M68" s="1"/>
    </row>
    <row r="69" spans="1:13" s="2" customFormat="1" ht="15">
      <c r="A69" s="7" t="s">
        <v>25</v>
      </c>
      <c r="H69" s="1"/>
      <c r="I69" s="1"/>
      <c r="J69" s="1"/>
      <c r="K69" s="1"/>
      <c r="L69" s="1"/>
      <c r="M69" s="1"/>
    </row>
    <row r="70" spans="1:13" s="2" customFormat="1" ht="14.25">
      <c r="A70" s="9" t="s">
        <v>26</v>
      </c>
      <c r="H70" s="146">
        <v>27000000</v>
      </c>
      <c r="I70" s="147"/>
      <c r="J70" s="148"/>
      <c r="K70" s="1"/>
      <c r="L70" s="1"/>
      <c r="M70" s="1"/>
    </row>
    <row r="71" spans="1:13" s="2" customFormat="1" ht="14.25">
      <c r="A71" s="2" t="s">
        <v>27</v>
      </c>
      <c r="H71" s="121">
        <v>27000000</v>
      </c>
      <c r="I71" s="122"/>
      <c r="J71" s="123"/>
      <c r="K71" s="1"/>
      <c r="L71" s="1"/>
      <c r="M71" s="1"/>
    </row>
    <row r="72" spans="1:13" s="2" customFormat="1" ht="14.25">
      <c r="A72" s="2" t="s">
        <v>28</v>
      </c>
      <c r="H72" s="121">
        <v>0</v>
      </c>
      <c r="I72" s="122"/>
      <c r="J72" s="123"/>
      <c r="K72" s="1"/>
      <c r="L72" s="1"/>
      <c r="M72" s="1"/>
    </row>
    <row r="73" spans="1:13" s="2" customFormat="1" ht="14.25">
      <c r="A73" s="2" t="s">
        <v>29</v>
      </c>
      <c r="H73" s="106">
        <v>0</v>
      </c>
      <c r="I73" s="107"/>
      <c r="J73" s="108"/>
      <c r="K73" s="1"/>
      <c r="L73" s="1"/>
      <c r="M73" s="1"/>
    </row>
    <row r="74" spans="1:13" s="2" customFormat="1" ht="14.25">
      <c r="A74" s="2" t="s">
        <v>30</v>
      </c>
      <c r="H74" s="121">
        <v>0</v>
      </c>
      <c r="I74" s="122"/>
      <c r="J74" s="123"/>
      <c r="K74" s="1"/>
      <c r="L74" s="1"/>
      <c r="M74" s="1"/>
    </row>
    <row r="75" spans="1:13" s="2" customFormat="1" ht="14.25">
      <c r="A75" s="2" t="s">
        <v>31</v>
      </c>
      <c r="H75" s="130">
        <f>H67</f>
        <v>3319.67</v>
      </c>
      <c r="I75" s="131"/>
      <c r="J75" s="132"/>
      <c r="K75" s="1"/>
      <c r="L75" s="1"/>
      <c r="M75" s="1"/>
    </row>
    <row r="76" spans="1:13" s="2" customFormat="1" ht="14.25">
      <c r="A76" s="2" t="s">
        <v>32</v>
      </c>
      <c r="H76" s="137">
        <v>0.0015</v>
      </c>
      <c r="I76" s="138"/>
      <c r="J76" s="139"/>
      <c r="K76" s="1"/>
      <c r="L76" s="1"/>
      <c r="M76" s="1"/>
    </row>
    <row r="77" spans="8:13" s="2" customFormat="1" ht="14.25">
      <c r="H77" s="1"/>
      <c r="I77" s="1"/>
      <c r="J77" s="1"/>
      <c r="K77" s="1"/>
      <c r="L77" s="1"/>
      <c r="M77" s="1"/>
    </row>
    <row r="78" s="2" customFormat="1" ht="15">
      <c r="A78" s="7" t="s">
        <v>33</v>
      </c>
    </row>
    <row r="79" spans="1:10" s="2" customFormat="1" ht="14.25">
      <c r="A79" s="9" t="s">
        <v>103</v>
      </c>
      <c r="H79" s="146">
        <v>5250000</v>
      </c>
      <c r="I79" s="147"/>
      <c r="J79" s="148"/>
    </row>
    <row r="80" spans="1:10" s="2" customFormat="1" ht="14.25">
      <c r="A80" s="2" t="s">
        <v>34</v>
      </c>
      <c r="H80" s="121">
        <v>7500000</v>
      </c>
      <c r="I80" s="122"/>
      <c r="J80" s="123"/>
    </row>
    <row r="81" spans="1:10" s="2" customFormat="1" ht="14.25">
      <c r="A81" s="2" t="s">
        <v>35</v>
      </c>
      <c r="H81" s="121">
        <v>0</v>
      </c>
      <c r="I81" s="107"/>
      <c r="J81" s="108"/>
    </row>
    <row r="82" spans="1:10" s="2" customFormat="1" ht="14.25">
      <c r="A82" s="2" t="s">
        <v>36</v>
      </c>
      <c r="H82" s="106"/>
      <c r="I82" s="107"/>
      <c r="J82" s="108"/>
    </row>
    <row r="83" spans="1:10" s="2" customFormat="1" ht="14.25">
      <c r="A83" s="2" t="s">
        <v>37</v>
      </c>
      <c r="H83" s="106">
        <v>0</v>
      </c>
      <c r="I83" s="107"/>
      <c r="J83" s="108"/>
    </row>
    <row r="84" spans="1:10" s="2" customFormat="1" ht="14.25">
      <c r="A84" s="2" t="s">
        <v>38</v>
      </c>
      <c r="H84" s="106">
        <v>0</v>
      </c>
      <c r="I84" s="107"/>
      <c r="J84" s="108"/>
    </row>
    <row r="85" spans="1:10" s="2" customFormat="1" ht="14.25">
      <c r="A85" s="2" t="s">
        <v>39</v>
      </c>
      <c r="H85" s="106">
        <v>0</v>
      </c>
      <c r="I85" s="107"/>
      <c r="J85" s="108"/>
    </row>
    <row r="86" spans="1:10" s="2" customFormat="1" ht="14.25">
      <c r="A86" s="2" t="s">
        <v>40</v>
      </c>
      <c r="H86" s="149">
        <f>H80+H81</f>
        <v>7500000</v>
      </c>
      <c r="I86" s="150"/>
      <c r="J86" s="151"/>
    </row>
    <row r="87" s="2" customFormat="1" ht="14.25"/>
    <row r="88" s="2" customFormat="1" ht="15">
      <c r="A88" s="7" t="s">
        <v>41</v>
      </c>
    </row>
    <row r="89" spans="1:10" s="2" customFormat="1" ht="14.25">
      <c r="A89" s="2" t="s">
        <v>42</v>
      </c>
      <c r="H89" s="152">
        <v>0</v>
      </c>
      <c r="I89" s="153"/>
      <c r="J89" s="154"/>
    </row>
    <row r="90" spans="1:10" s="2" customFormat="1" ht="14.25">
      <c r="A90" s="2" t="s">
        <v>43</v>
      </c>
      <c r="H90" s="106">
        <v>0</v>
      </c>
      <c r="I90" s="107"/>
      <c r="J90" s="108"/>
    </row>
    <row r="91" spans="1:10" s="2" customFormat="1" ht="14.25">
      <c r="A91" s="2" t="s">
        <v>44</v>
      </c>
      <c r="H91" s="106">
        <v>0</v>
      </c>
      <c r="I91" s="107"/>
      <c r="J91" s="108"/>
    </row>
    <row r="92" spans="1:10" s="2" customFormat="1" ht="14.25">
      <c r="A92" s="2" t="s">
        <v>45</v>
      </c>
      <c r="H92" s="155">
        <v>0</v>
      </c>
      <c r="I92" s="138"/>
      <c r="J92" s="139"/>
    </row>
    <row r="93" s="2" customFormat="1" ht="14.25"/>
    <row r="94" s="2" customFormat="1" ht="15">
      <c r="A94" s="10" t="s">
        <v>123</v>
      </c>
    </row>
    <row r="95" spans="1:13" s="2" customFormat="1" ht="15">
      <c r="A95" s="4" t="s">
        <v>46</v>
      </c>
      <c r="H95" s="118" t="s">
        <v>76</v>
      </c>
      <c r="I95" s="119"/>
      <c r="J95" s="120"/>
      <c r="K95" s="118" t="s">
        <v>65</v>
      </c>
      <c r="L95" s="119"/>
      <c r="M95" s="120"/>
    </row>
    <row r="96" spans="1:13" s="2" customFormat="1" ht="14.25">
      <c r="A96" s="2" t="s">
        <v>47</v>
      </c>
      <c r="H96" s="121">
        <v>215146914.57</v>
      </c>
      <c r="I96" s="122"/>
      <c r="J96" s="123"/>
      <c r="K96" s="106">
        <v>2876</v>
      </c>
      <c r="L96" s="107"/>
      <c r="M96" s="108"/>
    </row>
    <row r="97" spans="1:13" s="2" customFormat="1" ht="14.25">
      <c r="A97" s="2" t="s">
        <v>48</v>
      </c>
      <c r="H97" s="121">
        <v>470901.31</v>
      </c>
      <c r="I97" s="122"/>
      <c r="J97" s="123"/>
      <c r="K97" s="106">
        <v>6</v>
      </c>
      <c r="L97" s="107"/>
      <c r="M97" s="108"/>
    </row>
    <row r="98" spans="1:13" s="2" customFormat="1" ht="14.25">
      <c r="A98" s="2" t="s">
        <v>49</v>
      </c>
      <c r="H98" s="121">
        <v>1335.34</v>
      </c>
      <c r="I98" s="122"/>
      <c r="J98" s="123"/>
      <c r="K98" s="106">
        <v>1</v>
      </c>
      <c r="L98" s="107"/>
      <c r="M98" s="108"/>
    </row>
    <row r="99" spans="1:13" s="2" customFormat="1" ht="14.25">
      <c r="A99" s="2" t="s">
        <v>50</v>
      </c>
      <c r="H99" s="121">
        <v>411093.44</v>
      </c>
      <c r="I99" s="122"/>
      <c r="J99" s="123"/>
      <c r="K99" s="106">
        <v>3</v>
      </c>
      <c r="L99" s="107"/>
      <c r="M99" s="108"/>
    </row>
    <row r="100" spans="1:13" s="2" customFormat="1" ht="14.25">
      <c r="A100" s="2" t="s">
        <v>51</v>
      </c>
      <c r="H100" s="121">
        <f>115814.61+10184.85</f>
        <v>125999.46</v>
      </c>
      <c r="I100" s="122"/>
      <c r="J100" s="123"/>
      <c r="K100" s="106">
        <f>2+1</f>
        <v>3</v>
      </c>
      <c r="L100" s="107"/>
      <c r="M100" s="108"/>
    </row>
    <row r="101" spans="1:13" s="2" customFormat="1" ht="14.25">
      <c r="A101" s="2" t="s">
        <v>52</v>
      </c>
      <c r="H101" s="121">
        <v>5972.32</v>
      </c>
      <c r="I101" s="122"/>
      <c r="J101" s="123"/>
      <c r="K101" s="106">
        <v>1</v>
      </c>
      <c r="L101" s="107"/>
      <c r="M101" s="108"/>
    </row>
    <row r="102" spans="1:13" s="2" customFormat="1" ht="14.25">
      <c r="A102" s="2" t="s">
        <v>105</v>
      </c>
      <c r="H102" s="121">
        <v>182045</v>
      </c>
      <c r="I102" s="122"/>
      <c r="J102" s="123"/>
      <c r="K102" s="106">
        <v>2</v>
      </c>
      <c r="L102" s="107"/>
      <c r="M102" s="108"/>
    </row>
    <row r="103" spans="1:13" s="2" customFormat="1" ht="14.25">
      <c r="A103" s="2" t="s">
        <v>116</v>
      </c>
      <c r="H103" s="121">
        <v>0</v>
      </c>
      <c r="I103" s="122"/>
      <c r="J103" s="123"/>
      <c r="K103" s="106">
        <v>0</v>
      </c>
      <c r="L103" s="107"/>
      <c r="M103" s="108"/>
    </row>
    <row r="104" spans="1:13" s="2" customFormat="1" ht="14.25">
      <c r="A104" s="2" t="s">
        <v>115</v>
      </c>
      <c r="H104" s="20"/>
      <c r="I104" s="13">
        <f>SUM(H96:J103)</f>
        <v>216344261.44</v>
      </c>
      <c r="J104" s="21"/>
      <c r="K104" s="22"/>
      <c r="L104" s="14">
        <f>SUM(K96:M103)</f>
        <v>2892</v>
      </c>
      <c r="M104" s="23"/>
    </row>
    <row r="105" spans="8:13" s="2" customFormat="1" ht="14.25">
      <c r="H105" s="12"/>
      <c r="I105" s="12"/>
      <c r="J105" s="12"/>
      <c r="K105" s="11"/>
      <c r="L105" s="11"/>
      <c r="M105" s="11"/>
    </row>
    <row r="106" spans="1:13" s="2" customFormat="1" ht="15">
      <c r="A106" s="7" t="s">
        <v>124</v>
      </c>
      <c r="H106" s="12"/>
      <c r="I106" s="12"/>
      <c r="J106" s="12"/>
      <c r="K106" s="11"/>
      <c r="L106" s="11"/>
      <c r="M106" s="11"/>
    </row>
    <row r="107" spans="1:13" s="2" customFormat="1" ht="15">
      <c r="A107" s="4" t="s">
        <v>111</v>
      </c>
      <c r="H107" s="161" t="s">
        <v>114</v>
      </c>
      <c r="I107" s="162"/>
      <c r="J107" s="163"/>
      <c r="K107" s="11"/>
      <c r="L107" s="11"/>
      <c r="M107" s="11"/>
    </row>
    <row r="108" spans="1:13" s="2" customFormat="1" ht="14.25">
      <c r="A108" s="2" t="s">
        <v>112</v>
      </c>
      <c r="H108" s="127">
        <f>63062927.86/216344261</f>
        <v>0.29149341687413655</v>
      </c>
      <c r="I108" s="128"/>
      <c r="J108" s="129"/>
      <c r="K108" s="11"/>
      <c r="L108" s="11"/>
      <c r="M108" s="11"/>
    </row>
    <row r="109" spans="1:13" s="2" customFormat="1" ht="14.25">
      <c r="A109" s="2" t="s">
        <v>113</v>
      </c>
      <c r="H109" s="137">
        <f>61358601.93/216344261</f>
        <v>0.2836155747621149</v>
      </c>
      <c r="I109" s="159"/>
      <c r="J109" s="160"/>
      <c r="K109" s="11"/>
      <c r="L109" s="11"/>
      <c r="M109" s="11"/>
    </row>
    <row r="110" spans="8:13" s="2" customFormat="1" ht="14.25">
      <c r="H110" s="12"/>
      <c r="I110" s="12"/>
      <c r="J110" s="12"/>
      <c r="K110" s="11"/>
      <c r="L110" s="11"/>
      <c r="M110" s="11"/>
    </row>
    <row r="111" spans="1:16" s="2" customFormat="1" ht="15">
      <c r="A111" s="7" t="s">
        <v>117</v>
      </c>
      <c r="H111" s="161" t="s">
        <v>108</v>
      </c>
      <c r="I111" s="162"/>
      <c r="J111" s="163"/>
      <c r="K111" s="118" t="s">
        <v>109</v>
      </c>
      <c r="L111" s="119"/>
      <c r="M111" s="120"/>
      <c r="N111" s="118" t="s">
        <v>110</v>
      </c>
      <c r="O111" s="119"/>
      <c r="P111" s="120"/>
    </row>
    <row r="112" spans="1:16" s="2" customFormat="1" ht="14.25">
      <c r="A112" s="2" t="s">
        <v>106</v>
      </c>
      <c r="H112" s="127">
        <v>0.7353</v>
      </c>
      <c r="I112" s="128"/>
      <c r="J112" s="129"/>
      <c r="K112" s="127">
        <v>0.7453</v>
      </c>
      <c r="L112" s="128"/>
      <c r="M112" s="129"/>
      <c r="N112" s="127">
        <v>0.7137</v>
      </c>
      <c r="O112" s="128"/>
      <c r="P112" s="129"/>
    </row>
    <row r="113" spans="1:16" s="2" customFormat="1" ht="14.25">
      <c r="A113" s="2" t="s">
        <v>107</v>
      </c>
      <c r="H113" s="137">
        <v>0.7211</v>
      </c>
      <c r="I113" s="159"/>
      <c r="J113" s="160"/>
      <c r="K113" s="137">
        <v>0.7311</v>
      </c>
      <c r="L113" s="159"/>
      <c r="M113" s="160"/>
      <c r="N113" s="137">
        <v>0.6873</v>
      </c>
      <c r="O113" s="159"/>
      <c r="P113" s="160"/>
    </row>
    <row r="114" s="2" customFormat="1" ht="14.25">
      <c r="H114" s="5"/>
    </row>
    <row r="115" spans="1:13" s="2" customFormat="1" ht="15">
      <c r="A115" s="7" t="s">
        <v>53</v>
      </c>
      <c r="K115" s="1"/>
      <c r="L115" s="1"/>
      <c r="M115" s="1"/>
    </row>
    <row r="116" spans="1:13" s="2" customFormat="1" ht="14.25">
      <c r="A116" s="2" t="s">
        <v>54</v>
      </c>
      <c r="H116" s="152">
        <v>0</v>
      </c>
      <c r="I116" s="153"/>
      <c r="J116" s="154"/>
      <c r="K116" s="1"/>
      <c r="L116" s="1"/>
      <c r="M116" s="1"/>
    </row>
    <row r="117" spans="1:13" s="2" customFormat="1" ht="14.25">
      <c r="A117" s="2" t="s">
        <v>55</v>
      </c>
      <c r="H117" s="106">
        <v>0</v>
      </c>
      <c r="I117" s="107"/>
      <c r="J117" s="108"/>
      <c r="K117" s="1"/>
      <c r="L117" s="1"/>
      <c r="M117" s="1"/>
    </row>
    <row r="118" spans="8:13" s="2" customFormat="1" ht="14.25">
      <c r="H118" s="106"/>
      <c r="I118" s="107"/>
      <c r="J118" s="108"/>
      <c r="K118" s="1"/>
      <c r="L118" s="1"/>
      <c r="M118" s="1"/>
    </row>
    <row r="119" spans="1:13" s="2" customFormat="1" ht="14.25">
      <c r="A119" s="2" t="s">
        <v>56</v>
      </c>
      <c r="H119" s="106">
        <v>0</v>
      </c>
      <c r="I119" s="107"/>
      <c r="J119" s="108"/>
      <c r="K119" s="1"/>
      <c r="L119" s="1"/>
      <c r="M119" s="1"/>
    </row>
    <row r="120" spans="1:13" s="2" customFormat="1" ht="14.25">
      <c r="A120" s="2" t="s">
        <v>57</v>
      </c>
      <c r="H120" s="106">
        <v>0</v>
      </c>
      <c r="I120" s="107"/>
      <c r="J120" s="108"/>
      <c r="K120" s="1"/>
      <c r="L120" s="1"/>
      <c r="M120" s="1"/>
    </row>
    <row r="121" spans="1:13" s="2" customFormat="1" ht="14.25">
      <c r="A121" s="2" t="s">
        <v>58</v>
      </c>
      <c r="H121" s="155">
        <v>0</v>
      </c>
      <c r="I121" s="138"/>
      <c r="J121" s="139"/>
      <c r="K121" s="1"/>
      <c r="L121" s="1"/>
      <c r="M121" s="1"/>
    </row>
    <row r="122" spans="11:13" s="2" customFormat="1" ht="14.25">
      <c r="K122" s="1"/>
      <c r="L122" s="1"/>
      <c r="M122" s="1"/>
    </row>
    <row r="123" s="2" customFormat="1" ht="15">
      <c r="A123" s="7" t="s">
        <v>59</v>
      </c>
    </row>
    <row r="124" spans="1:10" s="2" customFormat="1" ht="14.25">
      <c r="A124" s="2" t="s">
        <v>90</v>
      </c>
      <c r="H124" s="152">
        <v>0</v>
      </c>
      <c r="I124" s="153"/>
      <c r="J124" s="154"/>
    </row>
    <row r="125" spans="1:10" s="2" customFormat="1" ht="14.25">
      <c r="A125" s="2" t="s">
        <v>91</v>
      </c>
      <c r="H125" s="106">
        <v>0</v>
      </c>
      <c r="I125" s="107"/>
      <c r="J125" s="108"/>
    </row>
    <row r="126" spans="1:10" s="2" customFormat="1" ht="14.25">
      <c r="A126" s="2" t="s">
        <v>92</v>
      </c>
      <c r="H126" s="106">
        <v>0</v>
      </c>
      <c r="I126" s="107"/>
      <c r="J126" s="108"/>
    </row>
    <row r="127" spans="1:10" s="2" customFormat="1" ht="14.25">
      <c r="A127" s="2" t="s">
        <v>93</v>
      </c>
      <c r="H127" s="106">
        <v>0</v>
      </c>
      <c r="I127" s="107"/>
      <c r="J127" s="108"/>
    </row>
    <row r="128" spans="1:10" s="2" customFormat="1" ht="14.25">
      <c r="A128" s="2" t="s">
        <v>94</v>
      </c>
      <c r="H128" s="106">
        <v>0</v>
      </c>
      <c r="I128" s="107"/>
      <c r="J128" s="108"/>
    </row>
    <row r="129" spans="1:10" s="2" customFormat="1" ht="14.25">
      <c r="A129" s="2" t="s">
        <v>60</v>
      </c>
      <c r="H129" s="106">
        <v>0</v>
      </c>
      <c r="I129" s="107"/>
      <c r="J129" s="108"/>
    </row>
    <row r="130" spans="1:10" s="2" customFormat="1" ht="14.25">
      <c r="A130" s="2" t="s">
        <v>61</v>
      </c>
      <c r="H130" s="106">
        <v>0</v>
      </c>
      <c r="I130" s="107"/>
      <c r="J130" s="108"/>
    </row>
    <row r="131" spans="1:10" s="2" customFormat="1" ht="14.25">
      <c r="A131" s="2" t="s">
        <v>62</v>
      </c>
      <c r="H131" s="155">
        <v>0</v>
      </c>
      <c r="I131" s="138"/>
      <c r="J131" s="139"/>
    </row>
    <row r="132" s="2" customFormat="1" ht="14.25"/>
  </sheetData>
  <mergeCells count="137">
    <mergeCell ref="H103:J103"/>
    <mergeCell ref="K103:M103"/>
    <mergeCell ref="H113:J113"/>
    <mergeCell ref="K112:M112"/>
    <mergeCell ref="N112:P112"/>
    <mergeCell ref="K113:M113"/>
    <mergeCell ref="N113:P113"/>
    <mergeCell ref="H107:J107"/>
    <mergeCell ref="H108:J108"/>
    <mergeCell ref="H109:J109"/>
    <mergeCell ref="H112:J112"/>
    <mergeCell ref="H111:J111"/>
    <mergeCell ref="K111:M111"/>
    <mergeCell ref="N111:P111"/>
    <mergeCell ref="K99:M99"/>
    <mergeCell ref="K100:M100"/>
    <mergeCell ref="K101:M101"/>
    <mergeCell ref="Y50:AA50"/>
    <mergeCell ref="V50:X50"/>
    <mergeCell ref="K96:M96"/>
    <mergeCell ref="K97:M97"/>
    <mergeCell ref="K98:M98"/>
    <mergeCell ref="H60:J60"/>
    <mergeCell ref="K49:M49"/>
    <mergeCell ref="H50:J50"/>
    <mergeCell ref="H57:J57"/>
    <mergeCell ref="H58:J58"/>
    <mergeCell ref="H56:J56"/>
    <mergeCell ref="H49:J49"/>
    <mergeCell ref="H55:J55"/>
    <mergeCell ref="H128:J128"/>
    <mergeCell ref="H129:J129"/>
    <mergeCell ref="H130:J130"/>
    <mergeCell ref="H131:J131"/>
    <mergeCell ref="H124:J124"/>
    <mergeCell ref="H125:J125"/>
    <mergeCell ref="H126:J126"/>
    <mergeCell ref="H127:J127"/>
    <mergeCell ref="H120:J120"/>
    <mergeCell ref="H121:J121"/>
    <mergeCell ref="H116:J116"/>
    <mergeCell ref="H117:J117"/>
    <mergeCell ref="H118:J118"/>
    <mergeCell ref="H119:J119"/>
    <mergeCell ref="H97:J97"/>
    <mergeCell ref="H101:J101"/>
    <mergeCell ref="H98:J98"/>
    <mergeCell ref="H99:J99"/>
    <mergeCell ref="H100:J100"/>
    <mergeCell ref="H90:J90"/>
    <mergeCell ref="H91:J91"/>
    <mergeCell ref="H92:J92"/>
    <mergeCell ref="H96:J96"/>
    <mergeCell ref="H84:J84"/>
    <mergeCell ref="H85:J85"/>
    <mergeCell ref="H86:J86"/>
    <mergeCell ref="H89:J89"/>
    <mergeCell ref="H80:J80"/>
    <mergeCell ref="H81:J81"/>
    <mergeCell ref="H82:J82"/>
    <mergeCell ref="H83:J83"/>
    <mergeCell ref="H79:J79"/>
    <mergeCell ref="H74:J74"/>
    <mergeCell ref="H75:J75"/>
    <mergeCell ref="H66:J66"/>
    <mergeCell ref="H42:J42"/>
    <mergeCell ref="H70:J70"/>
    <mergeCell ref="H51:J51"/>
    <mergeCell ref="H52:J52"/>
    <mergeCell ref="H53:J53"/>
    <mergeCell ref="H54:J54"/>
    <mergeCell ref="H43:J43"/>
    <mergeCell ref="H44:J44"/>
    <mergeCell ref="H45:J45"/>
    <mergeCell ref="H46:J46"/>
    <mergeCell ref="K38:M38"/>
    <mergeCell ref="H76:J76"/>
    <mergeCell ref="H64:J64"/>
    <mergeCell ref="H65:J65"/>
    <mergeCell ref="H67:J67"/>
    <mergeCell ref="H71:J71"/>
    <mergeCell ref="H73:J73"/>
    <mergeCell ref="H72:J72"/>
    <mergeCell ref="H47:J47"/>
    <mergeCell ref="H48:J48"/>
    <mergeCell ref="K34:M34"/>
    <mergeCell ref="K35:M35"/>
    <mergeCell ref="K36:M36"/>
    <mergeCell ref="K37:M37"/>
    <mergeCell ref="K30:M30"/>
    <mergeCell ref="K31:M31"/>
    <mergeCell ref="K32:M32"/>
    <mergeCell ref="K33:M33"/>
    <mergeCell ref="H36:J36"/>
    <mergeCell ref="H37:J37"/>
    <mergeCell ref="H38:J38"/>
    <mergeCell ref="K23:M23"/>
    <mergeCell ref="K24:M24"/>
    <mergeCell ref="K25:M25"/>
    <mergeCell ref="K26:M26"/>
    <mergeCell ref="K27:M27"/>
    <mergeCell ref="K28:M28"/>
    <mergeCell ref="K29:M29"/>
    <mergeCell ref="H32:J32"/>
    <mergeCell ref="H33:J33"/>
    <mergeCell ref="H34:J34"/>
    <mergeCell ref="H35:J35"/>
    <mergeCell ref="H31:J31"/>
    <mergeCell ref="K18:M18"/>
    <mergeCell ref="K19:M19"/>
    <mergeCell ref="K20:M20"/>
    <mergeCell ref="K21:M21"/>
    <mergeCell ref="H19:J19"/>
    <mergeCell ref="H23:J23"/>
    <mergeCell ref="H24:J24"/>
    <mergeCell ref="H25:J25"/>
    <mergeCell ref="H21:J21"/>
    <mergeCell ref="H20:J20"/>
    <mergeCell ref="H102:J102"/>
    <mergeCell ref="K102:M102"/>
    <mergeCell ref="H22:J22"/>
    <mergeCell ref="K22:M22"/>
    <mergeCell ref="H26:J26"/>
    <mergeCell ref="H27:J27"/>
    <mergeCell ref="H28:J28"/>
    <mergeCell ref="H29:J29"/>
    <mergeCell ref="H30:J30"/>
    <mergeCell ref="H61:J61"/>
    <mergeCell ref="K15:M15"/>
    <mergeCell ref="H15:J15"/>
    <mergeCell ref="H95:J95"/>
    <mergeCell ref="K95:M95"/>
    <mergeCell ref="H16:J16"/>
    <mergeCell ref="K16:M16"/>
    <mergeCell ref="H17:J17"/>
    <mergeCell ref="H18:J18"/>
    <mergeCell ref="K17:M17"/>
  </mergeCells>
  <printOptions/>
  <pageMargins left="0.7480314960629921" right="0.7480314960629921" top="0.3937007874015748" bottom="0.3937007874015748" header="0.5118110236220472" footer="0.5118110236220472"/>
  <pageSetup fitToHeight="2" horizontalDpi="600" verticalDpi="600" orientation="portrait" paperSize="9" scale="45" r:id="rId1"/>
  <headerFooter alignWithMargins="0">
    <oddFooter>&amp;Lo:\inv\2001\Flexible No 2\&amp;F</oddFooter>
  </headerFooter>
  <rowBreaks count="1" manualBreakCount="1"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38810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0.0458688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139417149.6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4501394.400000006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134915755.2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0.4888252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0.3874468310030639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0.17788878670561672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189.41</v>
      </c>
      <c r="I26" s="171"/>
      <c r="J26" s="172"/>
      <c r="K26" s="170">
        <v>428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38810</v>
      </c>
      <c r="I31" s="135"/>
      <c r="J31" s="136"/>
      <c r="K31" s="134">
        <f>H31</f>
        <v>38810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241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163417132.73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158915730.5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804506.6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5630007.59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744929.13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4555649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1074358.59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383659.06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4501394.400000006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0.3587196797587577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0.33452911017795706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0.024190569580800656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242</v>
      </c>
      <c r="B53" s="2"/>
      <c r="C53" s="2"/>
      <c r="D53" s="2"/>
      <c r="E53" s="2"/>
      <c r="F53" s="2"/>
      <c r="G53" s="2"/>
      <c r="H53" s="175">
        <f>804506.6-576052.15-109561.89</f>
        <v>118892.55999999995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243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244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12455.33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1910.96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1910.96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245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156190127.81</v>
      </c>
      <c r="I91" s="165"/>
      <c r="J91" s="166"/>
      <c r="K91" s="164">
        <v>2107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472691.98</v>
      </c>
      <c r="I92" s="165"/>
      <c r="J92" s="166"/>
      <c r="K92" s="184">
        <v>5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3184.85</v>
      </c>
      <c r="I93" s="165"/>
      <c r="J93" s="166"/>
      <c r="K93" s="184">
        <v>1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861.77</v>
      </c>
      <c r="I94" s="165"/>
      <c r="J94" s="166"/>
      <c r="K94" s="184">
        <v>1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5972.32+1211505.26</f>
        <v>1217477.58</v>
      </c>
      <c r="I96" s="165"/>
      <c r="J96" s="166"/>
      <c r="K96" s="184">
        <f>1+1</f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1031168.26</v>
      </c>
      <c r="I99" s="192"/>
      <c r="J99" s="193"/>
      <c r="K99" s="194">
        <v>12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158915730.5</v>
      </c>
      <c r="J100" s="21"/>
      <c r="K100" s="22"/>
      <c r="L100" s="13">
        <f>SUM(K91:M99)</f>
        <v>2129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246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46749074.01/158915731</f>
        <v>0.2941752444256132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46729803.46/158915731</f>
        <v>0.294053981729474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0.6959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0.6706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3:J103"/>
    <mergeCell ref="H104:J104"/>
    <mergeCell ref="H105:J105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12:J112"/>
    <mergeCell ref="H113:J113"/>
    <mergeCell ref="H114:J114"/>
    <mergeCell ref="H115:J115"/>
    <mergeCell ref="H116:J116"/>
    <mergeCell ref="H117:J117"/>
    <mergeCell ref="H120:J120"/>
    <mergeCell ref="H121:J121"/>
    <mergeCell ref="H126:J126"/>
    <mergeCell ref="H127:J127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38839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0.0463188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134915755.2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2451155.999999985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132464599.2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0.4799442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0.218016583433095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0.18118048252094812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194.16</v>
      </c>
      <c r="I26" s="171"/>
      <c r="J26" s="172"/>
      <c r="K26" s="170">
        <v>446.46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38839</v>
      </c>
      <c r="I31" s="135"/>
      <c r="J31" s="136"/>
      <c r="K31" s="134">
        <f>H31</f>
        <v>38839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247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158915730.5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156464591.11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787820.35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3136519.56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684595.47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2423200.21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713319.35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760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2451155.999999985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0.18514900310639795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0.18298001354875312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0.00216898955764483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248</v>
      </c>
      <c r="B53" s="2"/>
      <c r="C53" s="2"/>
      <c r="D53" s="2"/>
      <c r="E53" s="2"/>
      <c r="F53" s="2"/>
      <c r="G53" s="2"/>
      <c r="H53" s="175">
        <f>787820.35-541909.64-106246.44</f>
        <v>139664.26999999996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249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250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187.5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13397.86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1849.32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1849.32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251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152561342.62</v>
      </c>
      <c r="I91" s="165"/>
      <c r="J91" s="166"/>
      <c r="K91" s="164">
        <v>2069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1619590.41</v>
      </c>
      <c r="I92" s="165"/>
      <c r="J92" s="166"/>
      <c r="K92" s="184">
        <v>12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38489.68</v>
      </c>
      <c r="I93" s="165"/>
      <c r="J93" s="166"/>
      <c r="K93" s="184">
        <v>1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0</v>
      </c>
      <c r="I94" s="165"/>
      <c r="J94" s="166"/>
      <c r="K94" s="184">
        <v>0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1212072.8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1032877.35</v>
      </c>
      <c r="I99" s="192"/>
      <c r="J99" s="193"/>
      <c r="K99" s="194">
        <v>12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156464591.11</v>
      </c>
      <c r="J100" s="21"/>
      <c r="K100" s="22"/>
      <c r="L100" s="13">
        <f>SUM(K91:M99)</f>
        <v>2096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252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46405473.98/156464591</f>
        <v>0.29658770513770744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45778596.47/156464591</f>
        <v>0.2925811915489556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0.6954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0.6703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3:J103"/>
    <mergeCell ref="H104:J104"/>
    <mergeCell ref="H105:J105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12:J112"/>
    <mergeCell ref="H113:J113"/>
    <mergeCell ref="H114:J114"/>
    <mergeCell ref="H115:J115"/>
    <mergeCell ref="H116:J116"/>
    <mergeCell ref="H117:J117"/>
    <mergeCell ref="H120:J120"/>
    <mergeCell ref="H121:J121"/>
    <mergeCell ref="H126:J126"/>
    <mergeCell ref="H127:J127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1.281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38869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0.0466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132464599.2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1919138.400000006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130545460.8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0.4729908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0.17385521066824072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0.18384400233393638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205.27</v>
      </c>
      <c r="I26" s="171"/>
      <c r="J26" s="172"/>
      <c r="K26" s="170">
        <v>478.68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38869</v>
      </c>
      <c r="I31" s="135"/>
      <c r="J31" s="136"/>
      <c r="K31" s="134">
        <f>H31</f>
        <v>38869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253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156464591.11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154545435.36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777204.99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2987976.17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823837.48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1735634.36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1252341.81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244974.85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1919138.400000006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0.1659779001482989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0.13311390246344917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0.03286399768484974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254</v>
      </c>
      <c r="B53" s="2"/>
      <c r="C53" s="2"/>
      <c r="D53" s="2"/>
      <c r="E53" s="2"/>
      <c r="F53" s="2"/>
      <c r="G53" s="2"/>
      <c r="H53" s="175">
        <f>777204.99-553908.21-110692.47</f>
        <v>112604.31000000003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255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256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190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13341.72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587.5+862.5+265</f>
        <v>1715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1910.96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1910.96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257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151873582.28</v>
      </c>
      <c r="I91" s="165"/>
      <c r="J91" s="166"/>
      <c r="K91" s="164">
        <v>2047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775749.75</v>
      </c>
      <c r="I92" s="165"/>
      <c r="J92" s="166"/>
      <c r="K92" s="184">
        <v>7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858589.34</v>
      </c>
      <c r="I93" s="165"/>
      <c r="J93" s="166"/>
      <c r="K93" s="184">
        <v>5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0</v>
      </c>
      <c r="I94" s="165"/>
      <c r="J94" s="166"/>
      <c r="K94" s="184">
        <v>0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0</v>
      </c>
      <c r="I96" s="165"/>
      <c r="J96" s="166"/>
      <c r="K96" s="184">
        <v>0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1037295.74</v>
      </c>
      <c r="I99" s="192"/>
      <c r="J99" s="193"/>
      <c r="K99" s="194">
        <v>12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154545435.36</v>
      </c>
      <c r="J100" s="21"/>
      <c r="K100" s="22"/>
      <c r="L100" s="13">
        <f>SUM(K91:M99)</f>
        <v>2072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258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f>46027652.58/154545435</f>
        <v>0.2978260249485855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f>45199191.22/154545435</f>
        <v>0.29246539194121135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0.6957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0.6702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126:J126"/>
    <mergeCell ref="H127:J127"/>
    <mergeCell ref="H122:J122"/>
    <mergeCell ref="H123:J123"/>
    <mergeCell ref="H124:J124"/>
    <mergeCell ref="H125:J125"/>
    <mergeCell ref="H116:J116"/>
    <mergeCell ref="H117:J117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09:J109"/>
    <mergeCell ref="K109:M109"/>
    <mergeCell ref="N109:P109"/>
    <mergeCell ref="H105:J105"/>
    <mergeCell ref="H107:J107"/>
    <mergeCell ref="K107:M107"/>
    <mergeCell ref="N107:P107"/>
    <mergeCell ref="H99:J99"/>
    <mergeCell ref="K99:M99"/>
    <mergeCell ref="H103:J103"/>
    <mergeCell ref="H104:J104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4.140625" style="47" bestFit="1" customWidth="1"/>
    <col min="6" max="6" width="11.28125" style="47" customWidth="1"/>
    <col min="7" max="7" width="9.140625" style="47" customWidth="1"/>
    <col min="8" max="8" width="12.7109375" style="47" bestFit="1" customWidth="1"/>
    <col min="9" max="9" width="12.8515625" style="47" bestFit="1" customWidth="1"/>
    <col min="10" max="11" width="9.140625" style="47" customWidth="1"/>
    <col min="12" max="12" width="12.8515625" style="47" bestFit="1" customWidth="1"/>
    <col min="13" max="13" width="9.140625" style="47" customWidth="1"/>
    <col min="14" max="14" width="10.421875" style="47" bestFit="1" customWidth="1"/>
    <col min="15" max="15" width="12.851562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38901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198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130545460.8</v>
      </c>
      <c r="I16" s="165"/>
      <c r="J16" s="166"/>
      <c r="K16" s="122">
        <v>24000000</v>
      </c>
      <c r="L16" s="122"/>
      <c r="M16" s="123"/>
      <c r="N16" s="2"/>
      <c r="O16" s="5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130545460.8</v>
      </c>
      <c r="I17" s="122"/>
      <c r="J17" s="123"/>
      <c r="K17" s="121">
        <f>K16-K18</f>
        <v>24000000</v>
      </c>
      <c r="L17" s="122"/>
      <c r="M17" s="123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0</v>
      </c>
      <c r="I18" s="165"/>
      <c r="J18" s="166"/>
      <c r="K18" s="121">
        <v>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</v>
      </c>
      <c r="I19" s="168"/>
      <c r="J19" s="169"/>
      <c r="K19" s="124">
        <v>0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v>1</v>
      </c>
      <c r="I20" s="128"/>
      <c r="J20" s="129"/>
      <c r="K20" s="127">
        <v>1</v>
      </c>
      <c r="L20" s="128"/>
      <c r="M20" s="129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06" t="s">
        <v>71</v>
      </c>
      <c r="L23" s="107"/>
      <c r="M23" s="108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0</v>
      </c>
      <c r="I26" s="171"/>
      <c r="J26" s="172"/>
      <c r="K26" s="170">
        <v>0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38901</v>
      </c>
      <c r="I31" s="135"/>
      <c r="J31" s="136"/>
      <c r="K31" s="134">
        <f>H31</f>
        <v>38901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259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154545435.36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0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710766.1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155751191.54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744795.24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203"/>
      <c r="I41" s="204"/>
      <c r="J41" s="205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f>2791310.79+151950034</f>
        <v>154741344.79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1009846.75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460935.63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64">
        <v>0</v>
      </c>
      <c r="I45" s="165"/>
      <c r="J45" s="166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130545460.8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21">
        <f>K17</f>
        <v>24000000</v>
      </c>
      <c r="I47" s="122"/>
      <c r="J47" s="123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v>1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v>1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0.02058047274311939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260</v>
      </c>
      <c r="B53" s="2"/>
      <c r="C53" s="2"/>
      <c r="D53" s="2"/>
      <c r="E53" s="2"/>
      <c r="F53" s="2"/>
      <c r="G53" s="2"/>
      <c r="H53" s="175">
        <f>710766.1-531136.13-107703</f>
        <v>71926.96999999997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264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261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11910.23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587.5+862.5</f>
        <v>1450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1849.32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15000000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21">
        <v>-15000000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1849.32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200">
        <v>7500000</v>
      </c>
      <c r="I72" s="201"/>
      <c r="J72" s="202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97">
        <v>7500000</v>
      </c>
      <c r="I73" s="198"/>
      <c r="J73" s="199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97">
        <v>-7500000</v>
      </c>
      <c r="I74" s="198"/>
      <c r="J74" s="199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262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0</v>
      </c>
      <c r="I91" s="165"/>
      <c r="J91" s="166"/>
      <c r="K91" s="164">
        <v>0</v>
      </c>
      <c r="L91" s="165"/>
      <c r="M91" s="166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0</v>
      </c>
      <c r="I92" s="165"/>
      <c r="J92" s="166"/>
      <c r="K92" s="184">
        <v>0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0</v>
      </c>
      <c r="I93" s="165"/>
      <c r="J93" s="166"/>
      <c r="K93" s="184">
        <v>0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0</v>
      </c>
      <c r="I94" s="165"/>
      <c r="J94" s="166"/>
      <c r="K94" s="184">
        <v>0</v>
      </c>
      <c r="L94" s="173"/>
      <c r="M94" s="174"/>
      <c r="N94" s="2"/>
      <c r="O94" s="5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0</v>
      </c>
      <c r="I95" s="165"/>
      <c r="J95" s="166"/>
      <c r="K95" s="184">
        <v>0</v>
      </c>
      <c r="L95" s="173"/>
      <c r="M95" s="174"/>
      <c r="N95" s="2"/>
      <c r="O95" s="5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0</v>
      </c>
      <c r="I96" s="165"/>
      <c r="J96" s="166"/>
      <c r="K96" s="184">
        <v>0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0</v>
      </c>
      <c r="I97" s="165"/>
      <c r="J97" s="166"/>
      <c r="K97" s="184">
        <v>0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185</v>
      </c>
      <c r="B99" s="2"/>
      <c r="C99" s="2"/>
      <c r="D99" s="2"/>
      <c r="E99" s="2"/>
      <c r="F99" s="2"/>
      <c r="G99" s="2"/>
      <c r="H99" s="191">
        <v>0</v>
      </c>
      <c r="I99" s="192"/>
      <c r="J99" s="193"/>
      <c r="K99" s="194">
        <v>0</v>
      </c>
      <c r="L99" s="195"/>
      <c r="M99" s="196"/>
      <c r="N99" s="2"/>
      <c r="O99" s="2"/>
      <c r="P99" s="2"/>
      <c r="Q99" s="2"/>
    </row>
    <row r="100" spans="1:17" ht="14.25">
      <c r="A100" s="2" t="s">
        <v>115</v>
      </c>
      <c r="B100" s="2"/>
      <c r="C100" s="2"/>
      <c r="D100" s="2"/>
      <c r="E100" s="2"/>
      <c r="F100" s="2"/>
      <c r="G100" s="2"/>
      <c r="H100" s="20"/>
      <c r="I100" s="13">
        <f>SUM(H91:J99)</f>
        <v>0</v>
      </c>
      <c r="J100" s="21"/>
      <c r="K100" s="22"/>
      <c r="L100" s="13">
        <f>SUM(K91:M99)</f>
        <v>0</v>
      </c>
      <c r="M100" s="23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51" t="s">
        <v>263</v>
      </c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  <c r="Q102" s="2"/>
    </row>
    <row r="103" spans="1:17" ht="15">
      <c r="A103" s="4" t="s">
        <v>111</v>
      </c>
      <c r="B103" s="2"/>
      <c r="C103" s="2"/>
      <c r="D103" s="2"/>
      <c r="E103" s="2"/>
      <c r="F103" s="2"/>
      <c r="G103" s="2"/>
      <c r="H103" s="161" t="s">
        <v>114</v>
      </c>
      <c r="I103" s="162"/>
      <c r="J103" s="163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112</v>
      </c>
      <c r="B104" s="2"/>
      <c r="C104" s="2"/>
      <c r="D104" s="2"/>
      <c r="E104" s="2"/>
      <c r="F104" s="2"/>
      <c r="G104" s="2"/>
      <c r="H104" s="185">
        <v>0</v>
      </c>
      <c r="I104" s="186"/>
      <c r="J104" s="187"/>
      <c r="K104" s="11"/>
      <c r="L104" s="11"/>
      <c r="M104" s="11"/>
      <c r="N104" s="2"/>
      <c r="O104" s="2"/>
      <c r="P104" s="2"/>
      <c r="Q104" s="2"/>
    </row>
    <row r="105" spans="1:17" ht="14.25">
      <c r="A105" s="2" t="s">
        <v>113</v>
      </c>
      <c r="B105" s="2"/>
      <c r="C105" s="2"/>
      <c r="D105" s="2"/>
      <c r="E105" s="2"/>
      <c r="F105" s="2"/>
      <c r="G105" s="2"/>
      <c r="H105" s="188">
        <v>0</v>
      </c>
      <c r="I105" s="189"/>
      <c r="J105" s="190"/>
      <c r="K105" s="11"/>
      <c r="L105" s="11"/>
      <c r="M105" s="11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12"/>
      <c r="I106" s="12"/>
      <c r="J106" s="12"/>
      <c r="K106" s="11"/>
      <c r="L106" s="11"/>
      <c r="M106" s="11"/>
      <c r="N106" s="2"/>
      <c r="O106" s="2"/>
      <c r="P106" s="2"/>
      <c r="Q106" s="2"/>
    </row>
    <row r="107" spans="1:17" ht="15">
      <c r="A107" s="7" t="s">
        <v>117</v>
      </c>
      <c r="B107" s="2"/>
      <c r="C107" s="2"/>
      <c r="D107" s="2"/>
      <c r="E107" s="2"/>
      <c r="F107" s="2"/>
      <c r="G107" s="2"/>
      <c r="H107" s="161" t="s">
        <v>108</v>
      </c>
      <c r="I107" s="162"/>
      <c r="J107" s="163"/>
      <c r="K107" s="118" t="s">
        <v>109</v>
      </c>
      <c r="L107" s="119"/>
      <c r="M107" s="120"/>
      <c r="N107" s="118" t="s">
        <v>110</v>
      </c>
      <c r="O107" s="119"/>
      <c r="P107" s="120"/>
      <c r="Q107" s="2"/>
    </row>
    <row r="108" spans="1:17" ht="14.25">
      <c r="A108" s="2" t="s">
        <v>106</v>
      </c>
      <c r="B108" s="2"/>
      <c r="C108" s="2"/>
      <c r="D108" s="2"/>
      <c r="E108" s="2"/>
      <c r="F108" s="2"/>
      <c r="G108" s="2"/>
      <c r="H108" s="127">
        <v>0.7353</v>
      </c>
      <c r="I108" s="128"/>
      <c r="J108" s="129"/>
      <c r="K108" s="127">
        <v>0.7453</v>
      </c>
      <c r="L108" s="128"/>
      <c r="M108" s="129"/>
      <c r="N108" s="185">
        <v>0</v>
      </c>
      <c r="O108" s="186"/>
      <c r="P108" s="187"/>
      <c r="Q108" s="2"/>
    </row>
    <row r="109" spans="1:17" ht="14.25">
      <c r="A109" s="2" t="s">
        <v>107</v>
      </c>
      <c r="B109" s="2"/>
      <c r="C109" s="2"/>
      <c r="D109" s="2"/>
      <c r="E109" s="2"/>
      <c r="F109" s="2"/>
      <c r="G109" s="2"/>
      <c r="H109" s="137">
        <v>0.7211</v>
      </c>
      <c r="I109" s="159"/>
      <c r="J109" s="160"/>
      <c r="K109" s="137">
        <v>0.7311</v>
      </c>
      <c r="L109" s="159"/>
      <c r="M109" s="160"/>
      <c r="N109" s="188">
        <v>0</v>
      </c>
      <c r="O109" s="189"/>
      <c r="P109" s="190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7" t="s">
        <v>53</v>
      </c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54</v>
      </c>
      <c r="B112" s="2"/>
      <c r="C112" s="2"/>
      <c r="D112" s="2"/>
      <c r="E112" s="2"/>
      <c r="F112" s="2"/>
      <c r="G112" s="2"/>
      <c r="H112" s="152">
        <v>0</v>
      </c>
      <c r="I112" s="153"/>
      <c r="J112" s="154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55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106"/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56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57</v>
      </c>
      <c r="B116" s="2"/>
      <c r="C116" s="2"/>
      <c r="D116" s="2"/>
      <c r="E116" s="2"/>
      <c r="F116" s="2"/>
      <c r="G116" s="2"/>
      <c r="H116" s="106">
        <v>0</v>
      </c>
      <c r="I116" s="107"/>
      <c r="J116" s="108"/>
      <c r="K116" s="1"/>
      <c r="L116" s="1"/>
      <c r="M116" s="1"/>
      <c r="N116" s="2"/>
      <c r="O116" s="2"/>
      <c r="P116" s="2"/>
      <c r="Q116" s="2"/>
    </row>
    <row r="117" spans="1:17" ht="14.25">
      <c r="A117" s="2" t="s">
        <v>58</v>
      </c>
      <c r="B117" s="2"/>
      <c r="C117" s="2"/>
      <c r="D117" s="2"/>
      <c r="E117" s="2"/>
      <c r="F117" s="2"/>
      <c r="G117" s="2"/>
      <c r="H117" s="155">
        <v>0</v>
      </c>
      <c r="I117" s="138"/>
      <c r="J117" s="139"/>
      <c r="K117" s="1"/>
      <c r="L117" s="1"/>
      <c r="M117" s="1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2"/>
      <c r="P118" s="2"/>
      <c r="Q118" s="2"/>
    </row>
    <row r="119" spans="1:17" ht="15">
      <c r="A119" s="7" t="s">
        <v>59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90</v>
      </c>
      <c r="B120" s="2"/>
      <c r="C120" s="2"/>
      <c r="D120" s="2"/>
      <c r="E120" s="2"/>
      <c r="F120" s="2"/>
      <c r="G120" s="2"/>
      <c r="H120" s="152">
        <v>0</v>
      </c>
      <c r="I120" s="153"/>
      <c r="J120" s="154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91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92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93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94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60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61</v>
      </c>
      <c r="B126" s="2"/>
      <c r="C126" s="2"/>
      <c r="D126" s="2"/>
      <c r="E126" s="2"/>
      <c r="F126" s="2"/>
      <c r="G126" s="2"/>
      <c r="H126" s="106">
        <v>0</v>
      </c>
      <c r="I126" s="107"/>
      <c r="J126" s="108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62</v>
      </c>
      <c r="B127" s="2"/>
      <c r="C127" s="2"/>
      <c r="D127" s="2"/>
      <c r="E127" s="2"/>
      <c r="F127" s="2"/>
      <c r="G127" s="2"/>
      <c r="H127" s="155">
        <v>0</v>
      </c>
      <c r="I127" s="138"/>
      <c r="J127" s="139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3:J103"/>
    <mergeCell ref="H104:J104"/>
    <mergeCell ref="H105:J105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12:J112"/>
    <mergeCell ref="H113:J113"/>
    <mergeCell ref="H114:J114"/>
    <mergeCell ref="H115:J115"/>
    <mergeCell ref="H116:J116"/>
    <mergeCell ref="H117:J117"/>
    <mergeCell ref="H120:J120"/>
    <mergeCell ref="H121:J121"/>
    <mergeCell ref="H126:J126"/>
    <mergeCell ref="H127:J127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0.57421875" style="47" bestFit="1" customWidth="1"/>
    <col min="13" max="14" width="9.140625" style="47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29">
        <v>38292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30">
        <v>0.0483125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80">
        <v>192344262</v>
      </c>
      <c r="I16" s="81"/>
      <c r="J16" s="82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3814513.199999988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80">
        <v>188529748.8</v>
      </c>
      <c r="I18" s="81"/>
      <c r="J18" s="82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2" t="s">
        <v>132</v>
      </c>
      <c r="B19" s="2"/>
      <c r="C19" s="2"/>
      <c r="D19" s="2"/>
      <c r="E19" s="2"/>
      <c r="F19" s="2"/>
      <c r="G19" s="2"/>
      <c r="H19" s="103">
        <v>0.6830788</v>
      </c>
      <c r="I19" s="104"/>
      <c r="J19" s="105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0.23798036876192258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0.12730086446707237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89">
        <v>286.74</v>
      </c>
      <c r="I26" s="57"/>
      <c r="J26" s="58"/>
      <c r="K26" s="89">
        <v>461.58</v>
      </c>
      <c r="L26" s="57"/>
      <c r="M26" s="58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38292</v>
      </c>
      <c r="I31" s="135"/>
      <c r="J31" s="136"/>
      <c r="K31" s="134">
        <f>H31</f>
        <v>38292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28" t="s">
        <v>133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80">
        <v>216344261.44</v>
      </c>
      <c r="I35" s="81"/>
      <c r="J35" s="82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80">
        <v>212529736.79</v>
      </c>
      <c r="I36" s="81"/>
      <c r="J36" s="82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80">
        <v>1147654.58</v>
      </c>
      <c r="I37" s="81"/>
      <c r="J37" s="82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5647145.11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80">
        <v>1606663.44</v>
      </c>
      <c r="I40" s="60"/>
      <c r="J40" s="61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80">
        <v>4074966</v>
      </c>
      <c r="I42" s="60"/>
      <c r="J42" s="61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80">
        <v>1572179.11</v>
      </c>
      <c r="I43" s="60"/>
      <c r="J43" s="61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80">
        <v>225955.83</v>
      </c>
      <c r="I44" s="81"/>
      <c r="J44" s="82"/>
      <c r="K44" s="1"/>
      <c r="L44" s="16"/>
      <c r="M44" s="1"/>
      <c r="N44" s="2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3814513.199999988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0.22411401031520703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0.22602675788357623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-0.0019127475683692354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27" t="s">
        <v>134</v>
      </c>
      <c r="B53" s="28"/>
      <c r="C53" s="28"/>
      <c r="D53" s="28"/>
      <c r="E53" s="28"/>
      <c r="F53" s="28"/>
      <c r="G53" s="2"/>
      <c r="H53" s="90">
        <v>196347.38</v>
      </c>
      <c r="I53" s="91"/>
      <c r="J53" s="92"/>
      <c r="K53" s="1"/>
      <c r="L53" s="19"/>
      <c r="M53" s="1"/>
      <c r="N53" s="2"/>
      <c r="O53" s="2"/>
      <c r="P53" s="2"/>
      <c r="Q53" s="2"/>
    </row>
    <row r="54" spans="1:17" ht="15">
      <c r="A54" s="27" t="s">
        <v>135</v>
      </c>
      <c r="B54" s="28"/>
      <c r="C54" s="28"/>
      <c r="D54" s="28"/>
      <c r="E54" s="28"/>
      <c r="F54" s="28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8"/>
      <c r="B55" s="28"/>
      <c r="C55" s="28"/>
      <c r="D55" s="28"/>
      <c r="E55" s="28"/>
      <c r="F55" s="2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4" t="s">
        <v>136</v>
      </c>
      <c r="B56" s="28"/>
      <c r="C56" s="28"/>
      <c r="D56" s="28"/>
      <c r="E56" s="28"/>
      <c r="F56" s="28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96">
        <v>200</v>
      </c>
      <c r="I57" s="97"/>
      <c r="J57" s="98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89">
        <v>17766.94</v>
      </c>
      <c r="I58" s="57"/>
      <c r="J58" s="58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89">
        <v>2290</v>
      </c>
      <c r="I59" s="57"/>
      <c r="J59" s="58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54">
        <v>3430.33</v>
      </c>
      <c r="I60" s="55"/>
      <c r="J60" s="56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3430.33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39" t="s">
        <v>137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>
      <c r="A88" s="4" t="s">
        <v>46</v>
      </c>
      <c r="B88" s="2"/>
      <c r="C88" s="2"/>
      <c r="D88" s="2"/>
      <c r="E88" s="2"/>
      <c r="F88" s="2"/>
      <c r="G88" s="2"/>
      <c r="H88" s="118" t="s">
        <v>76</v>
      </c>
      <c r="I88" s="119"/>
      <c r="J88" s="120"/>
      <c r="K88" s="118" t="s">
        <v>65</v>
      </c>
      <c r="L88" s="119"/>
      <c r="M88" s="120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80">
        <v>211088802.33</v>
      </c>
      <c r="I89" s="81"/>
      <c r="J89" s="82"/>
      <c r="K89" s="59">
        <v>2836</v>
      </c>
      <c r="L89" s="60"/>
      <c r="M89" s="61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80">
        <v>782557.14</v>
      </c>
      <c r="I90" s="81"/>
      <c r="J90" s="82"/>
      <c r="K90" s="59">
        <v>13</v>
      </c>
      <c r="L90" s="60"/>
      <c r="M90" s="61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80">
        <v>112010.41</v>
      </c>
      <c r="I91" s="81"/>
      <c r="J91" s="82"/>
      <c r="K91" s="59">
        <v>3</v>
      </c>
      <c r="L91" s="60"/>
      <c r="M91" s="61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80">
        <v>413408.87</v>
      </c>
      <c r="I92" s="81"/>
      <c r="J92" s="82"/>
      <c r="K92" s="59">
        <v>3</v>
      </c>
      <c r="L92" s="60"/>
      <c r="M92" s="61"/>
      <c r="N92" s="2"/>
      <c r="O92" s="2"/>
      <c r="P92" s="2"/>
      <c r="Q92" s="2"/>
    </row>
    <row r="93" spans="1:17" ht="14.25">
      <c r="A93" s="2" t="s">
        <v>51</v>
      </c>
      <c r="B93" s="2"/>
      <c r="C93" s="2"/>
      <c r="D93" s="2"/>
      <c r="E93" s="2"/>
      <c r="F93" s="2"/>
      <c r="G93" s="2"/>
      <c r="H93" s="80">
        <f>55354.37+71413.1</f>
        <v>126767.47</v>
      </c>
      <c r="I93" s="81"/>
      <c r="J93" s="82"/>
      <c r="K93" s="59">
        <f>1+2</f>
        <v>3</v>
      </c>
      <c r="L93" s="60"/>
      <c r="M93" s="61"/>
      <c r="N93" s="2"/>
      <c r="O93" s="2"/>
      <c r="P93" s="2"/>
      <c r="Q93" s="2"/>
    </row>
    <row r="94" spans="1:17" ht="14.25">
      <c r="A94" s="2" t="s">
        <v>52</v>
      </c>
      <c r="B94" s="2"/>
      <c r="C94" s="2"/>
      <c r="D94" s="2"/>
      <c r="E94" s="2"/>
      <c r="F94" s="2"/>
      <c r="G94" s="2"/>
      <c r="H94" s="80">
        <v>5972.32</v>
      </c>
      <c r="I94" s="81"/>
      <c r="J94" s="82"/>
      <c r="K94" s="59">
        <v>1</v>
      </c>
      <c r="L94" s="60"/>
      <c r="M94" s="61"/>
      <c r="N94" s="2"/>
      <c r="O94" s="2"/>
      <c r="P94" s="2"/>
      <c r="Q94" s="2"/>
    </row>
    <row r="95" spans="1:17" ht="14.25">
      <c r="A95" s="2" t="s">
        <v>105</v>
      </c>
      <c r="B95" s="2"/>
      <c r="C95" s="2"/>
      <c r="D95" s="2"/>
      <c r="E95" s="2"/>
      <c r="F95" s="2"/>
      <c r="G95" s="2"/>
      <c r="H95" s="80">
        <v>218.25</v>
      </c>
      <c r="I95" s="81"/>
      <c r="J95" s="82"/>
      <c r="K95" s="59">
        <v>1</v>
      </c>
      <c r="L95" s="60"/>
      <c r="M95" s="61"/>
      <c r="N95" s="2"/>
      <c r="O95" s="2"/>
      <c r="P95" s="2"/>
      <c r="Q95" s="2"/>
    </row>
    <row r="96" spans="1:17" ht="14.25">
      <c r="A96" s="2" t="s">
        <v>116</v>
      </c>
      <c r="B96" s="2"/>
      <c r="C96" s="2"/>
      <c r="D96" s="2"/>
      <c r="E96" s="2"/>
      <c r="F96" s="2"/>
      <c r="G96" s="2"/>
      <c r="H96" s="80">
        <v>0</v>
      </c>
      <c r="I96" s="81"/>
      <c r="J96" s="82"/>
      <c r="K96" s="59">
        <v>0</v>
      </c>
      <c r="L96" s="60"/>
      <c r="M96" s="61"/>
      <c r="N96" s="2"/>
      <c r="O96" s="2"/>
      <c r="P96" s="2"/>
      <c r="Q96" s="2"/>
    </row>
    <row r="97" spans="1:17" ht="14.25">
      <c r="A97" s="2" t="s">
        <v>115</v>
      </c>
      <c r="B97" s="2"/>
      <c r="C97" s="2"/>
      <c r="D97" s="2"/>
      <c r="E97" s="2"/>
      <c r="F97" s="2"/>
      <c r="G97" s="2"/>
      <c r="H97" s="20"/>
      <c r="I97" s="13">
        <f>SUM(H89:J96)</f>
        <v>212529736.79</v>
      </c>
      <c r="J97" s="21"/>
      <c r="K97" s="22"/>
      <c r="L97" s="14">
        <f>SUM(K89:M96)</f>
        <v>2860</v>
      </c>
      <c r="M97" s="23"/>
      <c r="N97" s="2"/>
      <c r="O97" s="2"/>
      <c r="P97" s="2"/>
      <c r="Q97" s="2"/>
    </row>
    <row r="98" spans="1:17" ht="14.25">
      <c r="A98" s="2"/>
      <c r="B98" s="2"/>
      <c r="C98" s="2"/>
      <c r="D98" s="2"/>
      <c r="E98" s="2"/>
      <c r="F98" s="2"/>
      <c r="G98" s="2"/>
      <c r="H98" s="12"/>
      <c r="I98" s="12"/>
      <c r="J98" s="12"/>
      <c r="K98" s="11"/>
      <c r="L98" s="11"/>
      <c r="M98" s="11"/>
      <c r="N98" s="2"/>
      <c r="O98" s="2"/>
      <c r="P98" s="2"/>
      <c r="Q98" s="2"/>
    </row>
    <row r="99" spans="1:17" ht="15">
      <c r="A99" s="7" t="s">
        <v>138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  <c r="Q99" s="2"/>
    </row>
    <row r="100" spans="1:17" ht="15">
      <c r="A100" s="4" t="s">
        <v>111</v>
      </c>
      <c r="B100" s="2"/>
      <c r="C100" s="2"/>
      <c r="D100" s="2"/>
      <c r="E100" s="2"/>
      <c r="F100" s="2"/>
      <c r="G100" s="2"/>
      <c r="H100" s="161" t="s">
        <v>114</v>
      </c>
      <c r="I100" s="162"/>
      <c r="J100" s="163"/>
      <c r="K100" s="11"/>
      <c r="L100" s="11"/>
      <c r="M100" s="11"/>
      <c r="N100" s="2"/>
      <c r="O100" s="2"/>
      <c r="P100" s="2"/>
      <c r="Q100" s="2"/>
    </row>
    <row r="101" spans="1:17" ht="14.25">
      <c r="A101" s="2" t="s">
        <v>112</v>
      </c>
      <c r="B101" s="2"/>
      <c r="C101" s="2"/>
      <c r="D101" s="2"/>
      <c r="E101" s="2"/>
      <c r="F101" s="2"/>
      <c r="G101" s="2"/>
      <c r="H101" s="68">
        <f>62134890.38/212529737</f>
        <v>0.2923585718265863</v>
      </c>
      <c r="I101" s="69"/>
      <c r="J101" s="70"/>
      <c r="K101" s="11"/>
      <c r="L101" s="11"/>
      <c r="M101" s="11"/>
      <c r="N101" s="2"/>
      <c r="O101" s="2"/>
      <c r="P101" s="2"/>
      <c r="Q101" s="2"/>
    </row>
    <row r="102" spans="1:17" ht="14.25">
      <c r="A102" s="2" t="s">
        <v>113</v>
      </c>
      <c r="B102" s="2"/>
      <c r="C102" s="2"/>
      <c r="D102" s="2"/>
      <c r="E102" s="2"/>
      <c r="F102" s="2"/>
      <c r="G102" s="2"/>
      <c r="H102" s="71">
        <f>59931808.91/212529737</f>
        <v>0.2819925802194918</v>
      </c>
      <c r="I102" s="72"/>
      <c r="J102" s="73"/>
      <c r="K102" s="11"/>
      <c r="L102" s="11"/>
      <c r="M102" s="11"/>
      <c r="N102" s="2"/>
      <c r="O102" s="2"/>
      <c r="P102" s="2"/>
      <c r="Q102" s="2"/>
    </row>
    <row r="103" spans="1:17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  <c r="Q103" s="2"/>
    </row>
    <row r="104" spans="1:17" ht="15">
      <c r="A104" s="7" t="s">
        <v>117</v>
      </c>
      <c r="B104" s="2"/>
      <c r="C104" s="2"/>
      <c r="D104" s="2"/>
      <c r="E104" s="2"/>
      <c r="F104" s="2"/>
      <c r="G104" s="2"/>
      <c r="H104" s="161" t="s">
        <v>108</v>
      </c>
      <c r="I104" s="162"/>
      <c r="J104" s="163"/>
      <c r="K104" s="118" t="s">
        <v>109</v>
      </c>
      <c r="L104" s="119"/>
      <c r="M104" s="120"/>
      <c r="N104" s="118" t="s">
        <v>110</v>
      </c>
      <c r="O104" s="119"/>
      <c r="P104" s="120"/>
      <c r="Q104" s="2"/>
    </row>
    <row r="105" spans="1:17" ht="14.25">
      <c r="A105" s="2" t="s">
        <v>106</v>
      </c>
      <c r="B105" s="2"/>
      <c r="C105" s="2"/>
      <c r="D105" s="2"/>
      <c r="E105" s="2"/>
      <c r="F105" s="2"/>
      <c r="G105" s="2"/>
      <c r="H105" s="127">
        <v>0.7353</v>
      </c>
      <c r="I105" s="128"/>
      <c r="J105" s="129"/>
      <c r="K105" s="127">
        <v>0.7453</v>
      </c>
      <c r="L105" s="128"/>
      <c r="M105" s="129"/>
      <c r="N105" s="68">
        <v>0.7128</v>
      </c>
      <c r="O105" s="69"/>
      <c r="P105" s="70"/>
      <c r="Q105" s="2"/>
    </row>
    <row r="106" spans="1:17" ht="14.25">
      <c r="A106" s="2" t="s">
        <v>107</v>
      </c>
      <c r="B106" s="2"/>
      <c r="C106" s="2"/>
      <c r="D106" s="2"/>
      <c r="E106" s="2"/>
      <c r="F106" s="2"/>
      <c r="G106" s="2"/>
      <c r="H106" s="137">
        <v>0.7211</v>
      </c>
      <c r="I106" s="159"/>
      <c r="J106" s="160"/>
      <c r="K106" s="137">
        <v>0.7311</v>
      </c>
      <c r="L106" s="159"/>
      <c r="M106" s="160"/>
      <c r="N106" s="71">
        <v>0.6858</v>
      </c>
      <c r="O106" s="72"/>
      <c r="P106" s="73"/>
      <c r="Q106" s="2"/>
    </row>
    <row r="107" spans="1:17" ht="14.25">
      <c r="A107" s="2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>
      <c r="A108" s="7" t="s">
        <v>53</v>
      </c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2"/>
      <c r="O108" s="2"/>
      <c r="P108" s="2"/>
      <c r="Q108" s="2"/>
    </row>
    <row r="109" spans="1:17" ht="14.25">
      <c r="A109" s="2" t="s">
        <v>54</v>
      </c>
      <c r="B109" s="2"/>
      <c r="C109" s="2"/>
      <c r="D109" s="2"/>
      <c r="E109" s="2"/>
      <c r="F109" s="2"/>
      <c r="G109" s="2"/>
      <c r="H109" s="152">
        <v>0</v>
      </c>
      <c r="I109" s="153"/>
      <c r="J109" s="154"/>
      <c r="K109" s="1"/>
      <c r="L109" s="1"/>
      <c r="M109" s="1"/>
      <c r="N109" s="2"/>
      <c r="O109" s="2"/>
      <c r="P109" s="2"/>
      <c r="Q109" s="2"/>
    </row>
    <row r="110" spans="1:17" ht="14.25">
      <c r="A110" s="2" t="s">
        <v>55</v>
      </c>
      <c r="B110" s="2"/>
      <c r="C110" s="2"/>
      <c r="D110" s="2"/>
      <c r="E110" s="2"/>
      <c r="F110" s="2"/>
      <c r="G110" s="2"/>
      <c r="H110" s="106">
        <v>0</v>
      </c>
      <c r="I110" s="107"/>
      <c r="J110" s="108"/>
      <c r="K110" s="1"/>
      <c r="L110" s="1"/>
      <c r="M110" s="1"/>
      <c r="N110" s="2"/>
      <c r="O110" s="2"/>
      <c r="P110" s="2"/>
      <c r="Q110" s="2"/>
    </row>
    <row r="111" spans="1:17" ht="14.25">
      <c r="A111" s="2"/>
      <c r="B111" s="2"/>
      <c r="C111" s="2"/>
      <c r="D111" s="2"/>
      <c r="E111" s="2"/>
      <c r="F111" s="2"/>
      <c r="G111" s="2"/>
      <c r="H111" s="106"/>
      <c r="I111" s="107"/>
      <c r="J111" s="108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56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 t="s">
        <v>57</v>
      </c>
      <c r="B113" s="2"/>
      <c r="C113" s="2"/>
      <c r="D113" s="2"/>
      <c r="E113" s="2"/>
      <c r="F113" s="2"/>
      <c r="G113" s="2"/>
      <c r="H113" s="106">
        <v>0</v>
      </c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58</v>
      </c>
      <c r="B114" s="2"/>
      <c r="C114" s="2"/>
      <c r="D114" s="2"/>
      <c r="E114" s="2"/>
      <c r="F114" s="2"/>
      <c r="G114" s="2"/>
      <c r="H114" s="155">
        <v>0</v>
      </c>
      <c r="I114" s="138"/>
      <c r="J114" s="139"/>
      <c r="K114" s="1"/>
      <c r="L114" s="1"/>
      <c r="M114" s="1"/>
      <c r="N114" s="2"/>
      <c r="O114" s="2"/>
      <c r="P114" s="2"/>
      <c r="Q114" s="2"/>
    </row>
    <row r="115" spans="1:17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2"/>
      <c r="P115" s="2"/>
      <c r="Q115" s="2"/>
    </row>
    <row r="116" spans="1:17" ht="15">
      <c r="A116" s="7" t="s">
        <v>59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4.25">
      <c r="A117" s="2" t="s">
        <v>90</v>
      </c>
      <c r="B117" s="2"/>
      <c r="C117" s="2"/>
      <c r="D117" s="2"/>
      <c r="E117" s="2"/>
      <c r="F117" s="2"/>
      <c r="G117" s="2"/>
      <c r="H117" s="152">
        <v>0</v>
      </c>
      <c r="I117" s="153"/>
      <c r="J117" s="154"/>
      <c r="K117" s="2"/>
      <c r="L117" s="2"/>
      <c r="M117" s="2"/>
      <c r="N117" s="2"/>
      <c r="O117" s="2"/>
      <c r="P117" s="2"/>
      <c r="Q117" s="2"/>
    </row>
    <row r="118" spans="1:17" ht="14.25">
      <c r="A118" s="2" t="s">
        <v>91</v>
      </c>
      <c r="B118" s="2"/>
      <c r="C118" s="2"/>
      <c r="D118" s="2"/>
      <c r="E118" s="2"/>
      <c r="F118" s="2"/>
      <c r="G118" s="2"/>
      <c r="H118" s="106">
        <v>0</v>
      </c>
      <c r="I118" s="107"/>
      <c r="J118" s="108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92</v>
      </c>
      <c r="B119" s="2"/>
      <c r="C119" s="2"/>
      <c r="D119" s="2"/>
      <c r="E119" s="2"/>
      <c r="F119" s="2"/>
      <c r="G119" s="2"/>
      <c r="H119" s="106">
        <v>0</v>
      </c>
      <c r="I119" s="107"/>
      <c r="J119" s="10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93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94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60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61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62</v>
      </c>
      <c r="B124" s="2"/>
      <c r="C124" s="2"/>
      <c r="D124" s="2"/>
      <c r="E124" s="2"/>
      <c r="F124" s="2"/>
      <c r="G124" s="2"/>
      <c r="H124" s="155">
        <v>0</v>
      </c>
      <c r="I124" s="138"/>
      <c r="J124" s="139"/>
      <c r="K124" s="2"/>
      <c r="L124" s="2"/>
      <c r="M124" s="2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</sheetData>
  <mergeCells count="135">
    <mergeCell ref="H124:J124"/>
    <mergeCell ref="H120:J120"/>
    <mergeCell ref="H121:J121"/>
    <mergeCell ref="H122:J122"/>
    <mergeCell ref="H123:J123"/>
    <mergeCell ref="H114:J114"/>
    <mergeCell ref="H117:J117"/>
    <mergeCell ref="H118:J118"/>
    <mergeCell ref="H119:J119"/>
    <mergeCell ref="H110:J110"/>
    <mergeCell ref="H111:J111"/>
    <mergeCell ref="H112:J112"/>
    <mergeCell ref="H113:J113"/>
    <mergeCell ref="H106:J106"/>
    <mergeCell ref="K106:M106"/>
    <mergeCell ref="N106:P106"/>
    <mergeCell ref="H109:J109"/>
    <mergeCell ref="K104:M104"/>
    <mergeCell ref="N104:P104"/>
    <mergeCell ref="H105:J105"/>
    <mergeCell ref="K105:M105"/>
    <mergeCell ref="N105:P105"/>
    <mergeCell ref="H100:J100"/>
    <mergeCell ref="H101:J101"/>
    <mergeCell ref="H102:J102"/>
    <mergeCell ref="H104:J104"/>
    <mergeCell ref="H95:J95"/>
    <mergeCell ref="K95:M95"/>
    <mergeCell ref="H96:J96"/>
    <mergeCell ref="K96:M96"/>
    <mergeCell ref="H93:J93"/>
    <mergeCell ref="K93:M93"/>
    <mergeCell ref="H94:J94"/>
    <mergeCell ref="K94:M94"/>
    <mergeCell ref="H91:J91"/>
    <mergeCell ref="K91:M91"/>
    <mergeCell ref="H92:J92"/>
    <mergeCell ref="K92:M92"/>
    <mergeCell ref="K88:M88"/>
    <mergeCell ref="H89:J89"/>
    <mergeCell ref="K89:M89"/>
    <mergeCell ref="H90:J90"/>
    <mergeCell ref="K90:M90"/>
    <mergeCell ref="H83:J83"/>
    <mergeCell ref="H84:J84"/>
    <mergeCell ref="H85:J85"/>
    <mergeCell ref="H88:J88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0.57421875" style="47" bestFit="1" customWidth="1"/>
    <col min="13" max="14" width="9.140625" style="47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38322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188529748.8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4395134.400000006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184134614.4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2" t="s">
        <v>144</v>
      </c>
      <c r="B19" s="2"/>
      <c r="C19" s="2"/>
      <c r="D19" s="2"/>
      <c r="E19" s="2"/>
      <c r="F19" s="2"/>
      <c r="G19" s="2"/>
      <c r="H19" s="167">
        <v>0.6671544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0.27975220428448405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0.13033942628442596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317.88</v>
      </c>
      <c r="I26" s="171"/>
      <c r="J26" s="172"/>
      <c r="K26" s="170">
        <v>523.97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38322</v>
      </c>
      <c r="I31" s="135"/>
      <c r="J31" s="136"/>
      <c r="K31" s="134">
        <f>H31</f>
        <v>38322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139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212529736.79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208134600.7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1124084.11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5805010.1899999995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1271124.58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4368119</v>
      </c>
      <c r="I42" s="173"/>
      <c r="J42" s="174"/>
      <c r="K42" s="121">
        <f>H42+H43-H44-H40</f>
        <v>4395148.43</v>
      </c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1436891.19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138737.18</v>
      </c>
      <c r="I44" s="165"/>
      <c r="J44" s="166"/>
      <c r="K44" s="1"/>
      <c r="L44" s="16"/>
      <c r="M44" s="1"/>
      <c r="N44" s="2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4395134.400000006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0.2559953639511586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0.24663573574079894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0.009359628210359665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140</v>
      </c>
      <c r="B53" s="2"/>
      <c r="C53" s="2"/>
      <c r="D53" s="2"/>
      <c r="E53" s="2"/>
      <c r="F53" s="2"/>
      <c r="G53" s="2"/>
      <c r="H53" s="175">
        <f>1124084.11-791402.4-110779.2</f>
        <v>221902.51000000007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141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142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17391.95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v>2290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3319.67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3319.67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143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206080330.9</v>
      </c>
      <c r="I91" s="165"/>
      <c r="J91" s="166"/>
      <c r="K91" s="184">
        <v>2766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1381411.15</v>
      </c>
      <c r="I92" s="165"/>
      <c r="J92" s="166"/>
      <c r="K92" s="184">
        <v>14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110294.48</v>
      </c>
      <c r="I93" s="165"/>
      <c r="J93" s="166"/>
      <c r="K93" s="184">
        <v>2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54806.63</v>
      </c>
      <c r="I94" s="165"/>
      <c r="J94" s="166"/>
      <c r="K94" s="184">
        <v>2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f>414579.94+71848.2</f>
        <v>486428.14</v>
      </c>
      <c r="I95" s="165"/>
      <c r="J95" s="166"/>
      <c r="K95" s="184">
        <f>2+2</f>
        <v>4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f>5972.32+15138.83</f>
        <v>21111.15</v>
      </c>
      <c r="I96" s="165"/>
      <c r="J96" s="166"/>
      <c r="K96" s="184">
        <f>1+2</f>
        <v>3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208134600.7</v>
      </c>
      <c r="J99" s="21"/>
      <c r="K99" s="22"/>
      <c r="L99" s="14">
        <f>SUM(K91:M98)</f>
        <v>2792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7" t="s">
        <v>138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61126077.84/208134601</f>
        <v>0.29368532452708335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58242977.2/208134601</f>
        <v>0.2798332277293962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0.7119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0.6842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126:J126"/>
    <mergeCell ref="H122:J122"/>
    <mergeCell ref="H123:J123"/>
    <mergeCell ref="H124:J124"/>
    <mergeCell ref="H125:J125"/>
    <mergeCell ref="H116:J116"/>
    <mergeCell ref="H119:J119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11:J111"/>
    <mergeCell ref="K106:M106"/>
    <mergeCell ref="N106:P106"/>
    <mergeCell ref="H107:J107"/>
    <mergeCell ref="K107:M107"/>
    <mergeCell ref="N107:P107"/>
    <mergeCell ref="H102:J102"/>
    <mergeCell ref="H103:J103"/>
    <mergeCell ref="H104:J104"/>
    <mergeCell ref="H106:J106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fitToHeight="0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0.57421875" style="47" bestFit="1" customWidth="1"/>
    <col min="13" max="14" width="9.140625" style="47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38356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0.0485625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184134614.4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4143450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179991164.4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2" t="s">
        <v>151</v>
      </c>
      <c r="B19" s="2"/>
      <c r="C19" s="2"/>
      <c r="D19" s="2"/>
      <c r="E19" s="2"/>
      <c r="F19" s="2"/>
      <c r="G19" s="2"/>
      <c r="H19" s="167">
        <v>0.6521419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0.2700274479191024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0.13333987854350476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257.45</v>
      </c>
      <c r="I26" s="171"/>
      <c r="J26" s="172"/>
      <c r="K26" s="170">
        <v>433.9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38356</v>
      </c>
      <c r="I31" s="135"/>
      <c r="J31" s="136"/>
      <c r="K31" s="134">
        <f>H31</f>
        <v>38356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145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208134600.7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203991161.89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1093638.06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5628509.22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1160429.64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3948692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1679817.22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324627.25</v>
      </c>
      <c r="I44" s="165"/>
      <c r="J44" s="166"/>
      <c r="K44" s="1"/>
      <c r="L44" s="16"/>
      <c r="M44" s="1"/>
      <c r="N44" s="2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4143450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0.2576071195258982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0.22766182960755552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0.02994528991834274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146</v>
      </c>
      <c r="B53" s="2"/>
      <c r="C53" s="2"/>
      <c r="D53" s="2"/>
      <c r="E53" s="2"/>
      <c r="F53" s="2"/>
      <c r="G53" s="2"/>
      <c r="H53" s="175">
        <f>1093638.06-799935.67-114656.96</f>
        <v>179045.43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147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148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15542.52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1175+850+265</f>
        <v>2290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3430.33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3430.33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149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201233953.3</v>
      </c>
      <c r="I91" s="165"/>
      <c r="J91" s="166"/>
      <c r="K91" s="184">
        <v>2707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2093593.72</v>
      </c>
      <c r="I92" s="165"/>
      <c r="J92" s="166"/>
      <c r="K92" s="184">
        <v>17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167096.38</v>
      </c>
      <c r="I93" s="165"/>
      <c r="J93" s="166"/>
      <c r="K93" s="184">
        <v>3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2604.14</v>
      </c>
      <c r="I94" s="165"/>
      <c r="J94" s="166"/>
      <c r="K94" s="184">
        <v>2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f>415438.18+72285.6</f>
        <v>487723.78</v>
      </c>
      <c r="I95" s="165"/>
      <c r="J95" s="166"/>
      <c r="K95" s="184">
        <f>2+2</f>
        <v>4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5972.32</v>
      </c>
      <c r="I96" s="165"/>
      <c r="J96" s="166"/>
      <c r="K96" s="184">
        <v>1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203991161.89</v>
      </c>
      <c r="J99" s="21"/>
      <c r="K99" s="22"/>
      <c r="L99" s="14">
        <f>SUM(K91:M98)</f>
        <v>2735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7" t="s">
        <v>150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59931055.12/203991162</f>
        <v>0.2937924100849036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57642119.8/203991162</f>
        <v>0.2825716527856241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0.7107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0.6832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126:J126"/>
    <mergeCell ref="H122:J122"/>
    <mergeCell ref="H123:J123"/>
    <mergeCell ref="H124:J124"/>
    <mergeCell ref="H125:J125"/>
    <mergeCell ref="H116:J116"/>
    <mergeCell ref="H119:J119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11:J111"/>
    <mergeCell ref="K106:M106"/>
    <mergeCell ref="N106:P106"/>
    <mergeCell ref="H107:J107"/>
    <mergeCell ref="K107:M107"/>
    <mergeCell ref="N107:P107"/>
    <mergeCell ref="H102:J102"/>
    <mergeCell ref="H103:J103"/>
    <mergeCell ref="H104:J104"/>
    <mergeCell ref="H106:J106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7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0.57421875" style="47" bestFit="1" customWidth="1"/>
    <col min="13" max="14" width="9.140625" style="47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38384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0.0483438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179991164.4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2520597.599999994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177470566.8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152</v>
      </c>
      <c r="B19" s="2"/>
      <c r="C19" s="2"/>
      <c r="D19" s="2"/>
      <c r="E19" s="2"/>
      <c r="F19" s="2"/>
      <c r="G19" s="2"/>
      <c r="H19" s="167">
        <v>0.6430093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0.16804808892052442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0.13523369217075154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252.77</v>
      </c>
      <c r="I26" s="171"/>
      <c r="J26" s="172"/>
      <c r="K26" s="170">
        <v>432.23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38384</v>
      </c>
      <c r="I31" s="135"/>
      <c r="J31" s="136"/>
      <c r="K31" s="134">
        <f>H31</f>
        <v>38384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153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203991161.89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201470548.99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1075240.27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3478837.02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794985.91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2323024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1155813.02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163235.31</v>
      </c>
      <c r="I44" s="165"/>
      <c r="J44" s="166"/>
      <c r="K44" s="1"/>
      <c r="L44" s="16"/>
      <c r="M44" s="1"/>
      <c r="N44" s="2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2520597.599999994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0.15788043472867147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0.13665439101244978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0.02122604371622171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154</v>
      </c>
      <c r="B53" s="2"/>
      <c r="C53" s="2"/>
      <c r="D53" s="2"/>
      <c r="E53" s="2"/>
      <c r="F53" s="2"/>
      <c r="G53" s="2"/>
      <c r="H53" s="175">
        <f>1075240.27-787975.13-115231.84</f>
        <v>172033.30000000002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155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156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18330.31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1175+850+265</f>
        <v>2290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3430.33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3430.33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157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198420311.94</v>
      </c>
      <c r="I91" s="165"/>
      <c r="J91" s="166"/>
      <c r="K91" s="184">
        <v>2668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2270310.13</v>
      </c>
      <c r="I92" s="165"/>
      <c r="J92" s="166"/>
      <c r="K92" s="184">
        <v>20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278672.66</v>
      </c>
      <c r="I93" s="165"/>
      <c r="J93" s="166"/>
      <c r="K93" s="184">
        <v>5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5873.66</v>
      </c>
      <c r="I94" s="165"/>
      <c r="J94" s="166"/>
      <c r="K94" s="184">
        <v>2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f>293246.11+133114.58</f>
        <v>426360.68999999994</v>
      </c>
      <c r="I95" s="165"/>
      <c r="J95" s="166"/>
      <c r="K95" s="184">
        <v>3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68801.66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201470548.98999998</v>
      </c>
      <c r="J99" s="21"/>
      <c r="K99" s="22"/>
      <c r="L99" s="14">
        <f>SUM(K91:M98)</f>
        <v>2701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51" t="s">
        <v>158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59239474.4/201470549</f>
        <v>0.2940354046486467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57069686.218/201470549</f>
        <v>0.28326565099100415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0.71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0.6821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126:J126"/>
    <mergeCell ref="H122:J122"/>
    <mergeCell ref="H123:J123"/>
    <mergeCell ref="H124:J124"/>
    <mergeCell ref="H125:J125"/>
    <mergeCell ref="H116:J116"/>
    <mergeCell ref="H119:J119"/>
    <mergeCell ref="H120:J120"/>
    <mergeCell ref="H121:J121"/>
    <mergeCell ref="H112:J112"/>
    <mergeCell ref="H113:J113"/>
    <mergeCell ref="H114:J114"/>
    <mergeCell ref="H115:J115"/>
    <mergeCell ref="H108:J108"/>
    <mergeCell ref="K108:M108"/>
    <mergeCell ref="N108:P108"/>
    <mergeCell ref="H111:J111"/>
    <mergeCell ref="K106:M106"/>
    <mergeCell ref="N106:P106"/>
    <mergeCell ref="H107:J107"/>
    <mergeCell ref="K107:M107"/>
    <mergeCell ref="N107:P107"/>
    <mergeCell ref="H102:J102"/>
    <mergeCell ref="H103:J103"/>
    <mergeCell ref="H104:J104"/>
    <mergeCell ref="H106:J106"/>
    <mergeCell ref="H97:J97"/>
    <mergeCell ref="K97:M97"/>
    <mergeCell ref="H98:J98"/>
    <mergeCell ref="K98:M98"/>
    <mergeCell ref="H95:J95"/>
    <mergeCell ref="K95:M95"/>
    <mergeCell ref="H96:J96"/>
    <mergeCell ref="K96:M96"/>
    <mergeCell ref="H93:J93"/>
    <mergeCell ref="K93:M93"/>
    <mergeCell ref="H94:J94"/>
    <mergeCell ref="K94:M94"/>
    <mergeCell ref="K90:M90"/>
    <mergeCell ref="H91:J91"/>
    <mergeCell ref="K91:M91"/>
    <mergeCell ref="H92:J92"/>
    <mergeCell ref="K92:M92"/>
    <mergeCell ref="H83:J83"/>
    <mergeCell ref="H84:J84"/>
    <mergeCell ref="H85:J85"/>
    <mergeCell ref="H90:J90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0.57421875" style="47" bestFit="1" customWidth="1"/>
    <col min="13" max="14" width="9.140625" style="47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 t="s">
        <v>161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0.0487688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177470566.8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1836890.400000006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175633676.4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0.6363539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0.12420473545250474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0.13664805344813702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279.25</v>
      </c>
      <c r="I26" s="171"/>
      <c r="J26" s="172"/>
      <c r="K26" s="170">
        <v>482.15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 t="str">
        <f>E5</f>
        <v>March 1 2005</v>
      </c>
      <c r="I31" s="135"/>
      <c r="J31" s="136"/>
      <c r="K31" s="134" t="str">
        <f>H31</f>
        <v>March 1 2005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160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201470548.99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199633674.49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1075388.49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3538482.2800000003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1499662.61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2292998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1245484.28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201927.74</v>
      </c>
      <c r="I44" s="165"/>
      <c r="J44" s="166"/>
      <c r="K44" s="1"/>
      <c r="L44" s="16"/>
      <c r="M44" s="1"/>
      <c r="N44" s="2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1836890.400000006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0.12143629013099261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0.1365756739034138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-0.015139383772421222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162</v>
      </c>
      <c r="B53" s="2"/>
      <c r="C53" s="2"/>
      <c r="D53" s="2"/>
      <c r="E53" s="2"/>
      <c r="F53" s="2"/>
      <c r="G53" s="2"/>
      <c r="H53" s="175">
        <f>1075388.49-697645.2-103735.2</f>
        <v>274008.09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163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164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16677.09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1175+850+265</f>
        <v>2290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3106.85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3106.85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165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196000984.08</v>
      </c>
      <c r="I91" s="165"/>
      <c r="J91" s="166"/>
      <c r="K91" s="184">
        <v>2659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2392744.86</v>
      </c>
      <c r="I92" s="165"/>
      <c r="J92" s="166"/>
      <c r="K92" s="184">
        <v>11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527756.72</v>
      </c>
      <c r="I93" s="165"/>
      <c r="J93" s="166"/>
      <c r="K93" s="184">
        <v>3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507169.93</v>
      </c>
      <c r="I94" s="165"/>
      <c r="J94" s="166"/>
      <c r="K94" s="184">
        <v>7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134135.87</v>
      </c>
      <c r="I95" s="165"/>
      <c r="J95" s="166"/>
      <c r="K95" s="184">
        <v>2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70664.78</v>
      </c>
      <c r="I96" s="165"/>
      <c r="J96" s="166"/>
      <c r="K96" s="184">
        <v>3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199633674.49000004</v>
      </c>
      <c r="J99" s="21"/>
      <c r="K99" s="22"/>
      <c r="L99" s="14">
        <f>SUM(K91:M98)</f>
        <v>2686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51" t="s">
        <v>166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58930125.16/199633674</f>
        <v>0.2951913070537388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56666331.53/199633674</f>
        <v>0.28385156869877576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0.709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0.6819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102:J102"/>
    <mergeCell ref="H103:J103"/>
    <mergeCell ref="H104:J104"/>
    <mergeCell ref="H106:J106"/>
    <mergeCell ref="K106:M106"/>
    <mergeCell ref="N106:P106"/>
    <mergeCell ref="H107:J107"/>
    <mergeCell ref="K107:M107"/>
    <mergeCell ref="N107:P107"/>
    <mergeCell ref="H108:J108"/>
    <mergeCell ref="K108:M108"/>
    <mergeCell ref="N108:P108"/>
    <mergeCell ref="H111:J111"/>
    <mergeCell ref="H112:J112"/>
    <mergeCell ref="H113:J113"/>
    <mergeCell ref="H114:J114"/>
    <mergeCell ref="H115:J115"/>
    <mergeCell ref="H116:J116"/>
    <mergeCell ref="H119:J119"/>
    <mergeCell ref="H120:J120"/>
    <mergeCell ref="H121:J121"/>
    <mergeCell ref="H126:J126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1.1406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38443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0.0486813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175633676.4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2194586.400000006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173439090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0.6284025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0.1499429798418777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0.1383771097968745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284.18</v>
      </c>
      <c r="I26" s="171"/>
      <c r="J26" s="172"/>
      <c r="K26" s="170">
        <v>496.93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38443</v>
      </c>
      <c r="I31" s="135"/>
      <c r="J31" s="136"/>
      <c r="K31" s="134">
        <f>H31</f>
        <v>38443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167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199633674.49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197439075.16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1073547.69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3403963.5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988380.18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2256691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1147272.5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220981.72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2194586.400000006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0.1452009532662888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0.135649920130867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0.0095510331354218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168</v>
      </c>
      <c r="B53" s="2"/>
      <c r="C53" s="2"/>
      <c r="D53" s="2"/>
      <c r="E53" s="2"/>
      <c r="F53" s="2"/>
      <c r="G53" s="2"/>
      <c r="H53" s="175">
        <f>1073547.69-770730-115716</f>
        <v>187101.68999999994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169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170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16475.28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500+850+265</f>
        <v>1615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3439.73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3439.73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171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193849734.07</v>
      </c>
      <c r="I91" s="165"/>
      <c r="J91" s="166"/>
      <c r="K91" s="184">
        <v>2610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2346887.67</v>
      </c>
      <c r="I92" s="165"/>
      <c r="J92" s="166"/>
      <c r="K92" s="184">
        <v>9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275567.24</v>
      </c>
      <c r="I93" s="165"/>
      <c r="J93" s="166"/>
      <c r="K93" s="184">
        <v>5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834489.83</v>
      </c>
      <c r="I94" s="165"/>
      <c r="J94" s="166"/>
      <c r="K94" s="184">
        <v>5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124713.01</v>
      </c>
      <c r="I95" s="165"/>
      <c r="J95" s="166"/>
      <c r="K95" s="184">
        <v>1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7465.09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197439075.16</v>
      </c>
      <c r="J99" s="21"/>
      <c r="K99" s="22"/>
      <c r="L99" s="14">
        <f>SUM(K91:M98)</f>
        <v>2633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51" t="s">
        <v>172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58120657.61/197439075</f>
        <v>0.29437261904716683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56382115.41/197439075</f>
        <v>0.28556715741298927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0.7079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0.681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102:J102"/>
    <mergeCell ref="H103:J103"/>
    <mergeCell ref="H104:J104"/>
    <mergeCell ref="H106:J106"/>
    <mergeCell ref="K106:M106"/>
    <mergeCell ref="N106:P106"/>
    <mergeCell ref="H107:J107"/>
    <mergeCell ref="K107:M107"/>
    <mergeCell ref="N107:P107"/>
    <mergeCell ref="H108:J108"/>
    <mergeCell ref="K108:M108"/>
    <mergeCell ref="N108:P108"/>
    <mergeCell ref="H111:J111"/>
    <mergeCell ref="H112:J112"/>
    <mergeCell ref="H113:J113"/>
    <mergeCell ref="H114:J114"/>
    <mergeCell ref="H115:J115"/>
    <mergeCell ref="H116:J116"/>
    <mergeCell ref="H119:J119"/>
    <mergeCell ref="H120:J120"/>
    <mergeCell ref="H121:J121"/>
    <mergeCell ref="H126:J126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7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47" customWidth="1"/>
    <col min="5" max="5" width="20.57421875" style="47" customWidth="1"/>
    <col min="6" max="6" width="11.28125" style="47" customWidth="1"/>
    <col min="7" max="7" width="9.140625" style="47" customWidth="1"/>
    <col min="8" max="9" width="12.7109375" style="47" bestFit="1" customWidth="1"/>
    <col min="10" max="11" width="9.140625" style="47" customWidth="1"/>
    <col min="12" max="12" width="11.140625" style="47" bestFit="1" customWidth="1"/>
    <col min="13" max="13" width="9.140625" style="47" customWidth="1"/>
    <col min="14" max="14" width="10.421875" style="47" bestFit="1" customWidth="1"/>
    <col min="15" max="15" width="10.57421875" style="47" bestFit="1" customWidth="1"/>
    <col min="16" max="16384" width="9.140625" style="47" customWidth="1"/>
  </cols>
  <sheetData>
    <row r="1" spans="1:17" ht="15">
      <c r="A1" s="7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4" t="s">
        <v>7</v>
      </c>
      <c r="B5" s="2"/>
      <c r="C5" s="2"/>
      <c r="D5" s="2"/>
      <c r="E5" s="48">
        <v>38475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8</v>
      </c>
      <c r="B6" s="2"/>
      <c r="C6" s="2"/>
      <c r="D6" s="2"/>
      <c r="E6" s="53">
        <v>0.0487375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9</v>
      </c>
      <c r="B8" s="2"/>
      <c r="C8" s="2"/>
      <c r="D8" s="2"/>
      <c r="E8" s="2"/>
      <c r="F8" s="2"/>
      <c r="G8" s="2"/>
      <c r="H8" s="115" t="s">
        <v>63</v>
      </c>
      <c r="I8" s="116"/>
      <c r="J8" s="117"/>
      <c r="K8" s="115" t="s">
        <v>64</v>
      </c>
      <c r="L8" s="116"/>
      <c r="M8" s="117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06" t="s">
        <v>66</v>
      </c>
      <c r="I9" s="107"/>
      <c r="J9" s="108"/>
      <c r="K9" s="106" t="s">
        <v>67</v>
      </c>
      <c r="L9" s="107"/>
      <c r="M9" s="108"/>
      <c r="N9" s="2"/>
      <c r="O9" s="2"/>
      <c r="P9" s="2"/>
      <c r="Q9" s="2"/>
    </row>
    <row r="10" spans="1:17" ht="14.25">
      <c r="A10" s="2" t="s">
        <v>98</v>
      </c>
      <c r="B10" s="2"/>
      <c r="C10" s="2"/>
      <c r="D10" s="2"/>
      <c r="E10" s="2"/>
      <c r="F10" s="2"/>
      <c r="G10" s="2"/>
      <c r="H10" s="106" t="s">
        <v>100</v>
      </c>
      <c r="I10" s="107"/>
      <c r="J10" s="108"/>
      <c r="K10" s="106" t="s">
        <v>101</v>
      </c>
      <c r="L10" s="107"/>
      <c r="M10" s="108"/>
      <c r="N10" s="2"/>
      <c r="O10" s="2"/>
      <c r="P10" s="2"/>
      <c r="Q10" s="2"/>
    </row>
    <row r="11" spans="1:17" ht="14.25">
      <c r="A11" s="2" t="s">
        <v>99</v>
      </c>
      <c r="B11" s="2"/>
      <c r="C11" s="2"/>
      <c r="D11" s="2"/>
      <c r="E11" s="2"/>
      <c r="F11" s="2"/>
      <c r="G11" s="2"/>
      <c r="H11" s="106" t="s">
        <v>100</v>
      </c>
      <c r="I11" s="107"/>
      <c r="J11" s="108"/>
      <c r="K11" s="106" t="s">
        <v>101</v>
      </c>
      <c r="L11" s="107"/>
      <c r="M11" s="108"/>
      <c r="N11" s="2"/>
      <c r="O11" s="2"/>
      <c r="P11" s="2"/>
      <c r="Q11" s="2"/>
    </row>
    <row r="12" spans="1:17" ht="14.25">
      <c r="A12" s="2" t="s">
        <v>11</v>
      </c>
      <c r="B12" s="2"/>
      <c r="C12" s="2"/>
      <c r="D12" s="2"/>
      <c r="E12" s="2"/>
      <c r="F12" s="2"/>
      <c r="G12" s="2"/>
      <c r="H12" s="59" t="s">
        <v>68</v>
      </c>
      <c r="I12" s="60"/>
      <c r="J12" s="61"/>
      <c r="K12" s="106" t="s">
        <v>66</v>
      </c>
      <c r="L12" s="107" t="s">
        <v>66</v>
      </c>
      <c r="M12" s="108"/>
      <c r="N12" s="2"/>
      <c r="O12" s="2"/>
      <c r="P12" s="2"/>
      <c r="Q12" s="2"/>
    </row>
    <row r="13" spans="1:17" ht="14.25">
      <c r="A13" s="2" t="s">
        <v>12</v>
      </c>
      <c r="B13" s="2"/>
      <c r="C13" s="2"/>
      <c r="D13" s="2"/>
      <c r="E13" s="2"/>
      <c r="F13" s="2"/>
      <c r="G13" s="2"/>
      <c r="H13" s="59" t="s">
        <v>68</v>
      </c>
      <c r="I13" s="60"/>
      <c r="J13" s="61"/>
      <c r="K13" s="106" t="s">
        <v>66</v>
      </c>
      <c r="L13" s="107"/>
      <c r="M13" s="108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06"/>
      <c r="I14" s="107"/>
      <c r="J14" s="108"/>
      <c r="K14" s="106"/>
      <c r="L14" s="107"/>
      <c r="M14" s="108"/>
      <c r="N14" s="2"/>
      <c r="O14" s="2"/>
      <c r="P14" s="2"/>
      <c r="Q14" s="2"/>
    </row>
    <row r="15" spans="1:17" ht="14.25">
      <c r="A15" s="2" t="s">
        <v>77</v>
      </c>
      <c r="B15" s="2"/>
      <c r="C15" s="2"/>
      <c r="D15" s="2"/>
      <c r="E15" s="2"/>
      <c r="F15" s="2"/>
      <c r="G15" s="2"/>
      <c r="H15" s="121">
        <v>276000000</v>
      </c>
      <c r="I15" s="122"/>
      <c r="J15" s="123"/>
      <c r="K15" s="121">
        <v>24000000</v>
      </c>
      <c r="L15" s="122"/>
      <c r="M15" s="123"/>
      <c r="N15" s="2"/>
      <c r="O15" s="2"/>
      <c r="P15" s="2"/>
      <c r="Q15" s="2"/>
    </row>
    <row r="16" spans="1:17" ht="14.25">
      <c r="A16" s="2" t="s">
        <v>78</v>
      </c>
      <c r="B16" s="2"/>
      <c r="C16" s="2"/>
      <c r="D16" s="2"/>
      <c r="E16" s="2"/>
      <c r="F16" s="2"/>
      <c r="G16" s="2"/>
      <c r="H16" s="164">
        <v>173439090</v>
      </c>
      <c r="I16" s="165"/>
      <c r="J16" s="166"/>
      <c r="K16" s="122">
        <v>24000000</v>
      </c>
      <c r="L16" s="122"/>
      <c r="M16" s="123"/>
      <c r="N16" s="2"/>
      <c r="O16" s="2"/>
      <c r="P16" s="2"/>
      <c r="Q16" s="2"/>
    </row>
    <row r="17" spans="1:17" ht="14.25">
      <c r="A17" s="2" t="s">
        <v>72</v>
      </c>
      <c r="B17" s="2"/>
      <c r="C17" s="2"/>
      <c r="D17" s="2"/>
      <c r="E17" s="2"/>
      <c r="F17" s="2"/>
      <c r="G17" s="2"/>
      <c r="H17" s="121">
        <f>H16-H18</f>
        <v>3882078</v>
      </c>
      <c r="I17" s="122"/>
      <c r="J17" s="123"/>
      <c r="K17" s="107" t="s">
        <v>71</v>
      </c>
      <c r="L17" s="107"/>
      <c r="M17" s="108"/>
      <c r="N17" s="2"/>
      <c r="O17" s="2"/>
      <c r="P17" s="2"/>
      <c r="Q17" s="2"/>
    </row>
    <row r="18" spans="1:17" ht="14.25">
      <c r="A18" s="2" t="s">
        <v>79</v>
      </c>
      <c r="B18" s="2"/>
      <c r="C18" s="2"/>
      <c r="D18" s="2"/>
      <c r="E18" s="2"/>
      <c r="F18" s="2"/>
      <c r="G18" s="2"/>
      <c r="H18" s="164">
        <v>169557012</v>
      </c>
      <c r="I18" s="165"/>
      <c r="J18" s="166"/>
      <c r="K18" s="121">
        <v>24000000</v>
      </c>
      <c r="L18" s="122"/>
      <c r="M18" s="123"/>
      <c r="N18" s="2"/>
      <c r="O18" s="2"/>
      <c r="P18" s="2"/>
      <c r="Q18" s="2"/>
    </row>
    <row r="19" spans="1:17" ht="14.25">
      <c r="A19" s="49" t="s">
        <v>159</v>
      </c>
      <c r="B19" s="2"/>
      <c r="C19" s="2"/>
      <c r="D19" s="2"/>
      <c r="E19" s="2"/>
      <c r="F19" s="2"/>
      <c r="G19" s="2"/>
      <c r="H19" s="167">
        <v>0.614337</v>
      </c>
      <c r="I19" s="168"/>
      <c r="J19" s="169"/>
      <c r="K19" s="124">
        <v>1</v>
      </c>
      <c r="L19" s="125"/>
      <c r="M19" s="126"/>
      <c r="N19" s="2"/>
      <c r="O19" s="2"/>
      <c r="P19" s="2"/>
      <c r="Q19" s="2"/>
    </row>
    <row r="20" spans="1:17" ht="14.25">
      <c r="A20" s="2" t="s">
        <v>102</v>
      </c>
      <c r="B20" s="2"/>
      <c r="C20" s="2"/>
      <c r="D20" s="2"/>
      <c r="E20" s="2"/>
      <c r="F20" s="2"/>
      <c r="G20" s="2"/>
      <c r="H20" s="127">
        <f>H17/H16*12</f>
        <v>0.2685953668230155</v>
      </c>
      <c r="I20" s="128"/>
      <c r="J20" s="129"/>
      <c r="K20" s="106" t="s">
        <v>71</v>
      </c>
      <c r="L20" s="107"/>
      <c r="M20" s="108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06"/>
      <c r="I21" s="107"/>
      <c r="J21" s="108"/>
      <c r="K21" s="106"/>
      <c r="L21" s="107"/>
      <c r="M21" s="108"/>
      <c r="N21" s="2"/>
      <c r="O21" s="2"/>
      <c r="P21" s="2"/>
      <c r="Q21" s="2"/>
    </row>
    <row r="22" spans="1:17" ht="14.25">
      <c r="A22" s="2" t="s">
        <v>13</v>
      </c>
      <c r="B22" s="2"/>
      <c r="C22" s="2"/>
      <c r="D22" s="2"/>
      <c r="E22" s="2"/>
      <c r="F22" s="2"/>
      <c r="G22" s="2"/>
      <c r="H22" s="106" t="s">
        <v>71</v>
      </c>
      <c r="I22" s="107"/>
      <c r="J22" s="108"/>
      <c r="K22" s="127">
        <f>K15/H15*100%</f>
        <v>0.08695652173913043</v>
      </c>
      <c r="L22" s="107"/>
      <c r="M22" s="108"/>
      <c r="N22" s="2"/>
      <c r="O22" s="2"/>
      <c r="P22" s="2"/>
      <c r="Q22" s="2"/>
    </row>
    <row r="23" spans="1:17" ht="14.25">
      <c r="A23" s="2" t="s">
        <v>14</v>
      </c>
      <c r="B23" s="2"/>
      <c r="C23" s="2"/>
      <c r="D23" s="2"/>
      <c r="E23" s="2"/>
      <c r="F23" s="2"/>
      <c r="G23" s="2"/>
      <c r="H23" s="106" t="s">
        <v>71</v>
      </c>
      <c r="I23" s="107"/>
      <c r="J23" s="108"/>
      <c r="K23" s="127">
        <f>K18/H18*100%</f>
        <v>0.14154531102494305</v>
      </c>
      <c r="L23" s="128"/>
      <c r="M23" s="129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06"/>
      <c r="I24" s="107"/>
      <c r="J24" s="108"/>
      <c r="K24" s="106"/>
      <c r="L24" s="107"/>
      <c r="M24" s="108"/>
      <c r="N24" s="2"/>
      <c r="O24" s="2"/>
      <c r="P24" s="2"/>
      <c r="Q24" s="2"/>
    </row>
    <row r="25" spans="1:17" ht="14.25">
      <c r="A25" s="2" t="s">
        <v>15</v>
      </c>
      <c r="B25" s="2"/>
      <c r="C25" s="2"/>
      <c r="D25" s="2"/>
      <c r="E25" s="2"/>
      <c r="F25" s="2"/>
      <c r="G25" s="2"/>
      <c r="H25" s="106">
        <v>29</v>
      </c>
      <c r="I25" s="107"/>
      <c r="J25" s="108"/>
      <c r="K25" s="106">
        <v>80</v>
      </c>
      <c r="L25" s="107"/>
      <c r="M25" s="108"/>
      <c r="N25" s="2"/>
      <c r="O25" s="2"/>
      <c r="P25" s="2"/>
      <c r="Q25" s="2"/>
    </row>
    <row r="26" spans="1:17" ht="14.25">
      <c r="A26" s="2" t="s">
        <v>73</v>
      </c>
      <c r="B26" s="2"/>
      <c r="C26" s="2"/>
      <c r="D26" s="2"/>
      <c r="E26" s="2"/>
      <c r="F26" s="2"/>
      <c r="G26" s="2"/>
      <c r="H26" s="170">
        <v>252.04</v>
      </c>
      <c r="I26" s="171"/>
      <c r="J26" s="172"/>
      <c r="K26" s="170">
        <v>450.79</v>
      </c>
      <c r="L26" s="171"/>
      <c r="M26" s="172"/>
      <c r="N26" s="2"/>
      <c r="O26" s="2"/>
      <c r="P26" s="2"/>
      <c r="Q26" s="2"/>
    </row>
    <row r="27" spans="1:17" ht="14.25">
      <c r="A27" s="2" t="s">
        <v>16</v>
      </c>
      <c r="B27" s="2"/>
      <c r="C27" s="2"/>
      <c r="D27" s="2"/>
      <c r="E27" s="2"/>
      <c r="F27" s="2"/>
      <c r="G27" s="2"/>
      <c r="H27" s="106">
        <v>58</v>
      </c>
      <c r="I27" s="107"/>
      <c r="J27" s="108"/>
      <c r="K27" s="106">
        <v>160</v>
      </c>
      <c r="L27" s="107"/>
      <c r="M27" s="108"/>
      <c r="N27" s="2"/>
      <c r="O27" s="2"/>
      <c r="P27" s="2"/>
      <c r="Q27" s="2"/>
    </row>
    <row r="28" spans="1:17" ht="14.25">
      <c r="A28" s="2" t="s">
        <v>17</v>
      </c>
      <c r="B28" s="2"/>
      <c r="C28" s="2"/>
      <c r="D28" s="2"/>
      <c r="E28" s="2"/>
      <c r="F28" s="2"/>
      <c r="G28" s="2"/>
      <c r="H28" s="133" t="s">
        <v>97</v>
      </c>
      <c r="I28" s="107"/>
      <c r="J28" s="108"/>
      <c r="K28" s="133" t="s">
        <v>97</v>
      </c>
      <c r="L28" s="107"/>
      <c r="M28" s="108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06"/>
      <c r="I29" s="107"/>
      <c r="J29" s="108"/>
      <c r="K29" s="106"/>
      <c r="L29" s="107"/>
      <c r="M29" s="108"/>
      <c r="N29" s="2"/>
      <c r="O29" s="2"/>
      <c r="P29" s="2"/>
      <c r="Q29" s="2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06" t="s">
        <v>69</v>
      </c>
      <c r="I30" s="107"/>
      <c r="J30" s="108"/>
      <c r="K30" s="106" t="s">
        <v>69</v>
      </c>
      <c r="L30" s="107"/>
      <c r="M30" s="108"/>
      <c r="N30" s="2"/>
      <c r="O30" s="2"/>
      <c r="P30" s="2"/>
      <c r="Q30" s="2"/>
    </row>
    <row r="31" spans="1:17" ht="14.25">
      <c r="A31" s="2" t="s">
        <v>19</v>
      </c>
      <c r="B31" s="2"/>
      <c r="C31" s="2"/>
      <c r="D31" s="2"/>
      <c r="E31" s="2"/>
      <c r="F31" s="2"/>
      <c r="G31" s="2"/>
      <c r="H31" s="134">
        <f>E5</f>
        <v>38475</v>
      </c>
      <c r="I31" s="135"/>
      <c r="J31" s="136"/>
      <c r="K31" s="134">
        <f>H31</f>
        <v>38475</v>
      </c>
      <c r="L31" s="135"/>
      <c r="M31" s="136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7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49" t="s">
        <v>173</v>
      </c>
      <c r="B34" s="2"/>
      <c r="C34" s="2"/>
      <c r="D34" s="2"/>
      <c r="E34" s="2"/>
      <c r="F34" s="2"/>
      <c r="G34" s="2"/>
      <c r="H34" s="15"/>
      <c r="I34" s="15"/>
      <c r="J34" s="15"/>
      <c r="K34" s="2"/>
      <c r="L34" s="2"/>
      <c r="M34" s="2"/>
      <c r="N34" s="2"/>
      <c r="O34" s="2"/>
      <c r="P34" s="2"/>
      <c r="Q34" s="2"/>
    </row>
    <row r="35" spans="1:17" ht="14.25">
      <c r="A35" s="2" t="s">
        <v>80</v>
      </c>
      <c r="B35" s="2"/>
      <c r="C35" s="2"/>
      <c r="D35" s="2"/>
      <c r="E35" s="2"/>
      <c r="F35" s="2"/>
      <c r="G35" s="2"/>
      <c r="H35" s="164">
        <v>197439075.16</v>
      </c>
      <c r="I35" s="165"/>
      <c r="J35" s="166"/>
      <c r="K35" s="1"/>
      <c r="L35" s="1"/>
      <c r="M35" s="1"/>
      <c r="N35" s="2"/>
      <c r="O35" s="2"/>
      <c r="P35" s="2"/>
      <c r="Q35" s="2"/>
    </row>
    <row r="36" spans="1:17" ht="15">
      <c r="A36" s="9" t="s">
        <v>104</v>
      </c>
      <c r="B36" s="2"/>
      <c r="C36" s="2"/>
      <c r="D36" s="2"/>
      <c r="E36" s="2"/>
      <c r="F36" s="4"/>
      <c r="G36" s="2"/>
      <c r="H36" s="164">
        <v>193556987.56</v>
      </c>
      <c r="I36" s="165"/>
      <c r="J36" s="166"/>
      <c r="K36" s="1"/>
      <c r="L36" s="1"/>
      <c r="M36" s="1"/>
      <c r="N36" s="2"/>
      <c r="O36" s="2"/>
      <c r="P36" s="2"/>
      <c r="Q36" s="2"/>
    </row>
    <row r="37" spans="1:17" ht="14.25">
      <c r="A37" s="2" t="s">
        <v>81</v>
      </c>
      <c r="B37" s="2"/>
      <c r="C37" s="2"/>
      <c r="D37" s="2"/>
      <c r="E37" s="2"/>
      <c r="F37" s="2"/>
      <c r="G37" s="2"/>
      <c r="H37" s="164">
        <v>1052510.14</v>
      </c>
      <c r="I37" s="165"/>
      <c r="J37" s="166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06"/>
      <c r="I38" s="107"/>
      <c r="J38" s="108"/>
      <c r="K38" s="1"/>
      <c r="L38" s="1"/>
      <c r="M38" s="1"/>
      <c r="N38" s="2"/>
      <c r="O38" s="2"/>
      <c r="P38" s="2"/>
      <c r="Q38" s="2"/>
    </row>
    <row r="39" spans="1:17" ht="14.25">
      <c r="A39" s="2" t="s">
        <v>82</v>
      </c>
      <c r="B39" s="2"/>
      <c r="C39" s="2"/>
      <c r="D39" s="2"/>
      <c r="E39" s="2"/>
      <c r="F39" s="2"/>
      <c r="G39" s="2"/>
      <c r="H39" s="121">
        <f>H42+H43</f>
        <v>4960380.48</v>
      </c>
      <c r="I39" s="107"/>
      <c r="J39" s="108"/>
      <c r="K39" s="1"/>
      <c r="L39" s="1"/>
      <c r="M39" s="1"/>
      <c r="N39" s="2"/>
      <c r="O39" s="2"/>
      <c r="P39" s="2"/>
      <c r="Q39" s="2"/>
    </row>
    <row r="40" spans="1:17" ht="14.25">
      <c r="A40" s="2" t="s">
        <v>83</v>
      </c>
      <c r="B40" s="2"/>
      <c r="C40" s="2"/>
      <c r="D40" s="2"/>
      <c r="E40" s="2"/>
      <c r="F40" s="2"/>
      <c r="G40" s="2"/>
      <c r="H40" s="164">
        <v>763772.71</v>
      </c>
      <c r="I40" s="173"/>
      <c r="J40" s="174"/>
      <c r="K40" s="1"/>
      <c r="L40" s="1"/>
      <c r="M40" s="1"/>
      <c r="N40" s="2"/>
      <c r="O40" s="2"/>
      <c r="P40" s="2"/>
      <c r="Q40" s="2"/>
    </row>
    <row r="41" spans="1:17" ht="14.25">
      <c r="A41" s="2" t="s">
        <v>84</v>
      </c>
      <c r="B41" s="2"/>
      <c r="C41" s="2"/>
      <c r="D41" s="2"/>
      <c r="E41" s="2"/>
      <c r="F41" s="2"/>
      <c r="G41" s="2"/>
      <c r="H41" s="106"/>
      <c r="I41" s="107"/>
      <c r="J41" s="108"/>
      <c r="K41" s="1"/>
      <c r="L41" s="16"/>
      <c r="M41" s="1"/>
      <c r="N41" s="2"/>
      <c r="O41" s="2"/>
      <c r="P41" s="2"/>
      <c r="Q41" s="2"/>
    </row>
    <row r="42" spans="1:17" ht="14.25">
      <c r="A42" s="2" t="s">
        <v>85</v>
      </c>
      <c r="B42" s="2"/>
      <c r="C42" s="2"/>
      <c r="D42" s="2"/>
      <c r="E42" s="2"/>
      <c r="F42" s="2"/>
      <c r="G42" s="2"/>
      <c r="H42" s="164">
        <v>3520076</v>
      </c>
      <c r="I42" s="173"/>
      <c r="J42" s="174"/>
      <c r="K42" s="121"/>
      <c r="L42" s="107"/>
      <c r="M42" s="107"/>
      <c r="N42" s="2"/>
      <c r="O42" s="2"/>
      <c r="P42" s="2"/>
      <c r="Q42" s="2"/>
    </row>
    <row r="43" spans="1:17" ht="14.25">
      <c r="A43" s="2" t="s">
        <v>95</v>
      </c>
      <c r="B43" s="2"/>
      <c r="C43" s="2"/>
      <c r="D43" s="2"/>
      <c r="E43" s="2"/>
      <c r="F43" s="2"/>
      <c r="G43" s="2"/>
      <c r="H43" s="164">
        <v>1440304.48</v>
      </c>
      <c r="I43" s="173"/>
      <c r="J43" s="174"/>
      <c r="K43" s="1"/>
      <c r="L43" s="16"/>
      <c r="M43" s="1"/>
      <c r="N43" s="2"/>
      <c r="O43" s="2"/>
      <c r="P43" s="2"/>
      <c r="Q43" s="2"/>
    </row>
    <row r="44" spans="1:17" ht="14.25">
      <c r="A44" s="2" t="s">
        <v>86</v>
      </c>
      <c r="B44" s="2"/>
      <c r="C44" s="2"/>
      <c r="D44" s="2"/>
      <c r="E44" s="2"/>
      <c r="F44" s="2"/>
      <c r="G44" s="2"/>
      <c r="H44" s="164">
        <v>314504.96</v>
      </c>
      <c r="I44" s="165"/>
      <c r="J44" s="166"/>
      <c r="K44" s="1"/>
      <c r="L44" s="16"/>
      <c r="M44" s="1"/>
      <c r="N44" s="5"/>
      <c r="O44" s="2"/>
      <c r="P44" s="2"/>
      <c r="Q44" s="2"/>
    </row>
    <row r="45" spans="1:17" ht="14.25">
      <c r="A45" s="2" t="s">
        <v>87</v>
      </c>
      <c r="B45" s="2"/>
      <c r="C45" s="2"/>
      <c r="D45" s="2"/>
      <c r="E45" s="2"/>
      <c r="F45" s="2"/>
      <c r="G45" s="2"/>
      <c r="H45" s="121">
        <v>0</v>
      </c>
      <c r="I45" s="122"/>
      <c r="J45" s="123"/>
      <c r="K45" s="1"/>
      <c r="L45" s="16"/>
      <c r="M45" s="1"/>
      <c r="N45" s="2"/>
      <c r="O45" s="2"/>
      <c r="P45" s="2"/>
      <c r="Q45" s="2"/>
    </row>
    <row r="46" spans="1:17" ht="14.25">
      <c r="A46" s="2" t="s">
        <v>88</v>
      </c>
      <c r="B46" s="2"/>
      <c r="C46" s="2"/>
      <c r="D46" s="2"/>
      <c r="E46" s="2"/>
      <c r="F46" s="2"/>
      <c r="G46" s="2"/>
      <c r="H46" s="121">
        <f>H17</f>
        <v>3882078</v>
      </c>
      <c r="I46" s="122"/>
      <c r="J46" s="123"/>
      <c r="K46" s="1"/>
      <c r="L46" s="1"/>
      <c r="M46" s="1"/>
      <c r="N46" s="2"/>
      <c r="O46" s="2"/>
      <c r="P46" s="2"/>
      <c r="Q46" s="2"/>
    </row>
    <row r="47" spans="1:17" ht="14.25">
      <c r="A47" s="2" t="s">
        <v>89</v>
      </c>
      <c r="B47" s="2"/>
      <c r="C47" s="2"/>
      <c r="D47" s="2"/>
      <c r="E47" s="2"/>
      <c r="F47" s="2"/>
      <c r="G47" s="2"/>
      <c r="H47" s="106" t="s">
        <v>71</v>
      </c>
      <c r="I47" s="107"/>
      <c r="J47" s="108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06"/>
      <c r="I48" s="107"/>
      <c r="J48" s="108"/>
      <c r="K48" s="1"/>
      <c r="L48" s="1"/>
      <c r="M48" s="1"/>
      <c r="N48" s="2"/>
      <c r="O48" s="2"/>
      <c r="P48" s="2"/>
      <c r="Q48" s="2"/>
    </row>
    <row r="49" spans="1:17" ht="14.25">
      <c r="A49" s="2" t="s">
        <v>21</v>
      </c>
      <c r="B49" s="2"/>
      <c r="C49" s="2"/>
      <c r="D49" s="2"/>
      <c r="E49" s="2"/>
      <c r="F49" s="2"/>
      <c r="G49" s="2"/>
      <c r="H49" s="127">
        <f>(H39-H40)/H35*12*100%</f>
        <v>0.2550624449551844</v>
      </c>
      <c r="I49" s="128"/>
      <c r="J49" s="129"/>
      <c r="K49" s="1"/>
      <c r="L49" s="1"/>
      <c r="M49" s="1"/>
      <c r="N49" s="2"/>
      <c r="O49" s="2"/>
      <c r="P49" s="2"/>
      <c r="Q49" s="2"/>
    </row>
    <row r="50" spans="1:17" ht="14.25">
      <c r="A50" s="2" t="s">
        <v>70</v>
      </c>
      <c r="B50" s="2"/>
      <c r="C50" s="2"/>
      <c r="D50" s="2"/>
      <c r="E50" s="2"/>
      <c r="F50" s="2"/>
      <c r="G50" s="2"/>
      <c r="H50" s="127">
        <f>H42/H35*12*100%</f>
        <v>0.21394403294165024</v>
      </c>
      <c r="I50" s="128"/>
      <c r="J50" s="129"/>
      <c r="K50" s="1"/>
      <c r="L50" s="1"/>
      <c r="M50" s="1"/>
      <c r="N50" s="2"/>
      <c r="O50" s="2"/>
      <c r="P50" s="2"/>
      <c r="Q50" s="2"/>
    </row>
    <row r="51" spans="1:17" ht="14.25">
      <c r="A51" s="2" t="s">
        <v>22</v>
      </c>
      <c r="B51" s="2"/>
      <c r="C51" s="2"/>
      <c r="D51" s="2"/>
      <c r="E51" s="2"/>
      <c r="F51" s="2"/>
      <c r="G51" s="2"/>
      <c r="H51" s="137">
        <f>(H43-H40)/H35*12*100%</f>
        <v>0.04111841201353407</v>
      </c>
      <c r="I51" s="159"/>
      <c r="J51" s="160"/>
      <c r="K51" s="1"/>
      <c r="L51" s="1"/>
      <c r="M51" s="1"/>
      <c r="N51" s="2"/>
      <c r="O51" s="2"/>
      <c r="P51" s="2"/>
      <c r="Q51" s="2"/>
    </row>
    <row r="52" spans="1:17" ht="15.75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9"/>
      <c r="M52" s="1"/>
      <c r="N52" s="2"/>
      <c r="O52" s="2"/>
      <c r="P52" s="2"/>
      <c r="Q52" s="2"/>
    </row>
    <row r="53" spans="1:17" ht="15.75">
      <c r="A53" s="50" t="s">
        <v>174</v>
      </c>
      <c r="B53" s="2"/>
      <c r="C53" s="2"/>
      <c r="D53" s="2"/>
      <c r="E53" s="2"/>
      <c r="F53" s="2"/>
      <c r="G53" s="2"/>
      <c r="H53" s="175">
        <f>1052510.14-735315.75-111809.25</f>
        <v>205385.1399999999</v>
      </c>
      <c r="I53" s="176"/>
      <c r="J53" s="177"/>
      <c r="K53" s="1"/>
      <c r="L53" s="19"/>
      <c r="M53" s="1"/>
      <c r="N53" s="2"/>
      <c r="O53" s="2"/>
      <c r="P53" s="2"/>
      <c r="Q53" s="2"/>
    </row>
    <row r="54" spans="1:17" ht="15">
      <c r="A54" s="50" t="s">
        <v>175</v>
      </c>
      <c r="B54" s="2"/>
      <c r="C54" s="2"/>
      <c r="D54" s="2"/>
      <c r="E54" s="2"/>
      <c r="F54" s="2"/>
      <c r="G54" s="2"/>
      <c r="H54" s="112">
        <v>0</v>
      </c>
      <c r="I54" s="113"/>
      <c r="J54" s="114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1" t="s">
        <v>176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74</v>
      </c>
      <c r="B57" s="2"/>
      <c r="C57" s="2"/>
      <c r="D57" s="2"/>
      <c r="E57" s="2"/>
      <c r="F57" s="2"/>
      <c r="G57" s="2"/>
      <c r="H57" s="178">
        <v>200</v>
      </c>
      <c r="I57" s="179"/>
      <c r="J57" s="180"/>
      <c r="K57" s="1"/>
      <c r="L57" s="1"/>
      <c r="M57" s="1"/>
      <c r="N57" s="2"/>
      <c r="O57" s="2"/>
      <c r="P57" s="2"/>
      <c r="Q57" s="2"/>
    </row>
    <row r="58" spans="1:17" ht="14.25">
      <c r="A58" s="2" t="s">
        <v>75</v>
      </c>
      <c r="B58" s="2"/>
      <c r="C58" s="2"/>
      <c r="D58" s="2"/>
      <c r="E58" s="2"/>
      <c r="F58" s="2"/>
      <c r="G58" s="2"/>
      <c r="H58" s="170">
        <v>15179.23</v>
      </c>
      <c r="I58" s="171"/>
      <c r="J58" s="172"/>
      <c r="K58" s="1"/>
      <c r="L58" s="1"/>
      <c r="M58" s="1"/>
      <c r="N58" s="2"/>
      <c r="O58" s="2"/>
      <c r="P58" s="2"/>
      <c r="Q58" s="2"/>
    </row>
    <row r="59" spans="1:17" ht="14.25">
      <c r="A59" s="2" t="s">
        <v>23</v>
      </c>
      <c r="B59" s="2"/>
      <c r="C59" s="2"/>
      <c r="D59" s="2"/>
      <c r="E59" s="2"/>
      <c r="F59" s="2"/>
      <c r="G59" s="2"/>
      <c r="H59" s="170">
        <f>587.5+850+265</f>
        <v>1702.5</v>
      </c>
      <c r="I59" s="171"/>
      <c r="J59" s="172"/>
      <c r="K59" s="1"/>
      <c r="L59" s="1"/>
      <c r="M59" s="1"/>
      <c r="N59" s="2"/>
      <c r="O59" s="2"/>
      <c r="P59" s="2"/>
      <c r="Q59" s="2"/>
    </row>
    <row r="60" spans="1:17" ht="14.25">
      <c r="A60" s="2" t="s">
        <v>24</v>
      </c>
      <c r="B60" s="2"/>
      <c r="C60" s="2"/>
      <c r="D60" s="2"/>
      <c r="E60" s="2"/>
      <c r="F60" s="2"/>
      <c r="G60" s="2"/>
      <c r="H60" s="181">
        <v>3328.77</v>
      </c>
      <c r="I60" s="182"/>
      <c r="J60" s="183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7" t="s">
        <v>25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9" t="s">
        <v>26</v>
      </c>
      <c r="B63" s="2"/>
      <c r="C63" s="2"/>
      <c r="D63" s="2"/>
      <c r="E63" s="2"/>
      <c r="F63" s="2"/>
      <c r="G63" s="2"/>
      <c r="H63" s="146">
        <v>27000000</v>
      </c>
      <c r="I63" s="147"/>
      <c r="J63" s="148"/>
      <c r="K63" s="1"/>
      <c r="L63" s="1"/>
      <c r="M63" s="1"/>
      <c r="N63" s="2"/>
      <c r="O63" s="2"/>
      <c r="P63" s="2"/>
      <c r="Q63" s="2"/>
    </row>
    <row r="64" spans="1:17" ht="14.25">
      <c r="A64" s="2" t="s">
        <v>27</v>
      </c>
      <c r="B64" s="2"/>
      <c r="C64" s="2"/>
      <c r="D64" s="2"/>
      <c r="E64" s="2"/>
      <c r="F64" s="2"/>
      <c r="G64" s="2"/>
      <c r="H64" s="121">
        <v>27000000</v>
      </c>
      <c r="I64" s="122"/>
      <c r="J64" s="123"/>
      <c r="K64" s="1"/>
      <c r="L64" s="1"/>
      <c r="M64" s="1"/>
      <c r="N64" s="2"/>
      <c r="O64" s="2"/>
      <c r="P64" s="2"/>
      <c r="Q64" s="2"/>
    </row>
    <row r="65" spans="1:17" ht="14.25">
      <c r="A65" s="2" t="s">
        <v>28</v>
      </c>
      <c r="B65" s="2"/>
      <c r="C65" s="2"/>
      <c r="D65" s="2"/>
      <c r="E65" s="2"/>
      <c r="F65" s="2"/>
      <c r="G65" s="2"/>
      <c r="H65" s="121">
        <v>0</v>
      </c>
      <c r="I65" s="122"/>
      <c r="J65" s="123"/>
      <c r="K65" s="1"/>
      <c r="L65" s="1"/>
      <c r="M65" s="1"/>
      <c r="N65" s="2"/>
      <c r="O65" s="2"/>
      <c r="P65" s="2"/>
      <c r="Q65" s="2"/>
    </row>
    <row r="66" spans="1:17" ht="14.25">
      <c r="A66" s="2" t="s">
        <v>29</v>
      </c>
      <c r="B66" s="2"/>
      <c r="C66" s="2"/>
      <c r="D66" s="2"/>
      <c r="E66" s="2"/>
      <c r="F66" s="2"/>
      <c r="G66" s="2"/>
      <c r="H66" s="106">
        <v>0</v>
      </c>
      <c r="I66" s="107"/>
      <c r="J66" s="108"/>
      <c r="K66" s="1"/>
      <c r="L66" s="1"/>
      <c r="M66" s="1"/>
      <c r="N66" s="2"/>
      <c r="O66" s="2"/>
      <c r="P66" s="2"/>
      <c r="Q66" s="2"/>
    </row>
    <row r="67" spans="1:17" ht="14.25">
      <c r="A67" s="2" t="s">
        <v>30</v>
      </c>
      <c r="B67" s="2"/>
      <c r="C67" s="2"/>
      <c r="D67" s="2"/>
      <c r="E67" s="2"/>
      <c r="F67" s="2"/>
      <c r="G67" s="2"/>
      <c r="H67" s="121">
        <v>0</v>
      </c>
      <c r="I67" s="122"/>
      <c r="J67" s="123"/>
      <c r="K67" s="1"/>
      <c r="L67" s="1"/>
      <c r="M67" s="1"/>
      <c r="N67" s="2"/>
      <c r="O67" s="2"/>
      <c r="P67" s="2"/>
      <c r="Q67" s="2"/>
    </row>
    <row r="68" spans="1:17" ht="14.25">
      <c r="A68" s="2" t="s">
        <v>31</v>
      </c>
      <c r="B68" s="2"/>
      <c r="C68" s="2"/>
      <c r="D68" s="2"/>
      <c r="E68" s="2"/>
      <c r="F68" s="2"/>
      <c r="G68" s="2"/>
      <c r="H68" s="130">
        <f>H60</f>
        <v>3328.77</v>
      </c>
      <c r="I68" s="131"/>
      <c r="J68" s="132"/>
      <c r="K68" s="1"/>
      <c r="L68" s="1"/>
      <c r="M68" s="1"/>
      <c r="N68" s="2"/>
      <c r="O68" s="2"/>
      <c r="P68" s="2"/>
      <c r="Q68" s="2"/>
    </row>
    <row r="69" spans="1:17" ht="14.25">
      <c r="A69" s="2" t="s">
        <v>32</v>
      </c>
      <c r="B69" s="2"/>
      <c r="C69" s="2"/>
      <c r="D69" s="2"/>
      <c r="E69" s="2"/>
      <c r="F69" s="2"/>
      <c r="G69" s="2"/>
      <c r="H69" s="137">
        <v>0.0015</v>
      </c>
      <c r="I69" s="138"/>
      <c r="J69" s="139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7" t="s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9" t="s">
        <v>103</v>
      </c>
      <c r="B72" s="2"/>
      <c r="C72" s="2"/>
      <c r="D72" s="2"/>
      <c r="E72" s="2"/>
      <c r="F72" s="2"/>
      <c r="G72" s="2"/>
      <c r="H72" s="146">
        <v>7500000</v>
      </c>
      <c r="I72" s="147"/>
      <c r="J72" s="148"/>
      <c r="K72" s="2"/>
      <c r="L72" s="2"/>
      <c r="M72" s="2"/>
      <c r="N72" s="2"/>
      <c r="O72" s="2"/>
      <c r="P72" s="2"/>
      <c r="Q72" s="2"/>
    </row>
    <row r="73" spans="1:17" ht="14.25">
      <c r="A73" s="2" t="s">
        <v>34</v>
      </c>
      <c r="B73" s="2"/>
      <c r="C73" s="2"/>
      <c r="D73" s="2"/>
      <c r="E73" s="2"/>
      <c r="F73" s="2"/>
      <c r="G73" s="2"/>
      <c r="H73" s="121">
        <v>7500000</v>
      </c>
      <c r="I73" s="122"/>
      <c r="J73" s="123"/>
      <c r="K73" s="2"/>
      <c r="L73" s="2"/>
      <c r="M73" s="2"/>
      <c r="N73" s="2"/>
      <c r="O73" s="2"/>
      <c r="P73" s="2"/>
      <c r="Q73" s="2"/>
    </row>
    <row r="74" spans="1:17" ht="14.25">
      <c r="A74" s="2" t="s">
        <v>35</v>
      </c>
      <c r="B74" s="2"/>
      <c r="C74" s="2"/>
      <c r="D74" s="2"/>
      <c r="E74" s="2"/>
      <c r="F74" s="2"/>
      <c r="G74" s="2"/>
      <c r="H74" s="121">
        <v>0</v>
      </c>
      <c r="I74" s="107"/>
      <c r="J74" s="108"/>
      <c r="K74" s="2"/>
      <c r="L74" s="2"/>
      <c r="M74" s="2"/>
      <c r="N74" s="2"/>
      <c r="O74" s="2"/>
      <c r="P74" s="2"/>
      <c r="Q74" s="2"/>
    </row>
    <row r="75" spans="1:17" ht="14.25">
      <c r="A75" s="2" t="s">
        <v>36</v>
      </c>
      <c r="B75" s="2"/>
      <c r="C75" s="2"/>
      <c r="D75" s="2"/>
      <c r="E75" s="2"/>
      <c r="F75" s="2"/>
      <c r="G75" s="2"/>
      <c r="H75" s="106"/>
      <c r="I75" s="107"/>
      <c r="J75" s="108"/>
      <c r="K75" s="2"/>
      <c r="L75" s="2"/>
      <c r="M75" s="2"/>
      <c r="N75" s="2"/>
      <c r="O75" s="2"/>
      <c r="P75" s="2"/>
      <c r="Q75" s="2"/>
    </row>
    <row r="76" spans="1:17" ht="14.25">
      <c r="A76" s="2" t="s">
        <v>37</v>
      </c>
      <c r="B76" s="2"/>
      <c r="C76" s="2"/>
      <c r="D76" s="2"/>
      <c r="E76" s="2"/>
      <c r="F76" s="2"/>
      <c r="G76" s="2"/>
      <c r="H76" s="106">
        <v>0</v>
      </c>
      <c r="I76" s="107"/>
      <c r="J76" s="108"/>
      <c r="K76" s="2"/>
      <c r="L76" s="2"/>
      <c r="M76" s="2"/>
      <c r="N76" s="2"/>
      <c r="O76" s="2"/>
      <c r="P76" s="2"/>
      <c r="Q76" s="2"/>
    </row>
    <row r="77" spans="1:17" ht="14.25">
      <c r="A77" s="2" t="s">
        <v>38</v>
      </c>
      <c r="B77" s="2"/>
      <c r="C77" s="2"/>
      <c r="D77" s="2"/>
      <c r="E77" s="2"/>
      <c r="F77" s="2"/>
      <c r="G77" s="2"/>
      <c r="H77" s="106">
        <v>0</v>
      </c>
      <c r="I77" s="107"/>
      <c r="J77" s="108"/>
      <c r="K77" s="2"/>
      <c r="L77" s="2"/>
      <c r="M77" s="2"/>
      <c r="N77" s="2"/>
      <c r="O77" s="2"/>
      <c r="P77" s="2"/>
      <c r="Q77" s="2"/>
    </row>
    <row r="78" spans="1:17" ht="14.25">
      <c r="A78" s="2" t="s">
        <v>39</v>
      </c>
      <c r="B78" s="2"/>
      <c r="C78" s="2"/>
      <c r="D78" s="2"/>
      <c r="E78" s="2"/>
      <c r="F78" s="2"/>
      <c r="G78" s="2"/>
      <c r="H78" s="106">
        <v>0</v>
      </c>
      <c r="I78" s="107"/>
      <c r="J78" s="108"/>
      <c r="K78" s="2"/>
      <c r="L78" s="2"/>
      <c r="M78" s="2"/>
      <c r="N78" s="2"/>
      <c r="O78" s="2"/>
      <c r="P78" s="2"/>
      <c r="Q78" s="2"/>
    </row>
    <row r="79" spans="1:17" ht="14.25">
      <c r="A79" s="2" t="s">
        <v>40</v>
      </c>
      <c r="B79" s="2"/>
      <c r="C79" s="2"/>
      <c r="D79" s="2"/>
      <c r="E79" s="2"/>
      <c r="F79" s="2"/>
      <c r="G79" s="2"/>
      <c r="H79" s="149">
        <f>H73+H74</f>
        <v>7500000</v>
      </c>
      <c r="I79" s="150"/>
      <c r="J79" s="151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7" t="s">
        <v>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42</v>
      </c>
      <c r="B82" s="2"/>
      <c r="C82" s="2"/>
      <c r="D82" s="2"/>
      <c r="E82" s="2"/>
      <c r="F82" s="2"/>
      <c r="G82" s="2"/>
      <c r="H82" s="152">
        <v>0</v>
      </c>
      <c r="I82" s="153"/>
      <c r="J82" s="154"/>
      <c r="K82" s="2"/>
      <c r="L82" s="2"/>
      <c r="M82" s="2"/>
      <c r="N82" s="2"/>
      <c r="O82" s="2"/>
      <c r="P82" s="2"/>
      <c r="Q82" s="2"/>
    </row>
    <row r="83" spans="1:17" ht="14.25">
      <c r="A83" s="2" t="s">
        <v>43</v>
      </c>
      <c r="B83" s="2"/>
      <c r="C83" s="2"/>
      <c r="D83" s="2"/>
      <c r="E83" s="2"/>
      <c r="F83" s="2"/>
      <c r="G83" s="2"/>
      <c r="H83" s="106">
        <v>0</v>
      </c>
      <c r="I83" s="107"/>
      <c r="J83" s="108"/>
      <c r="K83" s="2"/>
      <c r="L83" s="2"/>
      <c r="M83" s="2"/>
      <c r="N83" s="2"/>
      <c r="O83" s="2"/>
      <c r="P83" s="2"/>
      <c r="Q83" s="2"/>
    </row>
    <row r="84" spans="1:17" ht="14.25">
      <c r="A84" s="2" t="s">
        <v>44</v>
      </c>
      <c r="B84" s="2"/>
      <c r="C84" s="2"/>
      <c r="D84" s="2"/>
      <c r="E84" s="2"/>
      <c r="F84" s="2"/>
      <c r="G84" s="2"/>
      <c r="H84" s="106">
        <v>0</v>
      </c>
      <c r="I84" s="107"/>
      <c r="J84" s="108"/>
      <c r="K84" s="2"/>
      <c r="L84" s="2"/>
      <c r="M84" s="2"/>
      <c r="N84" s="2"/>
      <c r="O84" s="2"/>
      <c r="P84" s="2"/>
      <c r="Q84" s="2"/>
    </row>
    <row r="85" spans="1:17" ht="14.25">
      <c r="A85" s="2" t="s">
        <v>45</v>
      </c>
      <c r="B85" s="2"/>
      <c r="C85" s="2"/>
      <c r="D85" s="2"/>
      <c r="E85" s="2"/>
      <c r="F85" s="2"/>
      <c r="G85" s="2"/>
      <c r="H85" s="155">
        <v>0</v>
      </c>
      <c r="I85" s="138"/>
      <c r="J85" s="139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52" t="s">
        <v>177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4" t="s">
        <v>46</v>
      </c>
      <c r="B90" s="2"/>
      <c r="C90" s="2"/>
      <c r="D90" s="2"/>
      <c r="E90" s="2"/>
      <c r="F90" s="2"/>
      <c r="G90" s="2"/>
      <c r="H90" s="118" t="s">
        <v>76</v>
      </c>
      <c r="I90" s="119"/>
      <c r="J90" s="120"/>
      <c r="K90" s="118" t="s">
        <v>65</v>
      </c>
      <c r="L90" s="119"/>
      <c r="M90" s="12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64">
        <v>190069154.79</v>
      </c>
      <c r="I91" s="165"/>
      <c r="J91" s="166"/>
      <c r="K91" s="184">
        <v>2558</v>
      </c>
      <c r="L91" s="173"/>
      <c r="M91" s="174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64">
        <v>256798.71</v>
      </c>
      <c r="I92" s="165"/>
      <c r="J92" s="166"/>
      <c r="K92" s="184">
        <v>5</v>
      </c>
      <c r="L92" s="173"/>
      <c r="M92" s="174"/>
      <c r="N92" s="2"/>
      <c r="O92" s="2"/>
      <c r="P92" s="2"/>
      <c r="Q92" s="2"/>
    </row>
    <row r="93" spans="1:17" ht="14.25">
      <c r="A93" s="2" t="s">
        <v>49</v>
      </c>
      <c r="B93" s="2"/>
      <c r="C93" s="2"/>
      <c r="D93" s="2"/>
      <c r="E93" s="2"/>
      <c r="F93" s="2"/>
      <c r="G93" s="2"/>
      <c r="H93" s="164">
        <v>2261491.26</v>
      </c>
      <c r="I93" s="165"/>
      <c r="J93" s="166"/>
      <c r="K93" s="184">
        <v>13</v>
      </c>
      <c r="L93" s="173"/>
      <c r="M93" s="174"/>
      <c r="N93" s="2"/>
      <c r="O93" s="2"/>
      <c r="P93" s="2"/>
      <c r="Q93" s="2"/>
    </row>
    <row r="94" spans="1:17" ht="14.25">
      <c r="A94" s="2" t="s">
        <v>50</v>
      </c>
      <c r="B94" s="2"/>
      <c r="C94" s="2"/>
      <c r="D94" s="2"/>
      <c r="E94" s="2"/>
      <c r="F94" s="2"/>
      <c r="G94" s="2"/>
      <c r="H94" s="164">
        <v>836102.81</v>
      </c>
      <c r="I94" s="165"/>
      <c r="J94" s="166"/>
      <c r="K94" s="184">
        <v>5</v>
      </c>
      <c r="L94" s="173"/>
      <c r="M94" s="174"/>
      <c r="N94" s="2"/>
      <c r="O94" s="2"/>
      <c r="P94" s="2"/>
      <c r="Q94" s="2"/>
    </row>
    <row r="95" spans="1:17" ht="14.25">
      <c r="A95" s="2" t="s">
        <v>51</v>
      </c>
      <c r="B95" s="2"/>
      <c r="C95" s="2"/>
      <c r="D95" s="2"/>
      <c r="E95" s="2"/>
      <c r="F95" s="2"/>
      <c r="G95" s="2"/>
      <c r="H95" s="164">
        <v>125756.65</v>
      </c>
      <c r="I95" s="165"/>
      <c r="J95" s="166"/>
      <c r="K95" s="184">
        <v>1</v>
      </c>
      <c r="L95" s="173"/>
      <c r="M95" s="174"/>
      <c r="N95" s="2"/>
      <c r="O95" s="2"/>
      <c r="P95" s="2"/>
      <c r="Q95" s="2"/>
    </row>
    <row r="96" spans="1:17" ht="14.25">
      <c r="A96" s="2" t="s">
        <v>52</v>
      </c>
      <c r="B96" s="2"/>
      <c r="C96" s="2"/>
      <c r="D96" s="2"/>
      <c r="E96" s="2"/>
      <c r="F96" s="2"/>
      <c r="G96" s="2"/>
      <c r="H96" s="164">
        <v>7465.09</v>
      </c>
      <c r="I96" s="165"/>
      <c r="J96" s="166"/>
      <c r="K96" s="184">
        <v>2</v>
      </c>
      <c r="L96" s="173"/>
      <c r="M96" s="174"/>
      <c r="N96" s="2"/>
      <c r="O96" s="2"/>
      <c r="P96" s="2"/>
      <c r="Q96" s="2"/>
    </row>
    <row r="97" spans="1:17" ht="14.25">
      <c r="A97" s="2" t="s">
        <v>105</v>
      </c>
      <c r="B97" s="2"/>
      <c r="C97" s="2"/>
      <c r="D97" s="2"/>
      <c r="E97" s="2"/>
      <c r="F97" s="2"/>
      <c r="G97" s="2"/>
      <c r="H97" s="164">
        <v>218.25</v>
      </c>
      <c r="I97" s="165"/>
      <c r="J97" s="166"/>
      <c r="K97" s="184">
        <v>1</v>
      </c>
      <c r="L97" s="173"/>
      <c r="M97" s="174"/>
      <c r="N97" s="2"/>
      <c r="O97" s="2"/>
      <c r="P97" s="2"/>
      <c r="Q97" s="2"/>
    </row>
    <row r="98" spans="1:17" ht="14.25">
      <c r="A98" s="2" t="s">
        <v>116</v>
      </c>
      <c r="B98" s="2"/>
      <c r="C98" s="2"/>
      <c r="D98" s="2"/>
      <c r="E98" s="2"/>
      <c r="F98" s="2"/>
      <c r="G98" s="2"/>
      <c r="H98" s="164">
        <v>0</v>
      </c>
      <c r="I98" s="165"/>
      <c r="J98" s="166"/>
      <c r="K98" s="184">
        <v>0</v>
      </c>
      <c r="L98" s="173"/>
      <c r="M98" s="174"/>
      <c r="N98" s="2"/>
      <c r="O98" s="2"/>
      <c r="P98" s="2"/>
      <c r="Q98" s="2"/>
    </row>
    <row r="99" spans="1:17" ht="14.25">
      <c r="A99" s="2" t="s">
        <v>115</v>
      </c>
      <c r="B99" s="2"/>
      <c r="C99" s="2"/>
      <c r="D99" s="2"/>
      <c r="E99" s="2"/>
      <c r="F99" s="2"/>
      <c r="G99" s="2"/>
      <c r="H99" s="20"/>
      <c r="I99" s="13">
        <f>SUM(H91:J98)</f>
        <v>193556987.56</v>
      </c>
      <c r="J99" s="21"/>
      <c r="K99" s="22"/>
      <c r="L99" s="14">
        <f>SUM(K91:M98)</f>
        <v>2585</v>
      </c>
      <c r="M99" s="23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12"/>
      <c r="I100" s="12"/>
      <c r="J100" s="12"/>
      <c r="K100" s="11"/>
      <c r="L100" s="11"/>
      <c r="M100" s="11"/>
      <c r="N100" s="2"/>
      <c r="O100" s="2"/>
      <c r="P100" s="2"/>
      <c r="Q100" s="2"/>
    </row>
    <row r="101" spans="1:17" ht="15">
      <c r="A101" s="51" t="s">
        <v>178</v>
      </c>
      <c r="B101" s="2"/>
      <c r="C101" s="2"/>
      <c r="D101" s="2"/>
      <c r="E101" s="2"/>
      <c r="F101" s="2"/>
      <c r="G101" s="2"/>
      <c r="H101" s="12"/>
      <c r="I101" s="12"/>
      <c r="J101" s="12"/>
      <c r="K101" s="11"/>
      <c r="L101" s="11"/>
      <c r="M101" s="11"/>
      <c r="N101" s="2"/>
      <c r="O101" s="2"/>
      <c r="P101" s="2"/>
      <c r="Q101" s="2"/>
    </row>
    <row r="102" spans="1:17" ht="15">
      <c r="A102" s="4" t="s">
        <v>111</v>
      </c>
      <c r="B102" s="2"/>
      <c r="C102" s="2"/>
      <c r="D102" s="2"/>
      <c r="E102" s="2"/>
      <c r="F102" s="2"/>
      <c r="G102" s="2"/>
      <c r="H102" s="161" t="s">
        <v>114</v>
      </c>
      <c r="I102" s="162"/>
      <c r="J102" s="163"/>
      <c r="K102" s="11"/>
      <c r="L102" s="11"/>
      <c r="M102" s="11"/>
      <c r="N102" s="2"/>
      <c r="O102" s="2"/>
      <c r="P102" s="2"/>
      <c r="Q102" s="2"/>
    </row>
    <row r="103" spans="1:17" ht="14.25">
      <c r="A103" s="2" t="s">
        <v>112</v>
      </c>
      <c r="B103" s="2"/>
      <c r="C103" s="2"/>
      <c r="D103" s="2"/>
      <c r="E103" s="2"/>
      <c r="F103" s="2"/>
      <c r="G103" s="2"/>
      <c r="H103" s="185">
        <f>57419291.23/193556988</f>
        <v>0.29665315534874925</v>
      </c>
      <c r="I103" s="186"/>
      <c r="J103" s="187"/>
      <c r="K103" s="11"/>
      <c r="L103" s="11"/>
      <c r="M103" s="11"/>
      <c r="N103" s="2"/>
      <c r="O103" s="2"/>
      <c r="P103" s="2"/>
      <c r="Q103" s="2"/>
    </row>
    <row r="104" spans="1:17" ht="14.25">
      <c r="A104" s="2" t="s">
        <v>113</v>
      </c>
      <c r="B104" s="2"/>
      <c r="C104" s="2"/>
      <c r="D104" s="2"/>
      <c r="E104" s="2"/>
      <c r="F104" s="2"/>
      <c r="G104" s="2"/>
      <c r="H104" s="188">
        <f>55369484.07/193556988</f>
        <v>0.2860629556293777</v>
      </c>
      <c r="I104" s="189"/>
      <c r="J104" s="190"/>
      <c r="K104" s="11"/>
      <c r="L104" s="11"/>
      <c r="M104" s="11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12"/>
      <c r="I105" s="12"/>
      <c r="J105" s="12"/>
      <c r="K105" s="11"/>
      <c r="L105" s="11"/>
      <c r="M105" s="11"/>
      <c r="N105" s="2"/>
      <c r="O105" s="2"/>
      <c r="P105" s="2"/>
      <c r="Q105" s="2"/>
    </row>
    <row r="106" spans="1:17" ht="15">
      <c r="A106" s="7" t="s">
        <v>117</v>
      </c>
      <c r="B106" s="2"/>
      <c r="C106" s="2"/>
      <c r="D106" s="2"/>
      <c r="E106" s="2"/>
      <c r="F106" s="2"/>
      <c r="G106" s="2"/>
      <c r="H106" s="161" t="s">
        <v>108</v>
      </c>
      <c r="I106" s="162"/>
      <c r="J106" s="163"/>
      <c r="K106" s="118" t="s">
        <v>109</v>
      </c>
      <c r="L106" s="119"/>
      <c r="M106" s="120"/>
      <c r="N106" s="118" t="s">
        <v>110</v>
      </c>
      <c r="O106" s="119"/>
      <c r="P106" s="120"/>
      <c r="Q106" s="2"/>
    </row>
    <row r="107" spans="1:17" ht="14.25">
      <c r="A107" s="2" t="s">
        <v>106</v>
      </c>
      <c r="B107" s="2"/>
      <c r="C107" s="2"/>
      <c r="D107" s="2"/>
      <c r="E107" s="2"/>
      <c r="F107" s="2"/>
      <c r="G107" s="2"/>
      <c r="H107" s="127">
        <v>0.7353</v>
      </c>
      <c r="I107" s="128"/>
      <c r="J107" s="129"/>
      <c r="K107" s="127">
        <v>0.7453</v>
      </c>
      <c r="L107" s="128"/>
      <c r="M107" s="129"/>
      <c r="N107" s="185">
        <v>0.7073</v>
      </c>
      <c r="O107" s="186"/>
      <c r="P107" s="187"/>
      <c r="Q107" s="2"/>
    </row>
    <row r="108" spans="1:17" ht="14.25">
      <c r="A108" s="2" t="s">
        <v>107</v>
      </c>
      <c r="B108" s="2"/>
      <c r="C108" s="2"/>
      <c r="D108" s="2"/>
      <c r="E108" s="2"/>
      <c r="F108" s="2"/>
      <c r="G108" s="2"/>
      <c r="H108" s="137">
        <v>0.7211</v>
      </c>
      <c r="I108" s="159"/>
      <c r="J108" s="160"/>
      <c r="K108" s="137">
        <v>0.7311</v>
      </c>
      <c r="L108" s="159"/>
      <c r="M108" s="160"/>
      <c r="N108" s="188">
        <v>0.6795</v>
      </c>
      <c r="O108" s="189"/>
      <c r="P108" s="190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7" t="s">
        <v>53</v>
      </c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2"/>
      <c r="P110" s="2"/>
      <c r="Q110" s="2"/>
    </row>
    <row r="111" spans="1:17" ht="14.25">
      <c r="A111" s="2" t="s">
        <v>54</v>
      </c>
      <c r="B111" s="2"/>
      <c r="C111" s="2"/>
      <c r="D111" s="2"/>
      <c r="E111" s="2"/>
      <c r="F111" s="2"/>
      <c r="G111" s="2"/>
      <c r="H111" s="152">
        <v>0</v>
      </c>
      <c r="I111" s="153"/>
      <c r="J111" s="154"/>
      <c r="K111" s="1"/>
      <c r="L111" s="1"/>
      <c r="M111" s="1"/>
      <c r="N111" s="2"/>
      <c r="O111" s="2"/>
      <c r="P111" s="2"/>
      <c r="Q111" s="2"/>
    </row>
    <row r="112" spans="1:17" ht="14.25">
      <c r="A112" s="2" t="s">
        <v>55</v>
      </c>
      <c r="B112" s="2"/>
      <c r="C112" s="2"/>
      <c r="D112" s="2"/>
      <c r="E112" s="2"/>
      <c r="F112" s="2"/>
      <c r="G112" s="2"/>
      <c r="H112" s="106">
        <v>0</v>
      </c>
      <c r="I112" s="107"/>
      <c r="J112" s="108"/>
      <c r="K112" s="1"/>
      <c r="L112" s="1"/>
      <c r="M112" s="1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06"/>
      <c r="I113" s="107"/>
      <c r="J113" s="108"/>
      <c r="K113" s="1"/>
      <c r="L113" s="1"/>
      <c r="M113" s="1"/>
      <c r="N113" s="2"/>
      <c r="O113" s="2"/>
      <c r="P113" s="2"/>
      <c r="Q113" s="2"/>
    </row>
    <row r="114" spans="1:17" ht="14.25">
      <c r="A114" s="2" t="s">
        <v>56</v>
      </c>
      <c r="B114" s="2"/>
      <c r="C114" s="2"/>
      <c r="D114" s="2"/>
      <c r="E114" s="2"/>
      <c r="F114" s="2"/>
      <c r="G114" s="2"/>
      <c r="H114" s="106">
        <v>0</v>
      </c>
      <c r="I114" s="107"/>
      <c r="J114" s="108"/>
      <c r="K114" s="1"/>
      <c r="L114" s="1"/>
      <c r="M114" s="1"/>
      <c r="N114" s="2"/>
      <c r="O114" s="2"/>
      <c r="P114" s="2"/>
      <c r="Q114" s="2"/>
    </row>
    <row r="115" spans="1:17" ht="14.25">
      <c r="A115" s="2" t="s">
        <v>57</v>
      </c>
      <c r="B115" s="2"/>
      <c r="C115" s="2"/>
      <c r="D115" s="2"/>
      <c r="E115" s="2"/>
      <c r="F115" s="2"/>
      <c r="G115" s="2"/>
      <c r="H115" s="106">
        <v>0</v>
      </c>
      <c r="I115" s="107"/>
      <c r="J115" s="108"/>
      <c r="K115" s="1"/>
      <c r="L115" s="1"/>
      <c r="M115" s="1"/>
      <c r="N115" s="2"/>
      <c r="O115" s="2"/>
      <c r="P115" s="2"/>
      <c r="Q115" s="2"/>
    </row>
    <row r="116" spans="1:17" ht="14.25">
      <c r="A116" s="2" t="s">
        <v>58</v>
      </c>
      <c r="B116" s="2"/>
      <c r="C116" s="2"/>
      <c r="D116" s="2"/>
      <c r="E116" s="2"/>
      <c r="F116" s="2"/>
      <c r="G116" s="2"/>
      <c r="H116" s="155">
        <v>0</v>
      </c>
      <c r="I116" s="138"/>
      <c r="J116" s="139"/>
      <c r="K116" s="1"/>
      <c r="L116" s="1"/>
      <c r="M116" s="1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2"/>
      <c r="P117" s="2"/>
      <c r="Q117" s="2"/>
    </row>
    <row r="118" spans="1:17" ht="15">
      <c r="A118" s="7" t="s">
        <v>59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90</v>
      </c>
      <c r="B119" s="2"/>
      <c r="C119" s="2"/>
      <c r="D119" s="2"/>
      <c r="E119" s="2"/>
      <c r="F119" s="2"/>
      <c r="G119" s="2"/>
      <c r="H119" s="152">
        <v>0</v>
      </c>
      <c r="I119" s="153"/>
      <c r="J119" s="154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91</v>
      </c>
      <c r="B120" s="2"/>
      <c r="C120" s="2"/>
      <c r="D120" s="2"/>
      <c r="E120" s="2"/>
      <c r="F120" s="2"/>
      <c r="G120" s="2"/>
      <c r="H120" s="106">
        <v>0</v>
      </c>
      <c r="I120" s="107"/>
      <c r="J120" s="108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92</v>
      </c>
      <c r="B121" s="2"/>
      <c r="C121" s="2"/>
      <c r="D121" s="2"/>
      <c r="E121" s="2"/>
      <c r="F121" s="2"/>
      <c r="G121" s="2"/>
      <c r="H121" s="106">
        <v>0</v>
      </c>
      <c r="I121" s="107"/>
      <c r="J121" s="108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93</v>
      </c>
      <c r="B122" s="2"/>
      <c r="C122" s="2"/>
      <c r="D122" s="2"/>
      <c r="E122" s="2"/>
      <c r="F122" s="2"/>
      <c r="G122" s="2"/>
      <c r="H122" s="106">
        <v>0</v>
      </c>
      <c r="I122" s="107"/>
      <c r="J122" s="108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94</v>
      </c>
      <c r="B123" s="2"/>
      <c r="C123" s="2"/>
      <c r="D123" s="2"/>
      <c r="E123" s="2"/>
      <c r="F123" s="2"/>
      <c r="G123" s="2"/>
      <c r="H123" s="106">
        <v>0</v>
      </c>
      <c r="I123" s="107"/>
      <c r="J123" s="108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60</v>
      </c>
      <c r="B124" s="2"/>
      <c r="C124" s="2"/>
      <c r="D124" s="2"/>
      <c r="E124" s="2"/>
      <c r="F124" s="2"/>
      <c r="G124" s="2"/>
      <c r="H124" s="106">
        <v>0</v>
      </c>
      <c r="I124" s="107"/>
      <c r="J124" s="108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61</v>
      </c>
      <c r="B125" s="2"/>
      <c r="C125" s="2"/>
      <c r="D125" s="2"/>
      <c r="E125" s="2"/>
      <c r="F125" s="2"/>
      <c r="G125" s="2"/>
      <c r="H125" s="106">
        <v>0</v>
      </c>
      <c r="I125" s="107"/>
      <c r="J125" s="108"/>
      <c r="K125" s="2"/>
      <c r="L125" s="2"/>
      <c r="M125" s="2"/>
      <c r="N125" s="2"/>
      <c r="O125" s="2"/>
      <c r="P125" s="2"/>
      <c r="Q125" s="2"/>
    </row>
    <row r="126" spans="1:17" ht="14.25">
      <c r="A126" s="2" t="s">
        <v>62</v>
      </c>
      <c r="B126" s="2"/>
      <c r="C126" s="2"/>
      <c r="D126" s="2"/>
      <c r="E126" s="2"/>
      <c r="F126" s="2"/>
      <c r="G126" s="2"/>
      <c r="H126" s="155">
        <v>0</v>
      </c>
      <c r="I126" s="138"/>
      <c r="J126" s="139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</sheetData>
  <mergeCells count="135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98:J98"/>
    <mergeCell ref="K98:M98"/>
    <mergeCell ref="H102:J102"/>
    <mergeCell ref="H103:J103"/>
    <mergeCell ref="H104:J104"/>
    <mergeCell ref="H106:J106"/>
    <mergeCell ref="K106:M106"/>
    <mergeCell ref="N106:P106"/>
    <mergeCell ref="H107:J107"/>
    <mergeCell ref="K107:M107"/>
    <mergeCell ref="N107:P107"/>
    <mergeCell ref="H108:J108"/>
    <mergeCell ref="K108:M108"/>
    <mergeCell ref="N108:P108"/>
    <mergeCell ref="H111:J111"/>
    <mergeCell ref="H112:J112"/>
    <mergeCell ref="H113:J113"/>
    <mergeCell ref="H114:J114"/>
    <mergeCell ref="H115:J115"/>
    <mergeCell ref="H116:J116"/>
    <mergeCell ref="H119:J119"/>
    <mergeCell ref="H120:J120"/>
    <mergeCell ref="H121:J121"/>
    <mergeCell ref="H126:J126"/>
    <mergeCell ref="H122:J122"/>
    <mergeCell ref="H123:J123"/>
    <mergeCell ref="H124:J124"/>
    <mergeCell ref="H125:J125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Mortgage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JHYDE</dc:creator>
  <cp:keywords/>
  <dc:description/>
  <cp:lastModifiedBy>DoJulia</cp:lastModifiedBy>
  <cp:lastPrinted>2006-04-12T07:29:35Z</cp:lastPrinted>
  <dcterms:created xsi:type="dcterms:W3CDTF">2000-01-17T12:21:38Z</dcterms:created>
  <dcterms:modified xsi:type="dcterms:W3CDTF">2006-07-14T06:48:13Z</dcterms:modified>
  <cp:category/>
  <cp:version/>
  <cp:contentType/>
  <cp:contentStatus/>
</cp:coreProperties>
</file>