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240" tabRatio="774" firstSheet="26" activeTab="37"/>
  </bookViews>
  <sheets>
    <sheet name="Oct 03" sheetId="1" r:id="rId1"/>
    <sheet name="Nov 03" sheetId="2" r:id="rId2"/>
    <sheet name="Dec 03" sheetId="3" r:id="rId3"/>
    <sheet name="Jan 04" sheetId="4" r:id="rId4"/>
    <sheet name="Feb 04" sheetId="5" r:id="rId5"/>
    <sheet name="March 04" sheetId="6" r:id="rId6"/>
    <sheet name="April 04" sheetId="7" r:id="rId7"/>
    <sheet name="May 04" sheetId="8" r:id="rId8"/>
    <sheet name="June 04" sheetId="9" r:id="rId9"/>
    <sheet name="July 04" sheetId="10" r:id="rId10"/>
    <sheet name="August 04" sheetId="11" r:id="rId11"/>
    <sheet name="Sep 04" sheetId="12" r:id="rId12"/>
    <sheet name="Oct 04" sheetId="13" r:id="rId13"/>
    <sheet name="Nov 04" sheetId="14" r:id="rId14"/>
    <sheet name="Dec 04" sheetId="15" r:id="rId15"/>
    <sheet name="Jan 05" sheetId="16" r:id="rId16"/>
    <sheet name="Feb 05" sheetId="17" r:id="rId17"/>
    <sheet name="Mar05" sheetId="18" r:id="rId18"/>
    <sheet name="Apr 05" sheetId="19" r:id="rId19"/>
    <sheet name="May 05" sheetId="20" r:id="rId20"/>
    <sheet name="Jun 05" sheetId="21" r:id="rId21"/>
    <sheet name="Jul 05" sheetId="22" r:id="rId22"/>
    <sheet name="Aug 05" sheetId="23" r:id="rId23"/>
    <sheet name="Sept 05" sheetId="24" r:id="rId24"/>
    <sheet name="Oct 05" sheetId="25" r:id="rId25"/>
    <sheet name="Nov 05" sheetId="26" r:id="rId26"/>
    <sheet name="Dec 05" sheetId="27" r:id="rId27"/>
    <sheet name="Jan 06" sheetId="28" r:id="rId28"/>
    <sheet name="Feb 06" sheetId="29" r:id="rId29"/>
    <sheet name="Mar 06" sheetId="30" r:id="rId30"/>
    <sheet name="Apr 06" sheetId="31" r:id="rId31"/>
    <sheet name="May 06" sheetId="32" r:id="rId32"/>
    <sheet name="Jun 06" sheetId="33" r:id="rId33"/>
    <sheet name="Jul 06" sheetId="34" r:id="rId34"/>
    <sheet name="Aug 06" sheetId="35" r:id="rId35"/>
    <sheet name="Sept 06" sheetId="36" r:id="rId36"/>
    <sheet name="Oct 06" sheetId="37" r:id="rId37"/>
    <sheet name="Nov 06" sheetId="38" r:id="rId38"/>
  </sheets>
  <definedNames>
    <definedName name="_xlnm.Print_Area" localSheetId="18">'Apr 05'!$A$1:$G$66</definedName>
    <definedName name="_xlnm.Print_Area" localSheetId="30">'Apr 06'!$A$1:$H$67</definedName>
    <definedName name="_xlnm.Print_Area" localSheetId="6">'April 04'!$A:$IV</definedName>
    <definedName name="_xlnm.Print_Area" localSheetId="10">'August 04'!$A:$IV</definedName>
    <definedName name="_xlnm.Print_Area" localSheetId="2">'Dec 03'!$A:$IV</definedName>
    <definedName name="_xlnm.Print_Area" localSheetId="26">'Dec 05'!$A$1:$G$66</definedName>
    <definedName name="_xlnm.Print_Area" localSheetId="4">'Feb 04'!$A:$IV</definedName>
    <definedName name="_xlnm.Print_Area" localSheetId="16">'Feb 05'!$A$1:$G$66</definedName>
    <definedName name="_xlnm.Print_Area" localSheetId="28">'Feb 06'!$A$1:$G$66</definedName>
    <definedName name="_xlnm.Print_Area" localSheetId="3">'Jan 04'!$A:$IV</definedName>
    <definedName name="_xlnm.Print_Area" localSheetId="15">'Jan 05'!$A$1:$G$67</definedName>
    <definedName name="_xlnm.Print_Area" localSheetId="27">'Jan 06'!$A$1:$G$67</definedName>
    <definedName name="_xlnm.Print_Area" localSheetId="21">'Jul 05'!$A$1:$G$67</definedName>
    <definedName name="_xlnm.Print_Area" localSheetId="9">'July 04'!$A:$IV</definedName>
    <definedName name="_xlnm.Print_Area" localSheetId="8">'June 04'!$A:$IV</definedName>
    <definedName name="_xlnm.Print_Area" localSheetId="5">'March 04'!$A:$IV</definedName>
    <definedName name="_xlnm.Print_Area" localSheetId="7">'May 04'!$A:$IV</definedName>
    <definedName name="_xlnm.Print_Area" localSheetId="19">'May 05'!$A$1:$G$66</definedName>
    <definedName name="_xlnm.Print_Area" localSheetId="1">'Nov 03'!$A:$IV</definedName>
    <definedName name="_xlnm.Print_Area" localSheetId="13">'Nov 04'!$A$1:$G$68</definedName>
    <definedName name="_xlnm.Print_Area" localSheetId="37">'Nov 06'!$A$1:$G$67</definedName>
    <definedName name="_xlnm.Print_Area" localSheetId="0">'Oct 03'!$A:$IV</definedName>
    <definedName name="_xlnm.Print_Area" localSheetId="12">'Oct 04'!$A:$IV</definedName>
    <definedName name="_xlnm.Print_Area" localSheetId="24">'Oct 05'!$A$1:$G$66</definedName>
    <definedName name="_xlnm.Print_Area" localSheetId="11">'Sep 04'!$A$1:$G$67</definedName>
  </definedNames>
  <calcPr fullCalcOnLoad="1"/>
</workbook>
</file>

<file path=xl/sharedStrings.xml><?xml version="1.0" encoding="utf-8"?>
<sst xmlns="http://schemas.openxmlformats.org/spreadsheetml/2006/main" count="2126" uniqueCount="56">
  <si>
    <t>Interest Payment Date Prepared :</t>
  </si>
  <si>
    <t>Notes Outstanding</t>
  </si>
  <si>
    <t>Note Class</t>
  </si>
  <si>
    <t>Outstanding FRN</t>
  </si>
  <si>
    <t>Pool Factor</t>
  </si>
  <si>
    <t>B</t>
  </si>
  <si>
    <t>Drawings / Repayments on Liquidity</t>
  </si>
  <si>
    <t>Reserve Fund Balance</t>
  </si>
  <si>
    <t>Principal Deficiency Ledger Balance</t>
  </si>
  <si>
    <t>Further Advances - this period</t>
  </si>
  <si>
    <t>Arrears Band</t>
  </si>
  <si>
    <t>Outstanding Balance of Mortgages</t>
  </si>
  <si>
    <t>Number of Mortgages</t>
  </si>
  <si>
    <t>Current</t>
  </si>
  <si>
    <t>MIG Payments Received</t>
  </si>
  <si>
    <t>MIG Claims Outstanding</t>
  </si>
  <si>
    <t>Authorised Signatory</t>
  </si>
  <si>
    <t>Note Rate LIBOR</t>
  </si>
  <si>
    <t>Interest Payment</t>
  </si>
  <si>
    <t>Realised Loss</t>
  </si>
  <si>
    <t>Balances Of Mortgages Outstanding</t>
  </si>
  <si>
    <t xml:space="preserve">Number </t>
  </si>
  <si>
    <t>Value</t>
  </si>
  <si>
    <t>Properties Sold (Balance At Sale)</t>
  </si>
  <si>
    <t>Sale Proceeds</t>
  </si>
  <si>
    <t>Further Recovery (Amount)</t>
  </si>
  <si>
    <t>Surplus/(Loss)</t>
  </si>
  <si>
    <t>Total Recovery as a Percentage of Balance</t>
  </si>
  <si>
    <t>Cumulative Market Value Decline</t>
  </si>
  <si>
    <t>Number</t>
  </si>
  <si>
    <t>Litigation</t>
  </si>
  <si>
    <t>Margin bps</t>
  </si>
  <si>
    <t>Principal Repayment</t>
  </si>
  <si>
    <t>First Flexible No.1 PLC Monthly Analysis</t>
  </si>
  <si>
    <t>A</t>
  </si>
  <si>
    <t>Redraw Facility Outstanding</t>
  </si>
  <si>
    <t>Reserve Fund Required Amount</t>
  </si>
  <si>
    <t>Redraw Fund Balance</t>
  </si>
  <si>
    <t>Increase / Decrease to Redraw Fund</t>
  </si>
  <si>
    <t>Redraw Fund Required Amount</t>
  </si>
  <si>
    <t>Gross Excess Spread</t>
  </si>
  <si>
    <t xml:space="preserve">Further Advances - cumulative </t>
  </si>
  <si>
    <t>Further/Substitute Mortgages - cumulative</t>
  </si>
  <si>
    <t>Portfolio Split</t>
  </si>
  <si>
    <t>Over 1 month - 2 months</t>
  </si>
  <si>
    <t>Over 2 months - 3 months</t>
  </si>
  <si>
    <t>Over 3 months</t>
  </si>
  <si>
    <t>Possession</t>
  </si>
  <si>
    <t>Cumulative</t>
  </si>
  <si>
    <t>Cumulative Average Sale Period (months)</t>
  </si>
  <si>
    <t>Annualised Repayment Rate</t>
  </si>
  <si>
    <t xml:space="preserve"> </t>
  </si>
  <si>
    <t>Increase / (Decrease) to Reserve Fund</t>
  </si>
  <si>
    <t>Additional Release from Reserves to margin</t>
  </si>
  <si>
    <t>Mortgage Trust Services plc</t>
  </si>
  <si>
    <t>Mortgage Trust Services Plc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</si>
</sst>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&quot;£&quot;#,##0;&quot;£&quot;\-#,##0"/>
    <numFmt numFmtId="173" formatCode="&quot;£&quot;#,##0;[Red]&quot;£&quot;\-#,##0"/>
    <numFmt numFmtId="174" formatCode="&quot;£&quot;#,##0.00;&quot;£&quot;\-#,##0.00"/>
    <numFmt numFmtId="175" formatCode="&quot;£&quot;#,##0.00;[Red]&quot;£&quot;\-#,##0.00"/>
    <numFmt numFmtId="176" formatCode="_ &quot;£&quot;* #,##0_ ;_ &quot;£&quot;* \-#,##0_ ;_ &quot;£&quot;* &quot;-&quot;_ ;_ @_ "/>
    <numFmt numFmtId="177" formatCode="_ * #,##0_ ;_ * \-#,##0_ ;_ * &quot;-&quot;_ ;_ @_ "/>
    <numFmt numFmtId="178" formatCode="_ &quot;£&quot;* #,##0.00_ ;_ &quot;£&quot;* \-#,##0.00_ ;_ &quot;£&quot;* &quot;-&quot;??_ ;_ @_ "/>
    <numFmt numFmtId="179" formatCode="_ * #,##0.00_ ;_ * \-#,##0.00_ ;_ * &quot;-&quot;??_ ;_ @_ 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0.000%"/>
    <numFmt numFmtId="183" formatCode="0.0000%"/>
    <numFmt numFmtId="184" formatCode="0.00000%"/>
    <numFmt numFmtId="185" formatCode="0.000000"/>
    <numFmt numFmtId="186" formatCode="0.0000000"/>
    <numFmt numFmtId="187" formatCode="0.0000000%"/>
    <numFmt numFmtId="188" formatCode="0.0%"/>
    <numFmt numFmtId="189" formatCode="#,##0_ ;\-#,##0\ "/>
    <numFmt numFmtId="190" formatCode="#,##0;\(#,##0\)"/>
    <numFmt numFmtId="191" formatCode="&quot;£&quot;#,##0;\(&quot;£&quot;#,##0\)"/>
  </numFmts>
  <fonts count="12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b/>
      <u val="single"/>
      <sz val="14"/>
      <color indexed="62"/>
      <name val="Times New Roman"/>
      <family val="1"/>
    </font>
    <font>
      <sz val="12"/>
      <color indexed="62"/>
      <name val="Times New Roman"/>
      <family val="1"/>
    </font>
    <font>
      <b/>
      <sz val="12"/>
      <color indexed="49"/>
      <name val="Times New Roman"/>
      <family val="1"/>
    </font>
    <font>
      <sz val="12"/>
      <color indexed="49"/>
      <name val="Times New Roman"/>
      <family val="1"/>
    </font>
    <font>
      <sz val="12"/>
      <color indexed="12"/>
      <name val="Times New Roman"/>
      <family val="1"/>
    </font>
    <font>
      <sz val="8"/>
      <name val="Times New Roman"/>
      <family val="0"/>
    </font>
    <font>
      <sz val="12"/>
      <color indexed="48"/>
      <name val="Times New Roman"/>
      <family val="1"/>
    </font>
    <font>
      <sz val="12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4" fillId="2" borderId="0" xfId="0" applyFont="1" applyFill="1" applyAlignment="1" quotePrefix="1">
      <alignment horizontal="left"/>
    </xf>
    <xf numFmtId="0" fontId="5" fillId="2" borderId="0" xfId="0" applyFont="1" applyFill="1" applyAlignment="1">
      <alignment/>
    </xf>
    <xf numFmtId="15" fontId="5" fillId="2" borderId="0" xfId="0" applyNumberFormat="1" applyFont="1" applyFill="1" applyAlignment="1">
      <alignment/>
    </xf>
    <xf numFmtId="184" fontId="5" fillId="2" borderId="0" xfId="0" applyNumberFormat="1" applyFont="1" applyFill="1" applyAlignment="1">
      <alignment/>
    </xf>
    <xf numFmtId="0" fontId="5" fillId="2" borderId="0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2" xfId="0" applyFont="1" applyFill="1" applyBorder="1" applyAlignment="1">
      <alignment horizontal="center"/>
    </xf>
    <xf numFmtId="5" fontId="5" fillId="2" borderId="2" xfId="0" applyNumberFormat="1" applyFont="1" applyFill="1" applyBorder="1" applyAlignment="1">
      <alignment horizontal="center"/>
    </xf>
    <xf numFmtId="186" fontId="5" fillId="2" borderId="3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5" xfId="0" applyFont="1" applyFill="1" applyBorder="1" applyAlignment="1">
      <alignment horizontal="center"/>
    </xf>
    <xf numFmtId="5" fontId="5" fillId="2" borderId="6" xfId="0" applyNumberFormat="1" applyFont="1" applyFill="1" applyBorder="1" applyAlignment="1">
      <alignment horizontal="center"/>
    </xf>
    <xf numFmtId="5" fontId="5" fillId="2" borderId="7" xfId="0" applyNumberFormat="1" applyFont="1" applyFill="1" applyBorder="1" applyAlignment="1">
      <alignment horizontal="center"/>
    </xf>
    <xf numFmtId="186" fontId="5" fillId="2" borderId="8" xfId="0" applyNumberFormat="1" applyFont="1" applyFill="1" applyBorder="1" applyAlignment="1">
      <alignment horizontal="center"/>
    </xf>
    <xf numFmtId="0" fontId="5" fillId="2" borderId="9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5" fillId="2" borderId="10" xfId="0" applyFont="1" applyFill="1" applyBorder="1" applyAlignment="1">
      <alignment horizontal="center"/>
    </xf>
    <xf numFmtId="5" fontId="5" fillId="2" borderId="0" xfId="0" applyNumberFormat="1" applyFont="1" applyFill="1" applyAlignment="1">
      <alignment/>
    </xf>
    <xf numFmtId="0" fontId="5" fillId="2" borderId="0" xfId="0" applyFont="1" applyFill="1" applyAlignment="1">
      <alignment horizontal="right"/>
    </xf>
    <xf numFmtId="5" fontId="5" fillId="2" borderId="0" xfId="0" applyNumberFormat="1" applyFont="1" applyFill="1" applyAlignment="1">
      <alignment horizontal="right"/>
    </xf>
    <xf numFmtId="2" fontId="5" fillId="2" borderId="0" xfId="0" applyNumberFormat="1" applyFont="1" applyFill="1" applyAlignment="1">
      <alignment horizontal="right"/>
    </xf>
    <xf numFmtId="10" fontId="5" fillId="2" borderId="0" xfId="0" applyNumberFormat="1" applyFont="1" applyFill="1" applyAlignment="1">
      <alignment horizontal="right"/>
    </xf>
    <xf numFmtId="0" fontId="5" fillId="2" borderId="11" xfId="0" applyFont="1" applyFill="1" applyBorder="1" applyAlignment="1">
      <alignment/>
    </xf>
    <xf numFmtId="5" fontId="5" fillId="2" borderId="2" xfId="0" applyNumberFormat="1" applyFont="1" applyFill="1" applyBorder="1" applyAlignment="1">
      <alignment/>
    </xf>
    <xf numFmtId="3" fontId="5" fillId="2" borderId="2" xfId="0" applyNumberFormat="1" applyFont="1" applyFill="1" applyBorder="1" applyAlignment="1">
      <alignment/>
    </xf>
    <xf numFmtId="3" fontId="5" fillId="2" borderId="4" xfId="0" applyNumberFormat="1" applyFont="1" applyFill="1" applyBorder="1" applyAlignment="1">
      <alignment/>
    </xf>
    <xf numFmtId="0" fontId="5" fillId="2" borderId="4" xfId="0" applyFont="1" applyFill="1" applyBorder="1" applyAlignment="1" quotePrefix="1">
      <alignment horizontal="left"/>
    </xf>
    <xf numFmtId="5" fontId="5" fillId="2" borderId="5" xfId="0" applyNumberFormat="1" applyFont="1" applyFill="1" applyBorder="1" applyAlignment="1">
      <alignment/>
    </xf>
    <xf numFmtId="3" fontId="5" fillId="2" borderId="5" xfId="0" applyNumberFormat="1" applyFont="1" applyFill="1" applyBorder="1" applyAlignment="1">
      <alignment/>
    </xf>
    <xf numFmtId="5" fontId="5" fillId="2" borderId="6" xfId="0" applyNumberFormat="1" applyFont="1" applyFill="1" applyBorder="1" applyAlignment="1">
      <alignment/>
    </xf>
    <xf numFmtId="3" fontId="5" fillId="2" borderId="7" xfId="0" applyNumberFormat="1" applyFont="1" applyFill="1" applyBorder="1" applyAlignment="1">
      <alignment/>
    </xf>
    <xf numFmtId="0" fontId="5" fillId="2" borderId="12" xfId="0" applyFont="1" applyFill="1" applyBorder="1" applyAlignment="1">
      <alignment/>
    </xf>
    <xf numFmtId="5" fontId="5" fillId="2" borderId="7" xfId="0" applyNumberFormat="1" applyFont="1" applyFill="1" applyBorder="1" applyAlignment="1">
      <alignment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 quotePrefix="1">
      <alignment horizontal="left"/>
    </xf>
    <xf numFmtId="190" fontId="5" fillId="2" borderId="0" xfId="0" applyNumberFormat="1" applyFont="1" applyFill="1" applyAlignment="1">
      <alignment horizontal="right"/>
    </xf>
    <xf numFmtId="10" fontId="5" fillId="2" borderId="0" xfId="19" applyNumberFormat="1" applyFont="1" applyFill="1" applyAlignment="1">
      <alignment horizontal="right"/>
    </xf>
    <xf numFmtId="189" fontId="5" fillId="2" borderId="0" xfId="0" applyNumberFormat="1" applyFont="1" applyFill="1" applyAlignment="1">
      <alignment horizontal="right"/>
    </xf>
    <xf numFmtId="0" fontId="6" fillId="2" borderId="1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7" fillId="2" borderId="0" xfId="0" applyFont="1" applyFill="1" applyAlignment="1">
      <alignment/>
    </xf>
    <xf numFmtId="0" fontId="6" fillId="2" borderId="11" xfId="0" applyFont="1" applyFill="1" applyBorder="1" applyAlignment="1">
      <alignment/>
    </xf>
    <xf numFmtId="0" fontId="6" fillId="2" borderId="2" xfId="0" applyFont="1" applyFill="1" applyBorder="1" applyAlignment="1" quotePrefix="1">
      <alignment horizontal="left" wrapText="1"/>
    </xf>
    <xf numFmtId="5" fontId="6" fillId="2" borderId="2" xfId="0" applyNumberFormat="1" applyFont="1" applyFill="1" applyBorder="1" applyAlignment="1">
      <alignment horizontal="left" wrapText="1"/>
    </xf>
    <xf numFmtId="5" fontId="6" fillId="2" borderId="4" xfId="0" applyNumberFormat="1" applyFont="1" applyFill="1" applyBorder="1" applyAlignment="1">
      <alignment horizontal="left" wrapText="1"/>
    </xf>
    <xf numFmtId="15" fontId="8" fillId="2" borderId="0" xfId="0" applyNumberFormat="1" applyFont="1" applyFill="1" applyAlignment="1">
      <alignment/>
    </xf>
    <xf numFmtId="184" fontId="8" fillId="2" borderId="0" xfId="0" applyNumberFormat="1" applyFont="1" applyFill="1" applyAlignment="1">
      <alignment/>
    </xf>
    <xf numFmtId="5" fontId="8" fillId="2" borderId="2" xfId="0" applyNumberFormat="1" applyFont="1" applyFill="1" applyBorder="1" applyAlignment="1">
      <alignment horizontal="center"/>
    </xf>
    <xf numFmtId="5" fontId="8" fillId="2" borderId="7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right"/>
    </xf>
    <xf numFmtId="5" fontId="8" fillId="2" borderId="0" xfId="0" applyNumberFormat="1" applyFont="1" applyFill="1" applyAlignment="1">
      <alignment horizontal="right"/>
    </xf>
    <xf numFmtId="10" fontId="8" fillId="2" borderId="0" xfId="0" applyNumberFormat="1" applyFont="1" applyFill="1" applyAlignment="1">
      <alignment horizontal="right"/>
    </xf>
    <xf numFmtId="5" fontId="8" fillId="2" borderId="2" xfId="0" applyNumberFormat="1" applyFont="1" applyFill="1" applyBorder="1" applyAlignment="1">
      <alignment/>
    </xf>
    <xf numFmtId="3" fontId="8" fillId="2" borderId="2" xfId="0" applyNumberFormat="1" applyFont="1" applyFill="1" applyBorder="1" applyAlignment="1">
      <alignment/>
    </xf>
    <xf numFmtId="5" fontId="8" fillId="2" borderId="5" xfId="0" applyNumberFormat="1" applyFont="1" applyFill="1" applyBorder="1" applyAlignment="1">
      <alignment/>
    </xf>
    <xf numFmtId="3" fontId="8" fillId="2" borderId="5" xfId="0" applyNumberFormat="1" applyFont="1" applyFill="1" applyBorder="1" applyAlignment="1">
      <alignment/>
    </xf>
    <xf numFmtId="5" fontId="8" fillId="2" borderId="6" xfId="0" applyNumberFormat="1" applyFont="1" applyFill="1" applyBorder="1" applyAlignment="1">
      <alignment/>
    </xf>
    <xf numFmtId="3" fontId="8" fillId="2" borderId="7" xfId="0" applyNumberFormat="1" applyFont="1" applyFill="1" applyBorder="1" applyAlignment="1">
      <alignment/>
    </xf>
    <xf numFmtId="5" fontId="8" fillId="2" borderId="0" xfId="0" applyNumberFormat="1" applyFont="1" applyFill="1" applyAlignment="1">
      <alignment/>
    </xf>
    <xf numFmtId="10" fontId="10" fillId="2" borderId="0" xfId="0" applyNumberFormat="1" applyFont="1" applyFill="1" applyAlignment="1">
      <alignment horizontal="right"/>
    </xf>
    <xf numFmtId="5" fontId="10" fillId="2" borderId="0" xfId="0" applyNumberFormat="1" applyFont="1" applyFill="1" applyAlignment="1">
      <alignment/>
    </xf>
    <xf numFmtId="5" fontId="11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76200</xdr:rowOff>
    </xdr:from>
    <xdr:to>
      <xdr:col>1</xdr:col>
      <xdr:colOff>228600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800100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76200</xdr:rowOff>
    </xdr:from>
    <xdr:to>
      <xdr:col>1</xdr:col>
      <xdr:colOff>209550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6200"/>
          <a:ext cx="800100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180975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800100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1</xdr:col>
      <xdr:colOff>209550</xdr:colOff>
      <xdr:row>1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800100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66675</xdr:rowOff>
    </xdr:from>
    <xdr:to>
      <xdr:col>1</xdr:col>
      <xdr:colOff>200025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800100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66675</xdr:rowOff>
    </xdr:from>
    <xdr:to>
      <xdr:col>1</xdr:col>
      <xdr:colOff>200025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800100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66675</xdr:rowOff>
    </xdr:from>
    <xdr:to>
      <xdr:col>1</xdr:col>
      <xdr:colOff>200025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800100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66675</xdr:rowOff>
    </xdr:from>
    <xdr:to>
      <xdr:col>1</xdr:col>
      <xdr:colOff>200025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800100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66675</xdr:rowOff>
    </xdr:from>
    <xdr:to>
      <xdr:col>1</xdr:col>
      <xdr:colOff>200025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800100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66675</xdr:rowOff>
    </xdr:from>
    <xdr:to>
      <xdr:col>1</xdr:col>
      <xdr:colOff>200025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800100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66675</xdr:rowOff>
    </xdr:from>
    <xdr:to>
      <xdr:col>1</xdr:col>
      <xdr:colOff>200025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800100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76200</xdr:rowOff>
    </xdr:from>
    <xdr:to>
      <xdr:col>1</xdr:col>
      <xdr:colOff>228600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800100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66675</xdr:rowOff>
    </xdr:from>
    <xdr:to>
      <xdr:col>1</xdr:col>
      <xdr:colOff>200025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800100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66675</xdr:rowOff>
    </xdr:from>
    <xdr:to>
      <xdr:col>1</xdr:col>
      <xdr:colOff>200025</xdr:colOff>
      <xdr:row>1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800100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66675</xdr:rowOff>
    </xdr:from>
    <xdr:to>
      <xdr:col>1</xdr:col>
      <xdr:colOff>200025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800100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66675</xdr:rowOff>
    </xdr:from>
    <xdr:to>
      <xdr:col>1</xdr:col>
      <xdr:colOff>200025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800100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66675</xdr:rowOff>
    </xdr:from>
    <xdr:to>
      <xdr:col>1</xdr:col>
      <xdr:colOff>200025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800100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66675</xdr:rowOff>
    </xdr:from>
    <xdr:to>
      <xdr:col>1</xdr:col>
      <xdr:colOff>200025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800100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66675</xdr:rowOff>
    </xdr:from>
    <xdr:to>
      <xdr:col>1</xdr:col>
      <xdr:colOff>200025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800100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57150</xdr:rowOff>
    </xdr:from>
    <xdr:to>
      <xdr:col>1</xdr:col>
      <xdr:colOff>200025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800100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66675</xdr:rowOff>
    </xdr:from>
    <xdr:to>
      <xdr:col>1</xdr:col>
      <xdr:colOff>200025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800100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66675</xdr:rowOff>
    </xdr:from>
    <xdr:to>
      <xdr:col>1</xdr:col>
      <xdr:colOff>200025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800100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66675</xdr:rowOff>
    </xdr:from>
    <xdr:to>
      <xdr:col>1</xdr:col>
      <xdr:colOff>228600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800100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66675</xdr:rowOff>
    </xdr:from>
    <xdr:to>
      <xdr:col>1</xdr:col>
      <xdr:colOff>200025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800100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66675</xdr:rowOff>
    </xdr:from>
    <xdr:to>
      <xdr:col>1</xdr:col>
      <xdr:colOff>266700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6675"/>
          <a:ext cx="800100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85725</xdr:rowOff>
    </xdr:from>
    <xdr:to>
      <xdr:col>1</xdr:col>
      <xdr:colOff>285750</xdr:colOff>
      <xdr:row>1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800100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66675</xdr:rowOff>
    </xdr:from>
    <xdr:to>
      <xdr:col>1</xdr:col>
      <xdr:colOff>266700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6675"/>
          <a:ext cx="800100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66675</xdr:rowOff>
    </xdr:from>
    <xdr:to>
      <xdr:col>1</xdr:col>
      <xdr:colOff>266700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6675"/>
          <a:ext cx="800100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66675</xdr:rowOff>
    </xdr:from>
    <xdr:to>
      <xdr:col>1</xdr:col>
      <xdr:colOff>266700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6675"/>
          <a:ext cx="800100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66675</xdr:rowOff>
    </xdr:from>
    <xdr:to>
      <xdr:col>1</xdr:col>
      <xdr:colOff>266700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6675"/>
          <a:ext cx="800100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66675</xdr:rowOff>
    </xdr:from>
    <xdr:to>
      <xdr:col>1</xdr:col>
      <xdr:colOff>266700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6675"/>
          <a:ext cx="800100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66675</xdr:rowOff>
    </xdr:from>
    <xdr:to>
      <xdr:col>1</xdr:col>
      <xdr:colOff>266700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6675"/>
          <a:ext cx="800100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57150</xdr:rowOff>
    </xdr:from>
    <xdr:to>
      <xdr:col>1</xdr:col>
      <xdr:colOff>219075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7150"/>
          <a:ext cx="800100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95250</xdr:rowOff>
    </xdr:from>
    <xdr:to>
      <xdr:col>1</xdr:col>
      <xdr:colOff>209550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0"/>
          <a:ext cx="800100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104775</xdr:rowOff>
    </xdr:from>
    <xdr:to>
      <xdr:col>1</xdr:col>
      <xdr:colOff>209550</xdr:colOff>
      <xdr:row>1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800100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85725</xdr:rowOff>
    </xdr:from>
    <xdr:to>
      <xdr:col>1</xdr:col>
      <xdr:colOff>247650</xdr:colOff>
      <xdr:row>1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85725"/>
          <a:ext cx="800100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85725</xdr:rowOff>
    </xdr:from>
    <xdr:to>
      <xdr:col>1</xdr:col>
      <xdr:colOff>200025</xdr:colOff>
      <xdr:row>1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800100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57150</xdr:rowOff>
    </xdr:from>
    <xdr:to>
      <xdr:col>1</xdr:col>
      <xdr:colOff>209550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800100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workbookViewId="0" topLeftCell="A1">
      <selection activeCell="A1" sqref="A1"/>
    </sheetView>
  </sheetViews>
  <sheetFormatPr defaultColWidth="9.00390625" defaultRowHeight="15.75"/>
  <cols>
    <col min="1" max="1" width="9.00390625" style="2" customWidth="1"/>
    <col min="2" max="2" width="7.375" style="2" customWidth="1"/>
    <col min="3" max="3" width="11.875" style="2" customWidth="1"/>
    <col min="4" max="5" width="15.625" style="2" customWidth="1"/>
    <col min="6" max="6" width="12.375" style="2" customWidth="1"/>
    <col min="7" max="7" width="11.75390625" style="2" customWidth="1"/>
    <col min="8" max="16384" width="9.00390625" style="2" customWidth="1"/>
  </cols>
  <sheetData>
    <row r="1" spans="1:3" ht="18.75">
      <c r="A1" s="1"/>
      <c r="C1" s="1" t="s">
        <v>33</v>
      </c>
    </row>
    <row r="2" ht="15.75"/>
    <row r="4" spans="1:5" ht="15.75">
      <c r="A4" s="2" t="s">
        <v>0</v>
      </c>
      <c r="D4" s="3">
        <v>37894</v>
      </c>
      <c r="E4" s="3"/>
    </row>
    <row r="5" spans="1:8" ht="15.75">
      <c r="A5" s="2" t="s">
        <v>17</v>
      </c>
      <c r="D5" s="4">
        <v>0.0369375</v>
      </c>
      <c r="E5" s="3"/>
      <c r="H5" s="5"/>
    </row>
    <row r="6" ht="15.75">
      <c r="H6" s="5"/>
    </row>
    <row r="7" spans="1:8" ht="15.75">
      <c r="A7" s="2" t="s">
        <v>1</v>
      </c>
      <c r="H7" s="5"/>
    </row>
    <row r="8" spans="1:8" s="47" customFormat="1" ht="31.5">
      <c r="A8" s="41" t="s">
        <v>2</v>
      </c>
      <c r="B8" s="42"/>
      <c r="C8" s="43" t="s">
        <v>31</v>
      </c>
      <c r="D8" s="44" t="s">
        <v>3</v>
      </c>
      <c r="E8" s="44" t="s">
        <v>32</v>
      </c>
      <c r="F8" s="44" t="s">
        <v>18</v>
      </c>
      <c r="G8" s="45" t="s">
        <v>4</v>
      </c>
      <c r="H8" s="46"/>
    </row>
    <row r="9" spans="1:8" ht="15.75">
      <c r="A9" s="6" t="s">
        <v>34</v>
      </c>
      <c r="B9" s="7"/>
      <c r="C9" s="8">
        <v>31</v>
      </c>
      <c r="D9" s="9">
        <v>165589015.2</v>
      </c>
      <c r="E9" s="9">
        <v>5484948</v>
      </c>
      <c r="F9" s="9">
        <v>589536</v>
      </c>
      <c r="G9" s="10">
        <f>+D9/276000000</f>
        <v>0.5999601999999999</v>
      </c>
      <c r="H9" s="5"/>
    </row>
    <row r="10" spans="1:8" ht="15.75">
      <c r="A10" s="11" t="s">
        <v>5</v>
      </c>
      <c r="B10" s="12"/>
      <c r="C10" s="13">
        <v>85</v>
      </c>
      <c r="D10" s="14">
        <v>24000000</v>
      </c>
      <c r="E10" s="15">
        <v>0</v>
      </c>
      <c r="F10" s="15">
        <v>94068</v>
      </c>
      <c r="G10" s="16">
        <f>+D10/24000000</f>
        <v>1</v>
      </c>
      <c r="H10" s="5"/>
    </row>
    <row r="11" spans="1:8" ht="15.75">
      <c r="A11" s="17"/>
      <c r="B11" s="18"/>
      <c r="C11" s="18"/>
      <c r="D11" s="15">
        <f>SUM(D9:D10)</f>
        <v>189589015.2</v>
      </c>
      <c r="E11" s="15">
        <f>SUM(E9:E10)</f>
        <v>5484948</v>
      </c>
      <c r="F11" s="15">
        <f>SUM(F9:F10)</f>
        <v>683604</v>
      </c>
      <c r="G11" s="19"/>
      <c r="H11" s="5"/>
    </row>
    <row r="12" ht="15.75">
      <c r="H12" s="5"/>
    </row>
    <row r="13" spans="1:6" ht="15.75">
      <c r="A13" s="2" t="s">
        <v>35</v>
      </c>
      <c r="F13" s="20">
        <v>45000000</v>
      </c>
    </row>
    <row r="14" spans="1:6" ht="15.75">
      <c r="A14" s="2" t="s">
        <v>6</v>
      </c>
      <c r="F14" s="20">
        <v>0</v>
      </c>
    </row>
    <row r="15" ht="15.75">
      <c r="F15" s="20"/>
    </row>
    <row r="16" spans="1:6" ht="15.75">
      <c r="A16" s="2" t="s">
        <v>7</v>
      </c>
      <c r="F16" s="20">
        <v>6000000</v>
      </c>
    </row>
    <row r="17" spans="1:6" ht="15.75">
      <c r="A17" s="2" t="s">
        <v>52</v>
      </c>
      <c r="F17" s="20">
        <v>0</v>
      </c>
    </row>
    <row r="18" spans="1:6" ht="15.75">
      <c r="A18" s="2" t="s">
        <v>36</v>
      </c>
      <c r="F18" s="20">
        <v>6000000</v>
      </c>
    </row>
    <row r="19" ht="15.75">
      <c r="F19" s="20"/>
    </row>
    <row r="20" spans="1:6" ht="15.75">
      <c r="A20" s="2" t="s">
        <v>37</v>
      </c>
      <c r="F20" s="20">
        <v>500000</v>
      </c>
    </row>
    <row r="21" spans="1:6" ht="15.75">
      <c r="A21" s="2" t="s">
        <v>38</v>
      </c>
      <c r="F21" s="20">
        <v>0</v>
      </c>
    </row>
    <row r="22" spans="1:6" ht="15.75">
      <c r="A22" s="2" t="s">
        <v>39</v>
      </c>
      <c r="F22" s="20">
        <v>500000</v>
      </c>
    </row>
    <row r="23" ht="15.75">
      <c r="F23" s="20"/>
    </row>
    <row r="24" spans="1:6" ht="15.75">
      <c r="A24" s="2" t="s">
        <v>8</v>
      </c>
      <c r="F24" s="20">
        <v>0</v>
      </c>
    </row>
    <row r="25" spans="1:6" ht="15.75">
      <c r="A25" s="2" t="s">
        <v>19</v>
      </c>
      <c r="F25" s="20">
        <v>0</v>
      </c>
    </row>
    <row r="26" ht="15.75">
      <c r="F26" s="20"/>
    </row>
    <row r="27" spans="1:6" ht="15.75">
      <c r="A27" s="2" t="s">
        <v>40</v>
      </c>
      <c r="F27" s="20">
        <v>190339.21</v>
      </c>
    </row>
    <row r="28" spans="1:6" ht="15.75">
      <c r="A28" s="2" t="s">
        <v>53</v>
      </c>
      <c r="F28" s="20">
        <v>0</v>
      </c>
    </row>
    <row r="29" spans="1:6" ht="15.75">
      <c r="A29" s="2" t="s">
        <v>20</v>
      </c>
      <c r="F29" s="20">
        <f>D46</f>
        <v>186903842</v>
      </c>
    </row>
    <row r="30" ht="15.75">
      <c r="F30" s="20"/>
    </row>
    <row r="31" spans="5:6" ht="15.75">
      <c r="E31" s="21" t="s">
        <v>21</v>
      </c>
      <c r="F31" s="22" t="s">
        <v>22</v>
      </c>
    </row>
    <row r="32" spans="1:6" ht="15.75">
      <c r="A32" s="2" t="s">
        <v>41</v>
      </c>
      <c r="E32" s="21">
        <f>46</f>
        <v>46</v>
      </c>
      <c r="F32" s="22">
        <f>811190+65000+35000+59900+25000+30000+3000+2645813+20000+10000</f>
        <v>3704903</v>
      </c>
    </row>
    <row r="33" spans="1:6" ht="15.75">
      <c r="A33" s="2" t="s">
        <v>9</v>
      </c>
      <c r="E33" s="21">
        <v>0</v>
      </c>
      <c r="F33" s="22">
        <v>0</v>
      </c>
    </row>
    <row r="34" spans="1:6" ht="15.75">
      <c r="A34" s="2" t="s">
        <v>42</v>
      </c>
      <c r="E34" s="21">
        <f>861+44+88+59+95+77+116+82+134+73+113+31+115+83+98+36+42+29+106+54+81+113</f>
        <v>2530</v>
      </c>
      <c r="F34" s="22">
        <f>68606382+5894897.05+5544682.87+5709643+7641954+6749512.84+9802062+8604525+8201934.38+6644331.5+7905047+5727719.86+7143832.27+5703968.66+8164011+3279857.62+3708819+2645813+7667212+4699330.91+7405272.82+7315682.26</f>
        <v>204766491.04</v>
      </c>
    </row>
    <row r="35" spans="5:6" ht="15.75">
      <c r="E35" s="21"/>
      <c r="F35" s="22"/>
    </row>
    <row r="36" spans="1:6" ht="15.75">
      <c r="A36" s="2" t="s">
        <v>50</v>
      </c>
      <c r="E36" s="23"/>
      <c r="F36" s="24">
        <v>0.3319</v>
      </c>
    </row>
    <row r="37" spans="5:6" ht="15.75">
      <c r="E37" s="23"/>
      <c r="F37" s="20"/>
    </row>
    <row r="38" spans="1:6" ht="15.75">
      <c r="A38" s="2" t="s">
        <v>43</v>
      </c>
      <c r="F38" s="20"/>
    </row>
    <row r="39" spans="1:6" s="47" customFormat="1" ht="47.25">
      <c r="A39" s="41" t="s">
        <v>10</v>
      </c>
      <c r="B39" s="48"/>
      <c r="C39" s="42"/>
      <c r="D39" s="49" t="s">
        <v>11</v>
      </c>
      <c r="E39" s="50" t="s">
        <v>12</v>
      </c>
      <c r="F39" s="51"/>
    </row>
    <row r="40" spans="1:6" ht="15.75">
      <c r="A40" s="6" t="s">
        <v>13</v>
      </c>
      <c r="B40" s="25"/>
      <c r="C40" s="7"/>
      <c r="D40" s="26">
        <f>184820004-23016</f>
        <v>184796988</v>
      </c>
      <c r="E40" s="27">
        <v>3106</v>
      </c>
      <c r="F40" s="28"/>
    </row>
    <row r="41" spans="1:6" ht="15.75">
      <c r="A41" s="29" t="s">
        <v>44</v>
      </c>
      <c r="B41" s="5"/>
      <c r="C41" s="12"/>
      <c r="D41" s="30">
        <v>1149140</v>
      </c>
      <c r="E41" s="31">
        <v>11</v>
      </c>
      <c r="F41" s="28"/>
    </row>
    <row r="42" spans="1:6" ht="15.75">
      <c r="A42" s="29" t="s">
        <v>45</v>
      </c>
      <c r="B42" s="5"/>
      <c r="C42" s="12"/>
      <c r="D42" s="30">
        <v>259554</v>
      </c>
      <c r="E42" s="31">
        <v>4</v>
      </c>
      <c r="F42" s="28" t="s">
        <v>51</v>
      </c>
    </row>
    <row r="43" spans="1:6" ht="15.75">
      <c r="A43" s="11" t="s">
        <v>46</v>
      </c>
      <c r="B43" s="5"/>
      <c r="C43" s="12"/>
      <c r="D43" s="30">
        <v>515006</v>
      </c>
      <c r="E43" s="31">
        <v>7</v>
      </c>
      <c r="F43" s="28"/>
    </row>
    <row r="44" spans="1:6" ht="15.75">
      <c r="A44" s="11" t="s">
        <v>30</v>
      </c>
      <c r="B44" s="5"/>
      <c r="C44" s="12"/>
      <c r="D44" s="30">
        <v>128926</v>
      </c>
      <c r="E44" s="31">
        <v>1</v>
      </c>
      <c r="F44" s="28"/>
    </row>
    <row r="45" spans="1:6" ht="15.75">
      <c r="A45" s="11" t="s">
        <v>47</v>
      </c>
      <c r="B45" s="5"/>
      <c r="C45" s="12"/>
      <c r="D45" s="32">
        <v>54228</v>
      </c>
      <c r="E45" s="33">
        <v>1</v>
      </c>
      <c r="F45" s="28"/>
    </row>
    <row r="46" spans="1:6" ht="15.75">
      <c r="A46" s="17"/>
      <c r="B46" s="34"/>
      <c r="C46" s="18"/>
      <c r="D46" s="35">
        <f>SUM(D40:D45)</f>
        <v>186903842</v>
      </c>
      <c r="E46" s="33">
        <f>SUM(E40:E45)</f>
        <v>3130</v>
      </c>
      <c r="F46" s="28"/>
    </row>
    <row r="47" ht="15.75">
      <c r="F47" s="20"/>
    </row>
    <row r="48" spans="1:6" ht="15.75">
      <c r="A48" s="36" t="s">
        <v>48</v>
      </c>
      <c r="E48" s="21" t="s">
        <v>29</v>
      </c>
      <c r="F48" s="21" t="s">
        <v>22</v>
      </c>
    </row>
    <row r="49" spans="5:6" ht="15.75">
      <c r="E49" s="21"/>
      <c r="F49" s="22"/>
    </row>
    <row r="50" spans="1:6" ht="15.75">
      <c r="A50" s="37" t="s">
        <v>23</v>
      </c>
      <c r="E50" s="21">
        <v>0</v>
      </c>
      <c r="F50" s="22">
        <v>0</v>
      </c>
    </row>
    <row r="51" spans="1:6" ht="15.75">
      <c r="A51" s="36" t="s">
        <v>24</v>
      </c>
      <c r="E51" s="21">
        <v>0</v>
      </c>
      <c r="F51" s="22">
        <v>0</v>
      </c>
    </row>
    <row r="52" spans="1:6" ht="15.75">
      <c r="A52" s="2" t="s">
        <v>14</v>
      </c>
      <c r="E52" s="21">
        <v>0</v>
      </c>
      <c r="F52" s="22">
        <v>0</v>
      </c>
    </row>
    <row r="53" spans="1:6" ht="15.75">
      <c r="A53" s="36" t="s">
        <v>25</v>
      </c>
      <c r="E53" s="21"/>
      <c r="F53" s="22">
        <f>F50-F54-F51-F52</f>
        <v>0</v>
      </c>
    </row>
    <row r="54" spans="1:6" ht="15.75">
      <c r="A54" s="2" t="s">
        <v>26</v>
      </c>
      <c r="E54" s="21"/>
      <c r="F54" s="38">
        <v>0</v>
      </c>
    </row>
    <row r="55" spans="5:6" ht="15.75">
      <c r="E55" s="21"/>
      <c r="F55" s="22"/>
    </row>
    <row r="56" spans="1:6" ht="15.75">
      <c r="A56" s="2" t="s">
        <v>27</v>
      </c>
      <c r="E56" s="21"/>
      <c r="F56" s="39">
        <v>0</v>
      </c>
    </row>
    <row r="57" spans="1:6" ht="15.75">
      <c r="A57" s="2" t="s">
        <v>15</v>
      </c>
      <c r="E57" s="21"/>
      <c r="F57" s="22">
        <v>0</v>
      </c>
    </row>
    <row r="58" spans="5:6" ht="15.75">
      <c r="E58" s="21"/>
      <c r="F58" s="22"/>
    </row>
    <row r="59" spans="1:6" ht="15.75">
      <c r="A59" s="2" t="s">
        <v>28</v>
      </c>
      <c r="E59" s="21"/>
      <c r="F59" s="39">
        <v>0</v>
      </c>
    </row>
    <row r="60" spans="1:6" ht="15.75">
      <c r="A60" s="2" t="s">
        <v>49</v>
      </c>
      <c r="E60" s="21"/>
      <c r="F60" s="40">
        <v>0</v>
      </c>
    </row>
    <row r="61" spans="5:6" ht="15.75">
      <c r="E61" s="21"/>
      <c r="F61" s="22"/>
    </row>
    <row r="62" ht="15.75">
      <c r="F62" s="20"/>
    </row>
    <row r="63" ht="15.75">
      <c r="F63" s="20"/>
    </row>
    <row r="64" ht="15.75">
      <c r="F64" s="20"/>
    </row>
    <row r="65" spans="1:6" ht="15.75">
      <c r="A65" s="25" t="s">
        <v>16</v>
      </c>
      <c r="B65" s="25"/>
      <c r="C65" s="25"/>
      <c r="F65" s="20"/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6"/>
  <sheetViews>
    <sheetView workbookViewId="0" topLeftCell="A1">
      <selection activeCell="A1" sqref="A1"/>
    </sheetView>
  </sheetViews>
  <sheetFormatPr defaultColWidth="9.00390625" defaultRowHeight="15.75"/>
  <cols>
    <col min="1" max="1" width="9.00390625" style="2" customWidth="1"/>
    <col min="2" max="2" width="7.375" style="2" customWidth="1"/>
    <col min="3" max="3" width="11.875" style="2" customWidth="1"/>
    <col min="4" max="5" width="15.625" style="2" customWidth="1"/>
    <col min="6" max="6" width="12.375" style="2" customWidth="1"/>
    <col min="7" max="7" width="11.75390625" style="2" customWidth="1"/>
    <col min="8" max="16384" width="9.00390625" style="2" customWidth="1"/>
  </cols>
  <sheetData>
    <row r="1" spans="1:3" ht="18.75">
      <c r="A1" s="1"/>
      <c r="C1" s="1" t="s">
        <v>33</v>
      </c>
    </row>
    <row r="2" ht="15.75"/>
    <row r="4" spans="1:5" ht="15.75">
      <c r="A4" s="2" t="s">
        <v>0</v>
      </c>
      <c r="D4" s="3">
        <v>38168</v>
      </c>
      <c r="E4" s="3"/>
    </row>
    <row r="5" spans="1:8" ht="15.75">
      <c r="A5" s="2" t="s">
        <v>17</v>
      </c>
      <c r="D5" s="4">
        <v>0.04625</v>
      </c>
      <c r="E5" s="3"/>
      <c r="H5" s="5"/>
    </row>
    <row r="6" ht="15.75">
      <c r="H6" s="5"/>
    </row>
    <row r="7" spans="1:8" ht="15.75">
      <c r="A7" s="2" t="s">
        <v>1</v>
      </c>
      <c r="H7" s="5"/>
    </row>
    <row r="8" spans="1:8" s="47" customFormat="1" ht="31.5">
      <c r="A8" s="41" t="s">
        <v>2</v>
      </c>
      <c r="B8" s="42"/>
      <c r="C8" s="43" t="s">
        <v>31</v>
      </c>
      <c r="D8" s="44" t="s">
        <v>3</v>
      </c>
      <c r="E8" s="44" t="s">
        <v>32</v>
      </c>
      <c r="F8" s="44" t="s">
        <v>18</v>
      </c>
      <c r="G8" s="45" t="s">
        <v>4</v>
      </c>
      <c r="H8" s="46"/>
    </row>
    <row r="9" spans="1:8" ht="15.75">
      <c r="A9" s="6" t="s">
        <v>34</v>
      </c>
      <c r="B9" s="7"/>
      <c r="C9" s="8">
        <v>31</v>
      </c>
      <c r="D9" s="9">
        <v>115747003</v>
      </c>
      <c r="E9" s="9">
        <v>4365989</v>
      </c>
      <c r="F9" s="9">
        <v>517113.6</v>
      </c>
      <c r="G9" s="10">
        <f>+D9/276000000</f>
        <v>0.4193731992753623</v>
      </c>
      <c r="H9" s="5"/>
    </row>
    <row r="10" spans="1:8" ht="15.75">
      <c r="A10" s="11" t="s">
        <v>5</v>
      </c>
      <c r="B10" s="12"/>
      <c r="C10" s="13">
        <v>85</v>
      </c>
      <c r="D10" s="14">
        <v>24000000</v>
      </c>
      <c r="E10" s="15">
        <v>0</v>
      </c>
      <c r="F10" s="15">
        <v>115012.8</v>
      </c>
      <c r="G10" s="16">
        <f>+D10/24000000</f>
        <v>1</v>
      </c>
      <c r="H10" s="5"/>
    </row>
    <row r="11" spans="1:8" ht="15.75">
      <c r="A11" s="17"/>
      <c r="B11" s="18"/>
      <c r="C11" s="18"/>
      <c r="D11" s="15">
        <f>SUM(D9:D10)</f>
        <v>139747003</v>
      </c>
      <c r="E11" s="15">
        <f>SUM(E9:E10)</f>
        <v>4365989</v>
      </c>
      <c r="F11" s="15">
        <f>SUM(F9:F10)</f>
        <v>632126.4</v>
      </c>
      <c r="G11" s="19"/>
      <c r="H11" s="5"/>
    </row>
    <row r="12" ht="15.75">
      <c r="H12" s="5"/>
    </row>
    <row r="13" spans="1:6" ht="15.75">
      <c r="A13" s="2" t="s">
        <v>35</v>
      </c>
      <c r="F13" s="20">
        <v>45000000</v>
      </c>
    </row>
    <row r="14" spans="1:6" ht="15.75">
      <c r="A14" s="2" t="s">
        <v>6</v>
      </c>
      <c r="F14" s="20">
        <v>0</v>
      </c>
    </row>
    <row r="15" ht="15.75">
      <c r="F15" s="20"/>
    </row>
    <row r="16" spans="1:6" ht="15.75">
      <c r="A16" s="2" t="s">
        <v>7</v>
      </c>
      <c r="F16" s="20">
        <v>6000000</v>
      </c>
    </row>
    <row r="17" spans="1:6" ht="15.75">
      <c r="A17" s="2" t="s">
        <v>52</v>
      </c>
      <c r="F17" s="20">
        <v>0</v>
      </c>
    </row>
    <row r="18" spans="1:6" ht="15.75">
      <c r="A18" s="2" t="s">
        <v>36</v>
      </c>
      <c r="F18" s="20">
        <v>6000000</v>
      </c>
    </row>
    <row r="19" ht="15.75">
      <c r="F19" s="20"/>
    </row>
    <row r="20" spans="1:6" ht="15.75">
      <c r="A20" s="2" t="s">
        <v>37</v>
      </c>
      <c r="F20" s="20">
        <v>500000</v>
      </c>
    </row>
    <row r="21" spans="1:6" ht="15.75">
      <c r="A21" s="2" t="s">
        <v>38</v>
      </c>
      <c r="F21" s="20">
        <v>0</v>
      </c>
    </row>
    <row r="22" spans="1:6" ht="15.75">
      <c r="A22" s="2" t="s">
        <v>39</v>
      </c>
      <c r="F22" s="20">
        <v>500000</v>
      </c>
    </row>
    <row r="23" ht="15.75">
      <c r="F23" s="20"/>
    </row>
    <row r="24" spans="1:6" ht="15.75">
      <c r="A24" s="2" t="s">
        <v>8</v>
      </c>
      <c r="F24" s="20">
        <v>0</v>
      </c>
    </row>
    <row r="25" spans="1:6" ht="15.75">
      <c r="A25" s="2" t="s">
        <v>19</v>
      </c>
      <c r="F25" s="20">
        <v>0</v>
      </c>
    </row>
    <row r="26" ht="15.75">
      <c r="F26" s="20"/>
    </row>
    <row r="27" spans="1:6" ht="15.75">
      <c r="A27" s="2" t="s">
        <v>40</v>
      </c>
      <c r="F27" s="20">
        <v>120681</v>
      </c>
    </row>
    <row r="28" spans="1:6" ht="15.75">
      <c r="A28" s="2" t="s">
        <v>53</v>
      </c>
      <c r="F28" s="20">
        <v>0</v>
      </c>
    </row>
    <row r="29" spans="1:6" ht="15.75">
      <c r="A29" s="2" t="s">
        <v>20</v>
      </c>
      <c r="F29" s="20">
        <f>D46</f>
        <v>139746993.12</v>
      </c>
    </row>
    <row r="30" ht="15.75">
      <c r="F30" s="20"/>
    </row>
    <row r="31" spans="5:6" ht="15.75">
      <c r="E31" s="21" t="s">
        <v>21</v>
      </c>
      <c r="F31" s="22" t="s">
        <v>22</v>
      </c>
    </row>
    <row r="32" spans="1:6" ht="15.75">
      <c r="A32" s="2" t="s">
        <v>41</v>
      </c>
      <c r="E32" s="21">
        <f>46+8</f>
        <v>54</v>
      </c>
      <c r="F32" s="22">
        <f>811190+65000+35000+59900+25000+30000+3000+2645813+20000+10000+79531.28</f>
        <v>3784434.28</v>
      </c>
    </row>
    <row r="33" spans="1:6" ht="15.75">
      <c r="A33" s="2" t="s">
        <v>9</v>
      </c>
      <c r="E33" s="21">
        <v>8</v>
      </c>
      <c r="F33" s="22">
        <v>79531.28</v>
      </c>
    </row>
    <row r="34" spans="1:6" ht="15.75">
      <c r="A34" s="2" t="s">
        <v>42</v>
      </c>
      <c r="E34" s="21">
        <f>861+44+88+59+95+77+116+82+134+73+113+31+115+83+98+36+42+29+106+54+81+113</f>
        <v>2530</v>
      </c>
      <c r="F34" s="22">
        <f>68606382+5894897.05+5544682.87+5709643+7641954+6749512.84+9802062+8604525+8201934.38+6644331.5+7905047+5727719.86+7143832.27+5703968.66+8164011+3279857.62+3708819+2645813+7667212+4699330.91+7405272.82+7315682.26</f>
        <v>204766491.04</v>
      </c>
    </row>
    <row r="35" spans="5:6" ht="15.75">
      <c r="E35" s="21"/>
      <c r="F35" s="22"/>
    </row>
    <row r="36" spans="1:6" ht="15.75">
      <c r="A36" s="2" t="s">
        <v>50</v>
      </c>
      <c r="E36" s="23"/>
      <c r="F36" s="24">
        <f>((4486903+1897573-1889624)/144720203)*12</f>
        <v>0.3727069398873079</v>
      </c>
    </row>
    <row r="37" spans="5:6" ht="15.75">
      <c r="E37" s="23"/>
      <c r="F37" s="20"/>
    </row>
    <row r="38" spans="1:6" ht="15.75">
      <c r="A38" s="2" t="s">
        <v>43</v>
      </c>
      <c r="F38" s="20"/>
    </row>
    <row r="39" spans="1:6" s="47" customFormat="1" ht="47.25">
      <c r="A39" s="41" t="s">
        <v>10</v>
      </c>
      <c r="B39" s="48"/>
      <c r="C39" s="42"/>
      <c r="D39" s="49" t="s">
        <v>11</v>
      </c>
      <c r="E39" s="50" t="s">
        <v>12</v>
      </c>
      <c r="F39" s="51"/>
    </row>
    <row r="40" spans="1:6" ht="15.75">
      <c r="A40" s="6" t="s">
        <v>13</v>
      </c>
      <c r="B40" s="25"/>
      <c r="C40" s="7"/>
      <c r="D40" s="26">
        <v>136588035</v>
      </c>
      <c r="E40" s="27">
        <v>2261</v>
      </c>
      <c r="F40" s="28"/>
    </row>
    <row r="41" spans="1:6" ht="15.75">
      <c r="A41" s="29" t="s">
        <v>44</v>
      </c>
      <c r="B41" s="5"/>
      <c r="C41" s="12"/>
      <c r="D41" s="30">
        <v>1324977</v>
      </c>
      <c r="E41" s="31">
        <v>16</v>
      </c>
      <c r="F41" s="28"/>
    </row>
    <row r="42" spans="1:6" ht="15.75">
      <c r="A42" s="29" t="s">
        <v>45</v>
      </c>
      <c r="B42" s="5"/>
      <c r="C42" s="12"/>
      <c r="D42" s="30">
        <v>698568</v>
      </c>
      <c r="E42" s="31">
        <v>7</v>
      </c>
      <c r="F42" s="28" t="s">
        <v>51</v>
      </c>
    </row>
    <row r="43" spans="1:6" ht="15.75">
      <c r="A43" s="11" t="s">
        <v>46</v>
      </c>
      <c r="B43" s="5"/>
      <c r="C43" s="12"/>
      <c r="D43" s="30">
        <f>851861+127027+156766</f>
        <v>1135654</v>
      </c>
      <c r="E43" s="31">
        <f>12+4+10</f>
        <v>26</v>
      </c>
      <c r="F43" s="28"/>
    </row>
    <row r="44" spans="1:6" ht="15.75">
      <c r="A44" s="11" t="s">
        <v>30</v>
      </c>
      <c r="B44" s="5"/>
      <c r="C44" s="12"/>
      <c r="D44" s="30">
        <v>-240.88</v>
      </c>
      <c r="E44" s="31">
        <v>3</v>
      </c>
      <c r="F44" s="28"/>
    </row>
    <row r="45" spans="1:6" ht="15.75">
      <c r="A45" s="11" t="s">
        <v>47</v>
      </c>
      <c r="B45" s="5"/>
      <c r="C45" s="12"/>
      <c r="D45" s="32">
        <v>0</v>
      </c>
      <c r="E45" s="33">
        <v>0</v>
      </c>
      <c r="F45" s="28"/>
    </row>
    <row r="46" spans="1:6" ht="15.75">
      <c r="A46" s="17"/>
      <c r="B46" s="34"/>
      <c r="C46" s="18"/>
      <c r="D46" s="35">
        <f>SUM(D40:D45)</f>
        <v>139746993.12</v>
      </c>
      <c r="E46" s="33">
        <f>SUM(E40:E45)</f>
        <v>2313</v>
      </c>
      <c r="F46" s="28"/>
    </row>
    <row r="47" ht="15.75">
      <c r="F47" s="20"/>
    </row>
    <row r="48" spans="1:6" ht="15.75">
      <c r="A48" s="36" t="s">
        <v>48</v>
      </c>
      <c r="E48" s="21" t="s">
        <v>29</v>
      </c>
      <c r="F48" s="21" t="s">
        <v>22</v>
      </c>
    </row>
    <row r="49" spans="5:6" ht="15.75">
      <c r="E49" s="21"/>
      <c r="F49" s="22"/>
    </row>
    <row r="50" spans="1:6" ht="15.75">
      <c r="A50" s="37" t="s">
        <v>23</v>
      </c>
      <c r="E50" s="21">
        <v>0</v>
      </c>
      <c r="F50" s="22">
        <v>0</v>
      </c>
    </row>
    <row r="51" spans="1:6" ht="15.75">
      <c r="A51" s="36" t="s">
        <v>24</v>
      </c>
      <c r="E51" s="21">
        <v>0</v>
      </c>
      <c r="F51" s="22">
        <v>0</v>
      </c>
    </row>
    <row r="52" spans="1:6" ht="15.75">
      <c r="A52" s="2" t="s">
        <v>14</v>
      </c>
      <c r="E52" s="21">
        <v>0</v>
      </c>
      <c r="F52" s="22">
        <v>0</v>
      </c>
    </row>
    <row r="53" spans="1:6" ht="15.75">
      <c r="A53" s="36" t="s">
        <v>25</v>
      </c>
      <c r="E53" s="21"/>
      <c r="F53" s="22">
        <f>F50-F54-F51-F52</f>
        <v>0</v>
      </c>
    </row>
    <row r="54" spans="1:6" ht="15.75">
      <c r="A54" s="2" t="s">
        <v>26</v>
      </c>
      <c r="E54" s="21"/>
      <c r="F54" s="38">
        <v>0</v>
      </c>
    </row>
    <row r="55" spans="5:6" ht="15.75">
      <c r="E55" s="21"/>
      <c r="F55" s="22"/>
    </row>
    <row r="56" spans="1:6" ht="15.75">
      <c r="A56" s="2" t="s">
        <v>27</v>
      </c>
      <c r="E56" s="21"/>
      <c r="F56" s="39">
        <v>0</v>
      </c>
    </row>
    <row r="57" spans="1:6" ht="15.75">
      <c r="A57" s="2" t="s">
        <v>15</v>
      </c>
      <c r="E57" s="21"/>
      <c r="F57" s="22">
        <v>0</v>
      </c>
    </row>
    <row r="58" spans="5:6" ht="15.75">
      <c r="E58" s="21"/>
      <c r="F58" s="22"/>
    </row>
    <row r="59" spans="1:6" ht="15.75">
      <c r="A59" s="2" t="s">
        <v>28</v>
      </c>
      <c r="E59" s="21"/>
      <c r="F59" s="39">
        <v>0</v>
      </c>
    </row>
    <row r="60" spans="1:6" ht="15.75">
      <c r="A60" s="2" t="s">
        <v>49</v>
      </c>
      <c r="E60" s="21"/>
      <c r="F60" s="40">
        <v>0</v>
      </c>
    </row>
    <row r="61" spans="5:6" ht="15.75">
      <c r="E61" s="21"/>
      <c r="F61" s="22"/>
    </row>
    <row r="62" ht="15.75">
      <c r="F62" s="20"/>
    </row>
    <row r="63" ht="15.75">
      <c r="F63" s="20"/>
    </row>
    <row r="64" ht="15.75">
      <c r="F64" s="20"/>
    </row>
    <row r="65" spans="1:6" ht="15.75">
      <c r="A65" s="25" t="s">
        <v>16</v>
      </c>
      <c r="B65" s="25"/>
      <c r="C65" s="25"/>
      <c r="F65" s="20"/>
    </row>
    <row r="66" ht="15.75">
      <c r="A66" s="2" t="s">
        <v>54</v>
      </c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6"/>
  <sheetViews>
    <sheetView workbookViewId="0" topLeftCell="A1">
      <selection activeCell="A1" sqref="A1"/>
    </sheetView>
  </sheetViews>
  <sheetFormatPr defaultColWidth="9.00390625" defaultRowHeight="15.75"/>
  <cols>
    <col min="1" max="1" width="9.00390625" style="2" customWidth="1"/>
    <col min="2" max="2" width="7.375" style="2" customWidth="1"/>
    <col min="3" max="3" width="11.875" style="2" customWidth="1"/>
    <col min="4" max="5" width="15.625" style="2" customWidth="1"/>
    <col min="6" max="6" width="12.375" style="2" customWidth="1"/>
    <col min="7" max="7" width="11.75390625" style="2" customWidth="1"/>
    <col min="8" max="16384" width="9.00390625" style="2" customWidth="1"/>
  </cols>
  <sheetData>
    <row r="1" spans="1:3" ht="18.75">
      <c r="A1" s="1"/>
      <c r="C1" s="1" t="s">
        <v>33</v>
      </c>
    </row>
    <row r="2" ht="15.75"/>
    <row r="4" spans="1:5" ht="15.75">
      <c r="A4" s="2" t="s">
        <v>0</v>
      </c>
      <c r="D4" s="3">
        <v>38199</v>
      </c>
      <c r="E4" s="3"/>
    </row>
    <row r="5" spans="1:8" ht="15.75">
      <c r="A5" s="2" t="s">
        <v>17</v>
      </c>
      <c r="D5" s="4">
        <v>0.0476</v>
      </c>
      <c r="E5" s="3"/>
      <c r="H5" s="5"/>
    </row>
    <row r="6" ht="15.75">
      <c r="H6" s="5"/>
    </row>
    <row r="7" spans="1:8" ht="15.75">
      <c r="A7" s="2" t="s">
        <v>1</v>
      </c>
      <c r="H7" s="5"/>
    </row>
    <row r="8" spans="1:8" s="47" customFormat="1" ht="31.5">
      <c r="A8" s="41" t="s">
        <v>2</v>
      </c>
      <c r="B8" s="42"/>
      <c r="C8" s="43" t="s">
        <v>31</v>
      </c>
      <c r="D8" s="44" t="s">
        <v>3</v>
      </c>
      <c r="E8" s="44" t="s">
        <v>32</v>
      </c>
      <c r="F8" s="44" t="s">
        <v>18</v>
      </c>
      <c r="G8" s="45" t="s">
        <v>4</v>
      </c>
      <c r="H8" s="46"/>
    </row>
    <row r="9" spans="1:8" ht="15.75">
      <c r="A9" s="6" t="s">
        <v>34</v>
      </c>
      <c r="B9" s="7"/>
      <c r="C9" s="8">
        <v>31</v>
      </c>
      <c r="D9" s="9">
        <v>110998726.8</v>
      </c>
      <c r="E9" s="9">
        <v>4748276.4</v>
      </c>
      <c r="F9" s="9">
        <v>468206.4</v>
      </c>
      <c r="G9" s="10">
        <f>+D9/276000000</f>
        <v>0.4021693</v>
      </c>
      <c r="H9" s="5"/>
    </row>
    <row r="10" spans="1:8" ht="15.75">
      <c r="A10" s="11" t="s">
        <v>5</v>
      </c>
      <c r="B10" s="12"/>
      <c r="C10" s="13">
        <v>85</v>
      </c>
      <c r="D10" s="14">
        <v>24000000</v>
      </c>
      <c r="E10" s="15">
        <v>0</v>
      </c>
      <c r="F10" s="15">
        <v>107704.8</v>
      </c>
      <c r="G10" s="16">
        <f>+D10/24000000</f>
        <v>1</v>
      </c>
      <c r="H10" s="5"/>
    </row>
    <row r="11" spans="1:8" ht="15.75">
      <c r="A11" s="17"/>
      <c r="B11" s="18"/>
      <c r="C11" s="18"/>
      <c r="D11" s="15">
        <f>SUM(D9:D10)</f>
        <v>134998726.8</v>
      </c>
      <c r="E11" s="15">
        <f>SUM(E9:E10)</f>
        <v>4748276.4</v>
      </c>
      <c r="F11" s="15">
        <f>SUM(F9:F10)</f>
        <v>575911.2000000001</v>
      </c>
      <c r="G11" s="19"/>
      <c r="H11" s="5"/>
    </row>
    <row r="12" ht="15.75">
      <c r="H12" s="5"/>
    </row>
    <row r="13" spans="1:6" ht="15.75">
      <c r="A13" s="2" t="s">
        <v>35</v>
      </c>
      <c r="F13" s="20">
        <v>45000000</v>
      </c>
    </row>
    <row r="14" spans="1:6" ht="15.75">
      <c r="A14" s="2" t="s">
        <v>6</v>
      </c>
      <c r="F14" s="20">
        <v>0</v>
      </c>
    </row>
    <row r="15" ht="15.75">
      <c r="F15" s="20"/>
    </row>
    <row r="16" spans="1:6" ht="15.75">
      <c r="A16" s="2" t="s">
        <v>7</v>
      </c>
      <c r="F16" s="20">
        <v>6000000</v>
      </c>
    </row>
    <row r="17" spans="1:6" ht="15.75">
      <c r="A17" s="2" t="s">
        <v>52</v>
      </c>
      <c r="F17" s="20">
        <v>0</v>
      </c>
    </row>
    <row r="18" spans="1:6" ht="15.75">
      <c r="A18" s="2" t="s">
        <v>36</v>
      </c>
      <c r="F18" s="20">
        <v>6000000</v>
      </c>
    </row>
    <row r="19" ht="15.75">
      <c r="F19" s="20"/>
    </row>
    <row r="20" spans="1:6" ht="15.75">
      <c r="A20" s="2" t="s">
        <v>37</v>
      </c>
      <c r="F20" s="20">
        <v>500000</v>
      </c>
    </row>
    <row r="21" spans="1:6" ht="15.75">
      <c r="A21" s="2" t="s">
        <v>38</v>
      </c>
      <c r="F21" s="20">
        <v>0</v>
      </c>
    </row>
    <row r="22" spans="1:6" ht="15.75">
      <c r="A22" s="2" t="s">
        <v>39</v>
      </c>
      <c r="F22" s="20">
        <v>500000</v>
      </c>
    </row>
    <row r="23" ht="15.75">
      <c r="F23" s="20"/>
    </row>
    <row r="24" spans="1:6" ht="15.75">
      <c r="A24" s="2" t="s">
        <v>8</v>
      </c>
      <c r="F24" s="20">
        <v>0</v>
      </c>
    </row>
    <row r="25" spans="1:6" ht="15.75">
      <c r="A25" s="2" t="s">
        <v>19</v>
      </c>
      <c r="F25" s="20">
        <v>0</v>
      </c>
    </row>
    <row r="26" ht="15.75">
      <c r="F26" s="20"/>
    </row>
    <row r="27" spans="1:6" ht="15.75">
      <c r="A27" s="2" t="s">
        <v>40</v>
      </c>
      <c r="F27" s="20">
        <v>104348</v>
      </c>
    </row>
    <row r="28" spans="1:6" ht="15.75">
      <c r="A28" s="2" t="s">
        <v>53</v>
      </c>
      <c r="F28" s="20">
        <v>0</v>
      </c>
    </row>
    <row r="29" spans="1:6" ht="15.75">
      <c r="A29" s="2" t="s">
        <v>20</v>
      </c>
      <c r="F29" s="20">
        <f>D46</f>
        <v>134998710.29000002</v>
      </c>
    </row>
    <row r="30" ht="15.75">
      <c r="F30" s="20"/>
    </row>
    <row r="31" spans="5:6" ht="15.75">
      <c r="E31" s="21" t="s">
        <v>21</v>
      </c>
      <c r="F31" s="22" t="s">
        <v>22</v>
      </c>
    </row>
    <row r="32" spans="1:6" ht="15.75">
      <c r="A32" s="2" t="s">
        <v>41</v>
      </c>
      <c r="E32" s="21">
        <f>46+8+8</f>
        <v>62</v>
      </c>
      <c r="F32" s="22">
        <f>811190+65000+35000+59900+25000+30000+3000+2645813+20000+10000+79531.28+41865</f>
        <v>3826299.28</v>
      </c>
    </row>
    <row r="33" spans="1:6" ht="15.75">
      <c r="A33" s="2" t="s">
        <v>9</v>
      </c>
      <c r="E33" s="21">
        <v>8</v>
      </c>
      <c r="F33" s="22">
        <v>41865</v>
      </c>
    </row>
    <row r="34" spans="1:6" ht="15.75">
      <c r="A34" s="2" t="s">
        <v>42</v>
      </c>
      <c r="E34" s="21">
        <f>861+44+88+59+95+77+116+82+134+73+113+31+115+83+98+36+42+29+106+54+81+113</f>
        <v>2530</v>
      </c>
      <c r="F34" s="22">
        <f>68606382+5894897.05+5544682.87+5709643+7641954+6749512.84+9802062+8604525+8201934.38+6644331.5+7905047+5727719.86+7143832.27+5703968.66+8164011+3279857.62+3708819+2645813+7667212+4699330.91+7405272.82+7315682.26</f>
        <v>204766491.04</v>
      </c>
    </row>
    <row r="35" spans="5:6" ht="15.75">
      <c r="E35" s="21"/>
      <c r="F35" s="22"/>
    </row>
    <row r="36" spans="1:6" ht="15.75">
      <c r="A36" s="2" t="s">
        <v>50</v>
      </c>
      <c r="E36" s="23"/>
      <c r="F36" s="24">
        <f>((3860423+2457106.83-1527372.21)/139746993)*12</f>
        <v>0.4113282884018835</v>
      </c>
    </row>
    <row r="37" spans="5:6" ht="15.75">
      <c r="E37" s="23"/>
      <c r="F37" s="20"/>
    </row>
    <row r="38" spans="1:6" ht="15.75">
      <c r="A38" s="2" t="s">
        <v>43</v>
      </c>
      <c r="F38" s="20"/>
    </row>
    <row r="39" spans="1:6" s="47" customFormat="1" ht="47.25">
      <c r="A39" s="41" t="s">
        <v>10</v>
      </c>
      <c r="B39" s="48"/>
      <c r="C39" s="42"/>
      <c r="D39" s="49" t="s">
        <v>11</v>
      </c>
      <c r="E39" s="50" t="s">
        <v>12</v>
      </c>
      <c r="F39" s="51"/>
    </row>
    <row r="40" spans="1:6" ht="15.75">
      <c r="A40" s="6" t="s">
        <v>13</v>
      </c>
      <c r="B40" s="25"/>
      <c r="C40" s="7"/>
      <c r="D40" s="26">
        <v>132622879.37</v>
      </c>
      <c r="E40" s="27">
        <v>2224</v>
      </c>
      <c r="F40" s="28"/>
    </row>
    <row r="41" spans="1:6" ht="15.75">
      <c r="A41" s="29" t="s">
        <v>44</v>
      </c>
      <c r="B41" s="5"/>
      <c r="C41" s="12"/>
      <c r="D41" s="30">
        <v>1076609.39</v>
      </c>
      <c r="E41" s="31">
        <v>12</v>
      </c>
      <c r="F41" s="28"/>
    </row>
    <row r="42" spans="1:6" ht="15.75">
      <c r="A42" s="29" t="s">
        <v>45</v>
      </c>
      <c r="B42" s="5"/>
      <c r="C42" s="12"/>
      <c r="D42" s="30">
        <v>879194.72</v>
      </c>
      <c r="E42" s="31">
        <v>7</v>
      </c>
      <c r="F42" s="28" t="s">
        <v>51</v>
      </c>
    </row>
    <row r="43" spans="1:6" ht="15.75">
      <c r="A43" s="11" t="s">
        <v>46</v>
      </c>
      <c r="B43" s="5"/>
      <c r="C43" s="12"/>
      <c r="D43" s="30">
        <f>407038.78+12121.76+1107.15</f>
        <v>420267.69000000006</v>
      </c>
      <c r="E43" s="31">
        <f>6+2+1</f>
        <v>9</v>
      </c>
      <c r="F43" s="28"/>
    </row>
    <row r="44" spans="1:6" ht="15.75">
      <c r="A44" s="11" t="s">
        <v>30</v>
      </c>
      <c r="B44" s="5"/>
      <c r="C44" s="12"/>
      <c r="D44" s="30">
        <v>-240.88</v>
      </c>
      <c r="E44" s="31">
        <v>3</v>
      </c>
      <c r="F44" s="28"/>
    </row>
    <row r="45" spans="1:6" ht="15.75">
      <c r="A45" s="11" t="s">
        <v>47</v>
      </c>
      <c r="B45" s="5"/>
      <c r="C45" s="12"/>
      <c r="D45" s="32">
        <v>0</v>
      </c>
      <c r="E45" s="33">
        <v>0</v>
      </c>
      <c r="F45" s="28"/>
    </row>
    <row r="46" spans="1:6" ht="15.75">
      <c r="A46" s="17"/>
      <c r="B46" s="34"/>
      <c r="C46" s="18"/>
      <c r="D46" s="35">
        <f>SUM(D40:D45)</f>
        <v>134998710.29000002</v>
      </c>
      <c r="E46" s="33">
        <f>SUM(E40:E45)</f>
        <v>2255</v>
      </c>
      <c r="F46" s="28"/>
    </row>
    <row r="47" ht="15.75">
      <c r="F47" s="20"/>
    </row>
    <row r="48" spans="1:6" ht="15.75">
      <c r="A48" s="36" t="s">
        <v>48</v>
      </c>
      <c r="E48" s="21" t="s">
        <v>29</v>
      </c>
      <c r="F48" s="21" t="s">
        <v>22</v>
      </c>
    </row>
    <row r="49" spans="5:6" ht="15.75">
      <c r="E49" s="21"/>
      <c r="F49" s="22"/>
    </row>
    <row r="50" spans="1:6" ht="15.75">
      <c r="A50" s="37" t="s">
        <v>23</v>
      </c>
      <c r="E50" s="21">
        <v>0</v>
      </c>
      <c r="F50" s="22">
        <v>0</v>
      </c>
    </row>
    <row r="51" spans="1:6" ht="15.75">
      <c r="A51" s="36" t="s">
        <v>24</v>
      </c>
      <c r="E51" s="21">
        <v>0</v>
      </c>
      <c r="F51" s="22">
        <v>0</v>
      </c>
    </row>
    <row r="52" spans="1:6" ht="15.75">
      <c r="A52" s="2" t="s">
        <v>14</v>
      </c>
      <c r="E52" s="21">
        <v>0</v>
      </c>
      <c r="F52" s="22">
        <v>0</v>
      </c>
    </row>
    <row r="53" spans="1:6" ht="15.75">
      <c r="A53" s="36" t="s">
        <v>25</v>
      </c>
      <c r="E53" s="21"/>
      <c r="F53" s="22">
        <f>F50-F54-F51-F52</f>
        <v>0</v>
      </c>
    </row>
    <row r="54" spans="1:6" ht="15.75">
      <c r="A54" s="2" t="s">
        <v>26</v>
      </c>
      <c r="E54" s="21"/>
      <c r="F54" s="38">
        <v>0</v>
      </c>
    </row>
    <row r="55" spans="5:6" ht="15.75">
      <c r="E55" s="21"/>
      <c r="F55" s="22"/>
    </row>
    <row r="56" spans="1:6" ht="15.75">
      <c r="A56" s="2" t="s">
        <v>27</v>
      </c>
      <c r="E56" s="21"/>
      <c r="F56" s="39">
        <v>0</v>
      </c>
    </row>
    <row r="57" spans="1:6" ht="15.75">
      <c r="A57" s="2" t="s">
        <v>15</v>
      </c>
      <c r="E57" s="21"/>
      <c r="F57" s="22">
        <v>0</v>
      </c>
    </row>
    <row r="58" spans="5:6" ht="15.75">
      <c r="E58" s="21"/>
      <c r="F58" s="22"/>
    </row>
    <row r="59" spans="1:6" ht="15.75">
      <c r="A59" s="2" t="s">
        <v>28</v>
      </c>
      <c r="E59" s="21"/>
      <c r="F59" s="39">
        <v>0</v>
      </c>
    </row>
    <row r="60" spans="1:6" ht="15.75">
      <c r="A60" s="2" t="s">
        <v>49</v>
      </c>
      <c r="E60" s="21"/>
      <c r="F60" s="40">
        <v>0</v>
      </c>
    </row>
    <row r="61" spans="5:6" ht="15.75">
      <c r="E61" s="21"/>
      <c r="F61" s="22"/>
    </row>
    <row r="62" ht="15.75">
      <c r="F62" s="20"/>
    </row>
    <row r="63" ht="15.75">
      <c r="F63" s="20"/>
    </row>
    <row r="64" ht="15.75">
      <c r="F64" s="20"/>
    </row>
    <row r="65" spans="1:6" ht="15.75">
      <c r="A65" s="25" t="s">
        <v>16</v>
      </c>
      <c r="B65" s="25"/>
      <c r="C65" s="25"/>
      <c r="F65" s="20"/>
    </row>
    <row r="66" ht="15.75">
      <c r="A66" s="2" t="s">
        <v>54</v>
      </c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66"/>
  <sheetViews>
    <sheetView workbookViewId="0" topLeftCell="A1">
      <selection activeCell="A1" sqref="A1"/>
    </sheetView>
  </sheetViews>
  <sheetFormatPr defaultColWidth="9.00390625" defaultRowHeight="15.75"/>
  <cols>
    <col min="1" max="1" width="9.00390625" style="2" customWidth="1"/>
    <col min="2" max="2" width="7.375" style="2" customWidth="1"/>
    <col min="3" max="3" width="11.875" style="2" customWidth="1"/>
    <col min="4" max="5" width="15.625" style="2" customWidth="1"/>
    <col min="6" max="6" width="12.375" style="2" customWidth="1"/>
    <col min="7" max="7" width="11.75390625" style="2" customWidth="1"/>
    <col min="8" max="16384" width="9.00390625" style="2" customWidth="1"/>
  </cols>
  <sheetData>
    <row r="1" spans="1:3" ht="18.75">
      <c r="A1" s="1"/>
      <c r="C1" s="1" t="s">
        <v>33</v>
      </c>
    </row>
    <row r="2" ht="15.75"/>
    <row r="4" spans="1:5" ht="15.75">
      <c r="A4" s="2" t="s">
        <v>0</v>
      </c>
      <c r="D4" s="3">
        <v>38230</v>
      </c>
      <c r="E4" s="3"/>
    </row>
    <row r="5" spans="1:8" ht="15.75">
      <c r="A5" s="2" t="s">
        <v>17</v>
      </c>
      <c r="D5" s="4">
        <v>0.0485375</v>
      </c>
      <c r="E5" s="3"/>
      <c r="H5" s="5"/>
    </row>
    <row r="6" ht="15.75">
      <c r="H6" s="5"/>
    </row>
    <row r="7" spans="1:8" ht="15.75">
      <c r="A7" s="2" t="s">
        <v>1</v>
      </c>
      <c r="H7" s="5"/>
    </row>
    <row r="8" spans="1:8" s="47" customFormat="1" ht="31.5">
      <c r="A8" s="41" t="s">
        <v>2</v>
      </c>
      <c r="B8" s="42"/>
      <c r="C8" s="43" t="s">
        <v>31</v>
      </c>
      <c r="D8" s="44" t="s">
        <v>3</v>
      </c>
      <c r="E8" s="44" t="s">
        <v>32</v>
      </c>
      <c r="F8" s="44" t="s">
        <v>18</v>
      </c>
      <c r="G8" s="45" t="s">
        <v>4</v>
      </c>
      <c r="H8" s="46"/>
    </row>
    <row r="9" spans="1:8" ht="15.75">
      <c r="A9" s="6" t="s">
        <v>34</v>
      </c>
      <c r="B9" s="7"/>
      <c r="C9" s="8">
        <v>31</v>
      </c>
      <c r="D9" s="9">
        <v>106996395.6</v>
      </c>
      <c r="E9" s="9">
        <v>4002331.2</v>
      </c>
      <c r="F9" s="9">
        <v>492025.2</v>
      </c>
      <c r="G9" s="10">
        <f>+D9/276000000</f>
        <v>0.38766809999999996</v>
      </c>
      <c r="H9" s="5"/>
    </row>
    <row r="10" spans="1:8" ht="15.75">
      <c r="A10" s="11" t="s">
        <v>5</v>
      </c>
      <c r="B10" s="12"/>
      <c r="C10" s="13">
        <v>85</v>
      </c>
      <c r="D10" s="14">
        <v>24000000</v>
      </c>
      <c r="E10" s="15">
        <v>0</v>
      </c>
      <c r="F10" s="15">
        <v>117717.6</v>
      </c>
      <c r="G10" s="16">
        <f>+D10/24000000</f>
        <v>1</v>
      </c>
      <c r="H10" s="5"/>
    </row>
    <row r="11" spans="1:8" ht="15.75">
      <c r="A11" s="17"/>
      <c r="B11" s="18"/>
      <c r="C11" s="18"/>
      <c r="D11" s="15">
        <f>SUM(D9:D10)</f>
        <v>130996395.6</v>
      </c>
      <c r="E11" s="15">
        <f>SUM(E9:E10)</f>
        <v>4002331.2</v>
      </c>
      <c r="F11" s="15">
        <f>SUM(F9:F10)</f>
        <v>609742.8</v>
      </c>
      <c r="G11" s="19"/>
      <c r="H11" s="5"/>
    </row>
    <row r="12" ht="15.75">
      <c r="H12" s="5"/>
    </row>
    <row r="13" spans="1:6" ht="15.75">
      <c r="A13" s="2" t="s">
        <v>35</v>
      </c>
      <c r="F13" s="20">
        <v>45000000</v>
      </c>
    </row>
    <row r="14" spans="1:6" ht="15.75">
      <c r="A14" s="2" t="s">
        <v>6</v>
      </c>
      <c r="F14" s="20">
        <v>0</v>
      </c>
    </row>
    <row r="15" ht="15.75">
      <c r="F15" s="20"/>
    </row>
    <row r="16" spans="1:6" ht="15.75">
      <c r="A16" s="2" t="s">
        <v>7</v>
      </c>
      <c r="F16" s="20">
        <v>6000000</v>
      </c>
    </row>
    <row r="17" spans="1:6" ht="15.75">
      <c r="A17" s="2" t="s">
        <v>52</v>
      </c>
      <c r="F17" s="20">
        <v>0</v>
      </c>
    </row>
    <row r="18" spans="1:6" ht="15.75">
      <c r="A18" s="2" t="s">
        <v>36</v>
      </c>
      <c r="F18" s="20">
        <v>6000000</v>
      </c>
    </row>
    <row r="19" ht="15.75">
      <c r="F19" s="20"/>
    </row>
    <row r="20" spans="1:6" ht="15.75">
      <c r="A20" s="2" t="s">
        <v>37</v>
      </c>
      <c r="F20" s="20">
        <v>500000</v>
      </c>
    </row>
    <row r="21" spans="1:6" ht="15.75">
      <c r="A21" s="2" t="s">
        <v>38</v>
      </c>
      <c r="F21" s="20">
        <v>0</v>
      </c>
    </row>
    <row r="22" spans="1:6" ht="15.75">
      <c r="A22" s="2" t="s">
        <v>39</v>
      </c>
      <c r="F22" s="20">
        <v>500000</v>
      </c>
    </row>
    <row r="23" ht="15.75">
      <c r="F23" s="20"/>
    </row>
    <row r="24" spans="1:6" ht="15.75">
      <c r="A24" s="2" t="s">
        <v>8</v>
      </c>
      <c r="F24" s="20">
        <v>0</v>
      </c>
    </row>
    <row r="25" spans="1:6" ht="15.75">
      <c r="A25" s="2" t="s">
        <v>19</v>
      </c>
      <c r="F25" s="20">
        <v>0</v>
      </c>
    </row>
    <row r="26" ht="15.75">
      <c r="F26" s="20"/>
    </row>
    <row r="27" spans="1:6" ht="15.75">
      <c r="A27" s="2" t="s">
        <v>40</v>
      </c>
      <c r="F27" s="20">
        <v>89888.19</v>
      </c>
    </row>
    <row r="28" spans="1:6" ht="15.75">
      <c r="A28" s="2" t="s">
        <v>53</v>
      </c>
      <c r="F28" s="20">
        <v>0</v>
      </c>
    </row>
    <row r="29" spans="1:6" ht="15.75">
      <c r="A29" s="2" t="s">
        <v>20</v>
      </c>
      <c r="F29" s="20">
        <f>D46</f>
        <v>130996387.3</v>
      </c>
    </row>
    <row r="30" ht="15.75">
      <c r="F30" s="20"/>
    </row>
    <row r="31" spans="5:6" ht="15.75">
      <c r="E31" s="21" t="s">
        <v>21</v>
      </c>
      <c r="F31" s="22" t="s">
        <v>22</v>
      </c>
    </row>
    <row r="32" spans="1:6" ht="15.75">
      <c r="A32" s="2" t="s">
        <v>41</v>
      </c>
      <c r="E32" s="21">
        <f>46+8+8+9</f>
        <v>71</v>
      </c>
      <c r="F32" s="22">
        <f>811190+65000+35000+59900+25000+30000+3000+2645813+20000+10000+79531.28+41865+268651.81</f>
        <v>4094951.09</v>
      </c>
    </row>
    <row r="33" spans="1:6" ht="15.75">
      <c r="A33" s="2" t="s">
        <v>9</v>
      </c>
      <c r="E33" s="21">
        <v>9</v>
      </c>
      <c r="F33" s="22">
        <v>268651.81</v>
      </c>
    </row>
    <row r="34" spans="1:6" ht="15.75">
      <c r="A34" s="2" t="s">
        <v>42</v>
      </c>
      <c r="E34" s="21">
        <f>861+44+88+59+95+77+116+82+134+73+113+31+115+83+98+36+42+29+106+54+81+113</f>
        <v>2530</v>
      </c>
      <c r="F34" s="22">
        <f>68606382+5894897.05+5544682.87+5709643+7641954+6749512.84+9802062+8604525+8201934.38+6644331.5+7905047+5727719.86+7143832.27+5703968.66+8164011+3279857.62+3708819+2645813+7667212+4699330.91+7405272.82+7315682.26</f>
        <v>204766491.04</v>
      </c>
    </row>
    <row r="35" spans="5:6" ht="15.75">
      <c r="E35" s="21"/>
      <c r="F35" s="22"/>
    </row>
    <row r="36" spans="1:6" ht="15.75">
      <c r="A36" s="2" t="s">
        <v>50</v>
      </c>
      <c r="E36" s="23"/>
      <c r="F36" s="24">
        <f>((4121168+1789148.42-1639325.68)/134998710.29)*12</f>
        <v>0.3796472482581671</v>
      </c>
    </row>
    <row r="37" spans="5:6" ht="15.75">
      <c r="E37" s="23"/>
      <c r="F37" s="20"/>
    </row>
    <row r="38" spans="1:6" ht="15.75">
      <c r="A38" s="2" t="s">
        <v>43</v>
      </c>
      <c r="F38" s="20"/>
    </row>
    <row r="39" spans="1:6" s="47" customFormat="1" ht="47.25">
      <c r="A39" s="41" t="s">
        <v>10</v>
      </c>
      <c r="B39" s="48"/>
      <c r="C39" s="42"/>
      <c r="D39" s="49" t="s">
        <v>11</v>
      </c>
      <c r="E39" s="50" t="s">
        <v>12</v>
      </c>
      <c r="F39" s="51"/>
    </row>
    <row r="40" spans="1:6" ht="15.75">
      <c r="A40" s="6" t="s">
        <v>13</v>
      </c>
      <c r="B40" s="25"/>
      <c r="C40" s="7"/>
      <c r="D40" s="26">
        <v>127844059.28</v>
      </c>
      <c r="E40" s="27">
        <v>2156</v>
      </c>
      <c r="F40" s="28"/>
    </row>
    <row r="41" spans="1:6" ht="15.75">
      <c r="A41" s="29" t="s">
        <v>44</v>
      </c>
      <c r="B41" s="5"/>
      <c r="C41" s="12"/>
      <c r="D41" s="30">
        <v>1270785.42</v>
      </c>
      <c r="E41" s="31">
        <v>12</v>
      </c>
      <c r="F41" s="28"/>
    </row>
    <row r="42" spans="1:6" ht="15.75">
      <c r="A42" s="29" t="s">
        <v>45</v>
      </c>
      <c r="B42" s="5"/>
      <c r="C42" s="12"/>
      <c r="D42" s="30">
        <v>1207184.96</v>
      </c>
      <c r="E42" s="31">
        <v>8</v>
      </c>
      <c r="F42" s="28" t="s">
        <v>51</v>
      </c>
    </row>
    <row r="43" spans="1:6" ht="15.75">
      <c r="A43" s="11" t="s">
        <v>46</v>
      </c>
      <c r="B43" s="5"/>
      <c r="C43" s="12"/>
      <c r="D43" s="30">
        <f>661448.55+12092.82+1057.15</f>
        <v>674598.52</v>
      </c>
      <c r="E43" s="31">
        <f>10+2+1</f>
        <v>13</v>
      </c>
      <c r="F43" s="28"/>
    </row>
    <row r="44" spans="1:6" ht="15.75">
      <c r="A44" s="11" t="s">
        <v>30</v>
      </c>
      <c r="B44" s="5"/>
      <c r="C44" s="12"/>
      <c r="D44" s="30">
        <v>-240.88</v>
      </c>
      <c r="E44" s="31">
        <v>3</v>
      </c>
      <c r="F44" s="28"/>
    </row>
    <row r="45" spans="1:6" ht="15.75">
      <c r="A45" s="11" t="s">
        <v>47</v>
      </c>
      <c r="B45" s="5"/>
      <c r="C45" s="12"/>
      <c r="D45" s="32">
        <v>0</v>
      </c>
      <c r="E45" s="33">
        <v>0</v>
      </c>
      <c r="F45" s="28"/>
    </row>
    <row r="46" spans="1:6" ht="15.75">
      <c r="A46" s="17"/>
      <c r="B46" s="34"/>
      <c r="C46" s="18"/>
      <c r="D46" s="35">
        <f>SUM(D40:D45)</f>
        <v>130996387.3</v>
      </c>
      <c r="E46" s="33">
        <f>SUM(E40:E45)</f>
        <v>2192</v>
      </c>
      <c r="F46" s="28"/>
    </row>
    <row r="47" ht="15.75">
      <c r="F47" s="20"/>
    </row>
    <row r="48" spans="1:6" ht="15.75">
      <c r="A48" s="36" t="s">
        <v>48</v>
      </c>
      <c r="E48" s="21" t="s">
        <v>29</v>
      </c>
      <c r="F48" s="21" t="s">
        <v>22</v>
      </c>
    </row>
    <row r="49" spans="5:6" ht="15.75">
      <c r="E49" s="21"/>
      <c r="F49" s="22"/>
    </row>
    <row r="50" spans="1:6" ht="15.75">
      <c r="A50" s="37" t="s">
        <v>23</v>
      </c>
      <c r="E50" s="21">
        <v>0</v>
      </c>
      <c r="F50" s="22">
        <v>0</v>
      </c>
    </row>
    <row r="51" spans="1:6" ht="15.75">
      <c r="A51" s="36" t="s">
        <v>24</v>
      </c>
      <c r="E51" s="21">
        <v>0</v>
      </c>
      <c r="F51" s="22">
        <v>0</v>
      </c>
    </row>
    <row r="52" spans="1:6" ht="15.75">
      <c r="A52" s="2" t="s">
        <v>14</v>
      </c>
      <c r="E52" s="21">
        <v>0</v>
      </c>
      <c r="F52" s="22">
        <v>0</v>
      </c>
    </row>
    <row r="53" spans="1:6" ht="15.75">
      <c r="A53" s="36" t="s">
        <v>25</v>
      </c>
      <c r="E53" s="21"/>
      <c r="F53" s="22">
        <f>F50-F54-F51-F52</f>
        <v>0</v>
      </c>
    </row>
    <row r="54" spans="1:6" ht="15.75">
      <c r="A54" s="2" t="s">
        <v>26</v>
      </c>
      <c r="E54" s="21"/>
      <c r="F54" s="38">
        <v>0</v>
      </c>
    </row>
    <row r="55" spans="5:6" ht="15.75">
      <c r="E55" s="21"/>
      <c r="F55" s="22"/>
    </row>
    <row r="56" spans="1:6" ht="15.75">
      <c r="A56" s="2" t="s">
        <v>27</v>
      </c>
      <c r="E56" s="21"/>
      <c r="F56" s="39">
        <v>0</v>
      </c>
    </row>
    <row r="57" spans="1:6" ht="15.75">
      <c r="A57" s="2" t="s">
        <v>15</v>
      </c>
      <c r="E57" s="21"/>
      <c r="F57" s="22">
        <v>0</v>
      </c>
    </row>
    <row r="58" spans="5:6" ht="15.75">
      <c r="E58" s="21"/>
      <c r="F58" s="22"/>
    </row>
    <row r="59" spans="1:6" ht="15.75">
      <c r="A59" s="2" t="s">
        <v>28</v>
      </c>
      <c r="E59" s="21"/>
      <c r="F59" s="39">
        <v>0</v>
      </c>
    </row>
    <row r="60" spans="1:6" ht="15.75">
      <c r="A60" s="2" t="s">
        <v>49</v>
      </c>
      <c r="E60" s="21"/>
      <c r="F60" s="40">
        <v>0</v>
      </c>
    </row>
    <row r="61" spans="5:6" ht="15.75">
      <c r="E61" s="21"/>
      <c r="F61" s="22"/>
    </row>
    <row r="62" ht="15.75">
      <c r="F62" s="20"/>
    </row>
    <row r="63" ht="15.75">
      <c r="F63" s="20"/>
    </row>
    <row r="64" ht="15.75">
      <c r="F64" s="20"/>
    </row>
    <row r="65" spans="1:6" ht="15.75">
      <c r="A65" s="25" t="s">
        <v>16</v>
      </c>
      <c r="B65" s="25"/>
      <c r="C65" s="25"/>
      <c r="F65" s="20"/>
    </row>
    <row r="66" ht="15.75">
      <c r="A66" s="2" t="s">
        <v>54</v>
      </c>
    </row>
  </sheetData>
  <printOptions/>
  <pageMargins left="0.75" right="0.75" top="1" bottom="1" header="0.5" footer="0.5"/>
  <pageSetup horizontalDpi="600" verticalDpi="600" orientation="portrait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66"/>
  <sheetViews>
    <sheetView workbookViewId="0" topLeftCell="A1">
      <selection activeCell="A1" sqref="A1"/>
    </sheetView>
  </sheetViews>
  <sheetFormatPr defaultColWidth="9.00390625" defaultRowHeight="15.75"/>
  <cols>
    <col min="1" max="1" width="9.00390625" style="2" customWidth="1"/>
    <col min="2" max="2" width="7.375" style="2" customWidth="1"/>
    <col min="3" max="3" width="11.875" style="2" customWidth="1"/>
    <col min="4" max="5" width="15.625" style="2" customWidth="1"/>
    <col min="6" max="6" width="12.375" style="2" customWidth="1"/>
    <col min="7" max="7" width="11.75390625" style="2" customWidth="1"/>
    <col min="8" max="16384" width="9.00390625" style="2" customWidth="1"/>
  </cols>
  <sheetData>
    <row r="1" spans="1:3" ht="18.75">
      <c r="A1" s="1"/>
      <c r="C1" s="1" t="s">
        <v>33</v>
      </c>
    </row>
    <row r="2" ht="15.75"/>
    <row r="4" spans="1:5" ht="15.75">
      <c r="A4" s="2" t="s">
        <v>0</v>
      </c>
      <c r="D4" s="3">
        <v>38260</v>
      </c>
      <c r="E4" s="3"/>
    </row>
    <row r="5" spans="1:8" ht="15.75">
      <c r="A5" s="2" t="s">
        <v>17</v>
      </c>
      <c r="D5" s="4">
        <v>0.04845</v>
      </c>
      <c r="E5" s="3"/>
      <c r="H5" s="5"/>
    </row>
    <row r="6" ht="15.75">
      <c r="H6" s="5"/>
    </row>
    <row r="7" spans="1:8" ht="15.75">
      <c r="A7" s="2" t="s">
        <v>1</v>
      </c>
      <c r="H7" s="5"/>
    </row>
    <row r="8" spans="1:8" s="47" customFormat="1" ht="31.5">
      <c r="A8" s="41" t="s">
        <v>2</v>
      </c>
      <c r="B8" s="42"/>
      <c r="C8" s="43" t="s">
        <v>31</v>
      </c>
      <c r="D8" s="44" t="s">
        <v>3</v>
      </c>
      <c r="E8" s="44" t="s">
        <v>32</v>
      </c>
      <c r="F8" s="44" t="s">
        <v>18</v>
      </c>
      <c r="G8" s="45" t="s">
        <v>4</v>
      </c>
      <c r="H8" s="46"/>
    </row>
    <row r="9" spans="1:8" ht="15.75">
      <c r="A9" s="6" t="s">
        <v>34</v>
      </c>
      <c r="B9" s="7"/>
      <c r="C9" s="8">
        <v>31</v>
      </c>
      <c r="D9" s="9">
        <v>102998949.6</v>
      </c>
      <c r="E9" s="9">
        <v>3997446</v>
      </c>
      <c r="F9" s="9">
        <v>452860.8</v>
      </c>
      <c r="G9" s="10">
        <f>+D9/276000000</f>
        <v>0.3731846</v>
      </c>
      <c r="H9" s="5"/>
    </row>
    <row r="10" spans="1:8" ht="15.75">
      <c r="A10" s="11" t="s">
        <v>5</v>
      </c>
      <c r="B10" s="12"/>
      <c r="C10" s="13">
        <v>85</v>
      </c>
      <c r="D10" s="14">
        <v>24000000</v>
      </c>
      <c r="E10" s="15">
        <v>0</v>
      </c>
      <c r="F10" s="15">
        <v>112204.8</v>
      </c>
      <c r="G10" s="16">
        <f>+D10/24000000</f>
        <v>1</v>
      </c>
      <c r="H10" s="5"/>
    </row>
    <row r="11" spans="1:8" ht="15.75">
      <c r="A11" s="17"/>
      <c r="B11" s="18"/>
      <c r="C11" s="18"/>
      <c r="D11" s="15">
        <f>SUM(D9:D10)</f>
        <v>126998949.6</v>
      </c>
      <c r="E11" s="15">
        <f>SUM(E9:E10)</f>
        <v>3997446</v>
      </c>
      <c r="F11" s="15">
        <f>SUM(F9:F10)</f>
        <v>565065.6</v>
      </c>
      <c r="G11" s="19"/>
      <c r="H11" s="5"/>
    </row>
    <row r="12" ht="15.75">
      <c r="H12" s="5"/>
    </row>
    <row r="13" spans="1:6" ht="15.75">
      <c r="A13" s="2" t="s">
        <v>35</v>
      </c>
      <c r="F13" s="20">
        <v>45000000</v>
      </c>
    </row>
    <row r="14" spans="1:6" ht="15.75">
      <c r="A14" s="2" t="s">
        <v>6</v>
      </c>
      <c r="F14" s="20">
        <v>0</v>
      </c>
    </row>
    <row r="15" ht="15.75">
      <c r="F15" s="20"/>
    </row>
    <row r="16" spans="1:6" ht="15.75">
      <c r="A16" s="2" t="s">
        <v>7</v>
      </c>
      <c r="F16" s="20">
        <v>6000000</v>
      </c>
    </row>
    <row r="17" spans="1:6" ht="15.75">
      <c r="A17" s="2" t="s">
        <v>52</v>
      </c>
      <c r="F17" s="20">
        <v>0</v>
      </c>
    </row>
    <row r="18" spans="1:6" ht="15.75">
      <c r="A18" s="2" t="s">
        <v>36</v>
      </c>
      <c r="F18" s="20">
        <v>6000000</v>
      </c>
    </row>
    <row r="19" ht="15.75">
      <c r="F19" s="20"/>
    </row>
    <row r="20" spans="1:6" ht="15.75">
      <c r="A20" s="2" t="s">
        <v>37</v>
      </c>
      <c r="F20" s="20">
        <v>500000</v>
      </c>
    </row>
    <row r="21" spans="1:6" ht="15.75">
      <c r="A21" s="2" t="s">
        <v>38</v>
      </c>
      <c r="F21" s="20">
        <v>0</v>
      </c>
    </row>
    <row r="22" spans="1:6" ht="15.75">
      <c r="A22" s="2" t="s">
        <v>39</v>
      </c>
      <c r="F22" s="20">
        <v>500000</v>
      </c>
    </row>
    <row r="23" ht="15.75">
      <c r="F23" s="20"/>
    </row>
    <row r="24" spans="1:6" ht="15.75">
      <c r="A24" s="2" t="s">
        <v>8</v>
      </c>
      <c r="F24" s="20">
        <v>0</v>
      </c>
    </row>
    <row r="25" spans="1:6" ht="15.75">
      <c r="A25" s="2" t="s">
        <v>19</v>
      </c>
      <c r="F25" s="20">
        <v>0</v>
      </c>
    </row>
    <row r="26" ht="15.75">
      <c r="F26" s="20"/>
    </row>
    <row r="27" spans="1:6" ht="15.75">
      <c r="A27" s="2" t="s">
        <v>40</v>
      </c>
      <c r="F27" s="20">
        <v>119606</v>
      </c>
    </row>
    <row r="28" spans="1:6" ht="15.75">
      <c r="A28" s="2" t="s">
        <v>53</v>
      </c>
      <c r="F28" s="20">
        <v>0</v>
      </c>
    </row>
    <row r="29" spans="1:6" ht="15.75">
      <c r="A29" s="2" t="s">
        <v>20</v>
      </c>
      <c r="F29" s="20">
        <f>D46</f>
        <v>126998948.26</v>
      </c>
    </row>
    <row r="30" ht="15.75">
      <c r="F30" s="20"/>
    </row>
    <row r="31" spans="5:6" ht="15.75">
      <c r="E31" s="21" t="s">
        <v>21</v>
      </c>
      <c r="F31" s="22" t="s">
        <v>22</v>
      </c>
    </row>
    <row r="32" spans="1:6" ht="15.75">
      <c r="A32" s="2" t="s">
        <v>41</v>
      </c>
      <c r="E32" s="21">
        <f>46+8+8+9+8</f>
        <v>79</v>
      </c>
      <c r="F32" s="22">
        <f>811190+65000+35000+59900+25000+30000+3000+2645813+20000+10000+79531.28+41865+268651.81+114225.56</f>
        <v>4209176.649999999</v>
      </c>
    </row>
    <row r="33" spans="1:6" ht="15.75">
      <c r="A33" s="2" t="s">
        <v>9</v>
      </c>
      <c r="E33" s="21">
        <v>8</v>
      </c>
      <c r="F33" s="22">
        <v>114225.56</v>
      </c>
    </row>
    <row r="34" spans="1:6" ht="15.75">
      <c r="A34" s="2" t="s">
        <v>42</v>
      </c>
      <c r="E34" s="21">
        <f>861+44+88+59+95+77+116+82+134+73+113+31+115+83+98+36+42+29+106+54+81+113</f>
        <v>2530</v>
      </c>
      <c r="F34" s="22">
        <f>68606382+5894897.05+5544682.87+5709643+7641954+6749512.84+9802062+8604525+8201934.38+6644331.5+7905047+5727719.86+7143832.27+5703968.66+8164011+3279857.62+3708819+2645813+7667212+4699330.91+7405272.82+7315682.26</f>
        <v>204766491.04</v>
      </c>
    </row>
    <row r="35" spans="5:6" ht="15.75">
      <c r="E35" s="21"/>
      <c r="F35" s="22"/>
    </row>
    <row r="36" spans="1:6" ht="15.75">
      <c r="A36" s="2" t="s">
        <v>50</v>
      </c>
      <c r="E36" s="23"/>
      <c r="F36" s="24">
        <f>((3503279+1777841.24-1169447.53)/130996387.3)*12</f>
        <v>0.37665216222340814</v>
      </c>
    </row>
    <row r="37" spans="5:6" ht="15.75">
      <c r="E37" s="23"/>
      <c r="F37" s="20"/>
    </row>
    <row r="38" spans="1:6" ht="15.75">
      <c r="A38" s="2" t="s">
        <v>43</v>
      </c>
      <c r="F38" s="20"/>
    </row>
    <row r="39" spans="1:6" s="47" customFormat="1" ht="47.25">
      <c r="A39" s="41" t="s">
        <v>10</v>
      </c>
      <c r="B39" s="48"/>
      <c r="C39" s="42"/>
      <c r="D39" s="49" t="s">
        <v>11</v>
      </c>
      <c r="E39" s="50" t="s">
        <v>12</v>
      </c>
      <c r="F39" s="51"/>
    </row>
    <row r="40" spans="1:6" ht="15.75">
      <c r="A40" s="6" t="s">
        <v>13</v>
      </c>
      <c r="B40" s="25"/>
      <c r="C40" s="7"/>
      <c r="D40" s="26">
        <v>124283207.19</v>
      </c>
      <c r="E40" s="27">
        <v>2102</v>
      </c>
      <c r="F40" s="28"/>
    </row>
    <row r="41" spans="1:6" ht="15.75">
      <c r="A41" s="29" t="s">
        <v>44</v>
      </c>
      <c r="B41" s="5"/>
      <c r="C41" s="12"/>
      <c r="D41" s="30">
        <v>615064.73</v>
      </c>
      <c r="E41" s="31">
        <v>12</v>
      </c>
      <c r="F41" s="28"/>
    </row>
    <row r="42" spans="1:6" ht="15.75">
      <c r="A42" s="29" t="s">
        <v>45</v>
      </c>
      <c r="B42" s="5"/>
      <c r="C42" s="12"/>
      <c r="D42" s="30">
        <v>1312607.61</v>
      </c>
      <c r="E42" s="31">
        <v>11</v>
      </c>
      <c r="F42" s="28" t="s">
        <v>51</v>
      </c>
    </row>
    <row r="43" spans="1:6" ht="15.75">
      <c r="A43" s="11" t="s">
        <v>46</v>
      </c>
      <c r="B43" s="5"/>
      <c r="C43" s="12"/>
      <c r="D43" s="30">
        <f>477330.99+153285.9+5909.76+6334.39+1007.15</f>
        <v>643868.1900000001</v>
      </c>
      <c r="E43" s="31">
        <f>6+3+1+1+1</f>
        <v>12</v>
      </c>
      <c r="F43" s="28"/>
    </row>
    <row r="44" spans="1:6" ht="15.75">
      <c r="A44" s="11" t="s">
        <v>30</v>
      </c>
      <c r="B44" s="5"/>
      <c r="C44" s="12"/>
      <c r="D44" s="30">
        <v>144200.54</v>
      </c>
      <c r="E44" s="31">
        <v>4</v>
      </c>
      <c r="F44" s="28"/>
    </row>
    <row r="45" spans="1:6" ht="15.75">
      <c r="A45" s="11" t="s">
        <v>47</v>
      </c>
      <c r="B45" s="5"/>
      <c r="C45" s="12"/>
      <c r="D45" s="32">
        <v>0</v>
      </c>
      <c r="E45" s="33">
        <v>0</v>
      </c>
      <c r="F45" s="28"/>
    </row>
    <row r="46" spans="1:6" ht="15.75">
      <c r="A46" s="17"/>
      <c r="B46" s="34"/>
      <c r="C46" s="18"/>
      <c r="D46" s="35">
        <f>SUM(D40:D45)</f>
        <v>126998948.26</v>
      </c>
      <c r="E46" s="33">
        <f>SUM(E40:E45)</f>
        <v>2141</v>
      </c>
      <c r="F46" s="28"/>
    </row>
    <row r="47" ht="15.75">
      <c r="F47" s="20"/>
    </row>
    <row r="48" spans="1:6" ht="15.75">
      <c r="A48" s="36" t="s">
        <v>48</v>
      </c>
      <c r="E48" s="21" t="s">
        <v>29</v>
      </c>
      <c r="F48" s="21" t="s">
        <v>22</v>
      </c>
    </row>
    <row r="49" spans="5:6" ht="15.75">
      <c r="E49" s="21"/>
      <c r="F49" s="22"/>
    </row>
    <row r="50" spans="1:6" ht="15.75">
      <c r="A50" s="37" t="s">
        <v>23</v>
      </c>
      <c r="E50" s="21">
        <v>0</v>
      </c>
      <c r="F50" s="22">
        <v>0</v>
      </c>
    </row>
    <row r="51" spans="1:6" ht="15.75">
      <c r="A51" s="36" t="s">
        <v>24</v>
      </c>
      <c r="E51" s="21">
        <v>0</v>
      </c>
      <c r="F51" s="22">
        <v>0</v>
      </c>
    </row>
    <row r="52" spans="1:6" ht="15.75">
      <c r="A52" s="2" t="s">
        <v>14</v>
      </c>
      <c r="E52" s="21">
        <v>0</v>
      </c>
      <c r="F52" s="22">
        <v>0</v>
      </c>
    </row>
    <row r="53" spans="1:6" ht="15.75">
      <c r="A53" s="36" t="s">
        <v>25</v>
      </c>
      <c r="E53" s="21"/>
      <c r="F53" s="22">
        <f>F50-F54-F51-F52</f>
        <v>0</v>
      </c>
    </row>
    <row r="54" spans="1:6" ht="15.75">
      <c r="A54" s="2" t="s">
        <v>26</v>
      </c>
      <c r="E54" s="21"/>
      <c r="F54" s="38">
        <v>0</v>
      </c>
    </row>
    <row r="55" spans="5:6" ht="15.75">
      <c r="E55" s="21"/>
      <c r="F55" s="22"/>
    </row>
    <row r="56" spans="1:6" ht="15.75">
      <c r="A56" s="2" t="s">
        <v>27</v>
      </c>
      <c r="E56" s="21"/>
      <c r="F56" s="39">
        <v>0</v>
      </c>
    </row>
    <row r="57" spans="1:6" ht="15.75">
      <c r="A57" s="2" t="s">
        <v>15</v>
      </c>
      <c r="E57" s="21"/>
      <c r="F57" s="22">
        <v>0</v>
      </c>
    </row>
    <row r="58" spans="5:6" ht="15.75">
      <c r="E58" s="21"/>
      <c r="F58" s="22"/>
    </row>
    <row r="59" spans="1:6" ht="15.75">
      <c r="A59" s="2" t="s">
        <v>28</v>
      </c>
      <c r="E59" s="21"/>
      <c r="F59" s="39">
        <v>0</v>
      </c>
    </row>
    <row r="60" spans="1:6" ht="15.75">
      <c r="A60" s="2" t="s">
        <v>49</v>
      </c>
      <c r="E60" s="21"/>
      <c r="F60" s="40">
        <v>0</v>
      </c>
    </row>
    <row r="61" spans="5:6" ht="15.75">
      <c r="E61" s="21"/>
      <c r="F61" s="22"/>
    </row>
    <row r="62" ht="15.75">
      <c r="F62" s="20"/>
    </row>
    <row r="63" ht="15.75">
      <c r="F63" s="20"/>
    </row>
    <row r="64" ht="15.75">
      <c r="F64" s="20"/>
    </row>
    <row r="65" spans="1:6" ht="15.75">
      <c r="A65" s="25" t="s">
        <v>16</v>
      </c>
      <c r="B65" s="25"/>
      <c r="C65" s="25"/>
      <c r="F65" s="20"/>
    </row>
    <row r="66" ht="15.75">
      <c r="A66" s="2" t="s">
        <v>54</v>
      </c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66"/>
  <sheetViews>
    <sheetView workbookViewId="0" topLeftCell="A1">
      <selection activeCell="A1" sqref="A1"/>
    </sheetView>
  </sheetViews>
  <sheetFormatPr defaultColWidth="9.00390625" defaultRowHeight="15.75"/>
  <cols>
    <col min="1" max="1" width="9.00390625" style="2" customWidth="1"/>
    <col min="2" max="2" width="7.375" style="2" customWidth="1"/>
    <col min="3" max="3" width="11.875" style="2" customWidth="1"/>
    <col min="4" max="5" width="15.625" style="2" customWidth="1"/>
    <col min="6" max="6" width="12.375" style="2" customWidth="1"/>
    <col min="7" max="7" width="11.75390625" style="2" customWidth="1"/>
    <col min="8" max="16384" width="9.00390625" style="2" customWidth="1"/>
  </cols>
  <sheetData>
    <row r="1" spans="1:3" ht="18.75">
      <c r="A1" s="1"/>
      <c r="B1" s="1"/>
      <c r="C1" s="1" t="s">
        <v>33</v>
      </c>
    </row>
    <row r="2" ht="15.75"/>
    <row r="4" spans="1:5" ht="15.75">
      <c r="A4" s="2" t="s">
        <v>0</v>
      </c>
      <c r="D4" s="3">
        <v>38291</v>
      </c>
      <c r="E4" s="3"/>
    </row>
    <row r="5" spans="1:5" ht="15.75">
      <c r="A5" s="2" t="s">
        <v>17</v>
      </c>
      <c r="D5" s="4">
        <v>0.0483</v>
      </c>
      <c r="E5" s="3"/>
    </row>
    <row r="7" ht="15.75">
      <c r="A7" s="2" t="s">
        <v>1</v>
      </c>
    </row>
    <row r="8" spans="1:7" s="47" customFormat="1" ht="31.5">
      <c r="A8" s="41" t="s">
        <v>2</v>
      </c>
      <c r="B8" s="42"/>
      <c r="C8" s="43" t="s">
        <v>31</v>
      </c>
      <c r="D8" s="44" t="s">
        <v>3</v>
      </c>
      <c r="E8" s="44" t="s">
        <v>32</v>
      </c>
      <c r="F8" s="44" t="s">
        <v>18</v>
      </c>
      <c r="G8" s="45" t="s">
        <v>4</v>
      </c>
    </row>
    <row r="9" spans="1:7" ht="15.75">
      <c r="A9" s="6" t="s">
        <v>34</v>
      </c>
      <c r="B9" s="7"/>
      <c r="C9" s="8">
        <v>31</v>
      </c>
      <c r="D9" s="9">
        <v>96640792.8</v>
      </c>
      <c r="E9" s="9">
        <v>6358156.8</v>
      </c>
      <c r="F9" s="9">
        <v>420706.8</v>
      </c>
      <c r="G9" s="10">
        <f>+D9/276000000</f>
        <v>0.3501478</v>
      </c>
    </row>
    <row r="10" spans="1:7" ht="15.75">
      <c r="A10" s="11" t="s">
        <v>5</v>
      </c>
      <c r="B10" s="12"/>
      <c r="C10" s="13">
        <v>85</v>
      </c>
      <c r="D10" s="14">
        <v>24000000</v>
      </c>
      <c r="E10" s="15">
        <v>0</v>
      </c>
      <c r="F10" s="15">
        <v>108297.6</v>
      </c>
      <c r="G10" s="16">
        <f>+D10/24000000</f>
        <v>1</v>
      </c>
    </row>
    <row r="11" spans="1:7" ht="15.75">
      <c r="A11" s="17"/>
      <c r="B11" s="18"/>
      <c r="C11" s="18"/>
      <c r="D11" s="15">
        <f>SUM(D9:D10)</f>
        <v>120640792.8</v>
      </c>
      <c r="E11" s="15">
        <f>SUM(E9:E10)</f>
        <v>6358156.8</v>
      </c>
      <c r="F11" s="15">
        <f>SUM(F9:F10)</f>
        <v>529004.4</v>
      </c>
      <c r="G11" s="19"/>
    </row>
    <row r="13" spans="1:6" ht="15.75">
      <c r="A13" s="2" t="s">
        <v>35</v>
      </c>
      <c r="F13" s="20">
        <v>45000000</v>
      </c>
    </row>
    <row r="14" spans="1:6" ht="15.75">
      <c r="A14" s="2" t="s">
        <v>6</v>
      </c>
      <c r="F14" s="20">
        <v>0</v>
      </c>
    </row>
    <row r="15" ht="15.75">
      <c r="F15" s="20"/>
    </row>
    <row r="16" spans="1:6" ht="15.75">
      <c r="A16" s="2" t="s">
        <v>7</v>
      </c>
      <c r="F16" s="20">
        <v>6000000</v>
      </c>
    </row>
    <row r="17" spans="1:6" ht="15.75">
      <c r="A17" s="2" t="s">
        <v>52</v>
      </c>
      <c r="F17" s="20">
        <v>0</v>
      </c>
    </row>
    <row r="18" spans="1:6" ht="15.75">
      <c r="A18" s="2" t="s">
        <v>36</v>
      </c>
      <c r="F18" s="20">
        <v>6000000</v>
      </c>
    </row>
    <row r="19" ht="15.75">
      <c r="F19" s="20"/>
    </row>
    <row r="20" spans="1:6" ht="15.75">
      <c r="A20" s="2" t="s">
        <v>37</v>
      </c>
      <c r="F20" s="20">
        <v>500000</v>
      </c>
    </row>
    <row r="21" spans="1:6" ht="15.75">
      <c r="A21" s="2" t="s">
        <v>38</v>
      </c>
      <c r="F21" s="20">
        <v>0</v>
      </c>
    </row>
    <row r="22" spans="1:6" ht="15.75">
      <c r="A22" s="2" t="s">
        <v>39</v>
      </c>
      <c r="F22" s="20">
        <v>500000</v>
      </c>
    </row>
    <row r="23" ht="15.75">
      <c r="F23" s="20"/>
    </row>
    <row r="24" spans="1:6" ht="15.75">
      <c r="A24" s="2" t="s">
        <v>8</v>
      </c>
      <c r="F24" s="20">
        <v>0</v>
      </c>
    </row>
    <row r="25" spans="1:6" ht="15.75">
      <c r="A25" s="2" t="s">
        <v>19</v>
      </c>
      <c r="F25" s="20">
        <v>0</v>
      </c>
    </row>
    <row r="26" ht="15.75">
      <c r="F26" s="20"/>
    </row>
    <row r="27" spans="1:6" ht="15.75">
      <c r="A27" s="2" t="s">
        <v>40</v>
      </c>
      <c r="F27" s="20">
        <v>96976</v>
      </c>
    </row>
    <row r="28" spans="1:6" ht="15.75">
      <c r="A28" s="2" t="s">
        <v>53</v>
      </c>
      <c r="F28" s="20">
        <v>0</v>
      </c>
    </row>
    <row r="29" spans="1:6" ht="15.75">
      <c r="A29" s="2" t="s">
        <v>20</v>
      </c>
      <c r="F29" s="20">
        <f>D46</f>
        <v>120640768.38</v>
      </c>
    </row>
    <row r="30" ht="15.75">
      <c r="F30" s="20"/>
    </row>
    <row r="31" spans="5:6" ht="15.75">
      <c r="E31" s="21" t="s">
        <v>21</v>
      </c>
      <c r="F31" s="22" t="s">
        <v>22</v>
      </c>
    </row>
    <row r="32" spans="1:6" ht="15.75">
      <c r="A32" s="2" t="s">
        <v>41</v>
      </c>
      <c r="E32" s="21">
        <f>46+8+8+9+8+11</f>
        <v>90</v>
      </c>
      <c r="F32" s="22">
        <f>811190+65000+35000+59900+25000+30000+3000+2645813+20000+10000+79531.28+41865+268651.81+114225.56+96671.31</f>
        <v>4305847.959999999</v>
      </c>
    </row>
    <row r="33" spans="1:6" ht="15.75">
      <c r="A33" s="2" t="s">
        <v>9</v>
      </c>
      <c r="E33" s="21">
        <v>11</v>
      </c>
      <c r="F33" s="22">
        <v>96671.31</v>
      </c>
    </row>
    <row r="34" spans="1:6" ht="15.75">
      <c r="A34" s="2" t="s">
        <v>42</v>
      </c>
      <c r="E34" s="21">
        <f>861+44+88+59+95+77+116+82+134+73+113+31+115+83+98+36+42+29+106+54+81+113</f>
        <v>2530</v>
      </c>
      <c r="F34" s="22">
        <f>68606382+5894897.05+5544682.87+5709643+7641954+6749512.84+9802062+8604525+8201934.38+6644331.5+7905047+5727719.86+7143832.27+5703968.66+8164011+3279857.62+3708819+2645813+7667212+4699330.91+7405272.82+7315682.26</f>
        <v>204766491.04</v>
      </c>
    </row>
    <row r="35" spans="5:6" ht="15.75">
      <c r="E35" s="21"/>
      <c r="F35" s="22"/>
    </row>
    <row r="36" spans="1:6" ht="15.75">
      <c r="A36" s="2" t="s">
        <v>50</v>
      </c>
      <c r="E36" s="23"/>
      <c r="F36" s="24">
        <f>((5302870+2285127-1133145)/126998948)*12</f>
        <v>0.6099123277777072</v>
      </c>
    </row>
    <row r="37" spans="5:6" ht="15.75">
      <c r="E37" s="23"/>
      <c r="F37" s="20"/>
    </row>
    <row r="38" spans="1:6" ht="15.75">
      <c r="A38" s="2" t="s">
        <v>43</v>
      </c>
      <c r="F38" s="20"/>
    </row>
    <row r="39" spans="1:6" s="47" customFormat="1" ht="47.25">
      <c r="A39" s="41" t="s">
        <v>10</v>
      </c>
      <c r="B39" s="48"/>
      <c r="C39" s="42"/>
      <c r="D39" s="49" t="s">
        <v>11</v>
      </c>
      <c r="E39" s="50" t="s">
        <v>12</v>
      </c>
      <c r="F39" s="51"/>
    </row>
    <row r="40" spans="1:6" ht="15.75">
      <c r="A40" s="6" t="s">
        <v>13</v>
      </c>
      <c r="B40" s="25"/>
      <c r="C40" s="7"/>
      <c r="D40" s="26">
        <v>118306179.3</v>
      </c>
      <c r="E40" s="27">
        <v>2043</v>
      </c>
      <c r="F40" s="28"/>
    </row>
    <row r="41" spans="1:6" ht="15.75">
      <c r="A41" s="29" t="s">
        <v>44</v>
      </c>
      <c r="B41" s="5"/>
      <c r="C41" s="12"/>
      <c r="D41" s="30">
        <v>545397.47</v>
      </c>
      <c r="E41" s="31">
        <v>8</v>
      </c>
      <c r="F41" s="28"/>
    </row>
    <row r="42" spans="1:6" ht="15.75">
      <c r="A42" s="29" t="s">
        <v>45</v>
      </c>
      <c r="B42" s="5"/>
      <c r="C42" s="12"/>
      <c r="D42" s="30">
        <v>507491</v>
      </c>
      <c r="E42" s="31">
        <v>4</v>
      </c>
      <c r="F42" s="28" t="s">
        <v>51</v>
      </c>
    </row>
    <row r="43" spans="1:6" ht="15.75">
      <c r="A43" s="11" t="s">
        <v>46</v>
      </c>
      <c r="B43" s="5"/>
      <c r="C43" s="12"/>
      <c r="D43" s="30">
        <f>919960.14+135163.25+12246.65+957.15</f>
        <v>1068327.19</v>
      </c>
      <c r="E43" s="31">
        <f>8+3+2+1</f>
        <v>14</v>
      </c>
      <c r="F43" s="28"/>
    </row>
    <row r="44" spans="1:6" ht="15.75">
      <c r="A44" s="11" t="s">
        <v>30</v>
      </c>
      <c r="B44" s="5"/>
      <c r="C44" s="12"/>
      <c r="D44" s="30">
        <v>213373.42</v>
      </c>
      <c r="E44" s="31">
        <v>5</v>
      </c>
      <c r="F44" s="28"/>
    </row>
    <row r="45" spans="1:6" ht="15.75">
      <c r="A45" s="11" t="s">
        <v>47</v>
      </c>
      <c r="B45" s="5"/>
      <c r="C45" s="12"/>
      <c r="D45" s="32">
        <v>0</v>
      </c>
      <c r="E45" s="33">
        <v>0</v>
      </c>
      <c r="F45" s="28"/>
    </row>
    <row r="46" spans="1:6" ht="15.75">
      <c r="A46" s="17"/>
      <c r="B46" s="34"/>
      <c r="C46" s="18"/>
      <c r="D46" s="35">
        <f>SUM(D40:D45)</f>
        <v>120640768.38</v>
      </c>
      <c r="E46" s="33">
        <f>SUM(E40:E45)</f>
        <v>2074</v>
      </c>
      <c r="F46" s="28"/>
    </row>
    <row r="47" ht="15.75">
      <c r="F47" s="20"/>
    </row>
    <row r="48" spans="1:6" ht="15.75">
      <c r="A48" s="36" t="s">
        <v>48</v>
      </c>
      <c r="E48" s="21" t="s">
        <v>29</v>
      </c>
      <c r="F48" s="21" t="s">
        <v>22</v>
      </c>
    </row>
    <row r="49" spans="5:6" ht="15.75">
      <c r="E49" s="21"/>
      <c r="F49" s="22"/>
    </row>
    <row r="50" spans="1:6" ht="15.75">
      <c r="A50" s="37" t="s">
        <v>23</v>
      </c>
      <c r="E50" s="21">
        <v>0</v>
      </c>
      <c r="F50" s="22">
        <v>0</v>
      </c>
    </row>
    <row r="51" spans="1:6" ht="15.75">
      <c r="A51" s="36" t="s">
        <v>24</v>
      </c>
      <c r="E51" s="21">
        <v>0</v>
      </c>
      <c r="F51" s="22">
        <v>0</v>
      </c>
    </row>
    <row r="52" spans="1:6" ht="15.75">
      <c r="A52" s="2" t="s">
        <v>14</v>
      </c>
      <c r="E52" s="21">
        <v>0</v>
      </c>
      <c r="F52" s="22">
        <v>0</v>
      </c>
    </row>
    <row r="53" spans="1:6" ht="15.75">
      <c r="A53" s="36" t="s">
        <v>25</v>
      </c>
      <c r="E53" s="21"/>
      <c r="F53" s="22">
        <f>F50-F54-F51-F52</f>
        <v>0</v>
      </c>
    </row>
    <row r="54" spans="1:6" ht="15.75">
      <c r="A54" s="2" t="s">
        <v>26</v>
      </c>
      <c r="E54" s="21"/>
      <c r="F54" s="38">
        <v>0</v>
      </c>
    </row>
    <row r="55" spans="5:6" ht="15.75">
      <c r="E55" s="21"/>
      <c r="F55" s="22"/>
    </row>
    <row r="56" spans="1:6" ht="15.75">
      <c r="A56" s="2" t="s">
        <v>27</v>
      </c>
      <c r="E56" s="21"/>
      <c r="F56" s="39">
        <v>0</v>
      </c>
    </row>
    <row r="57" spans="1:6" ht="15.75">
      <c r="A57" s="2" t="s">
        <v>15</v>
      </c>
      <c r="E57" s="21"/>
      <c r="F57" s="22">
        <v>0</v>
      </c>
    </row>
    <row r="58" spans="5:6" ht="15.75">
      <c r="E58" s="21"/>
      <c r="F58" s="22"/>
    </row>
    <row r="59" spans="1:6" ht="15.75">
      <c r="A59" s="2" t="s">
        <v>28</v>
      </c>
      <c r="E59" s="21"/>
      <c r="F59" s="39">
        <v>0</v>
      </c>
    </row>
    <row r="60" spans="1:6" ht="15.75">
      <c r="A60" s="2" t="s">
        <v>49</v>
      </c>
      <c r="E60" s="21"/>
      <c r="F60" s="40">
        <v>0</v>
      </c>
    </row>
    <row r="61" spans="5:6" ht="15.75">
      <c r="E61" s="21"/>
      <c r="F61" s="22"/>
    </row>
    <row r="62" ht="15.75">
      <c r="F62" s="20"/>
    </row>
    <row r="63" ht="15.75">
      <c r="F63" s="20"/>
    </row>
    <row r="64" ht="15.75">
      <c r="F64" s="20"/>
    </row>
    <row r="65" spans="1:6" ht="15.75">
      <c r="A65" s="25" t="s">
        <v>16</v>
      </c>
      <c r="B65" s="25"/>
      <c r="C65" s="25"/>
      <c r="F65" s="20"/>
    </row>
    <row r="66" ht="15.75">
      <c r="A66" s="2" t="s">
        <v>54</v>
      </c>
    </row>
  </sheetData>
  <printOptions/>
  <pageMargins left="0.75" right="0.75" top="1" bottom="1" header="0.5" footer="0.5"/>
  <pageSetup horizontalDpi="600" verticalDpi="600" orientation="portrait" paperSize="9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66"/>
  <sheetViews>
    <sheetView workbookViewId="0" topLeftCell="A1">
      <selection activeCell="A1" sqref="A1"/>
    </sheetView>
  </sheetViews>
  <sheetFormatPr defaultColWidth="9.00390625" defaultRowHeight="15.75"/>
  <cols>
    <col min="1" max="1" width="9.00390625" style="2" customWidth="1"/>
    <col min="2" max="2" width="7.625" style="2" customWidth="1"/>
    <col min="3" max="3" width="11.875" style="2" customWidth="1"/>
    <col min="4" max="5" width="15.625" style="2" customWidth="1"/>
    <col min="6" max="6" width="12.375" style="2" customWidth="1"/>
    <col min="7" max="7" width="11.75390625" style="2" customWidth="1"/>
    <col min="8" max="16384" width="9.00390625" style="2" customWidth="1"/>
  </cols>
  <sheetData>
    <row r="1" spans="1:3" ht="18.75">
      <c r="A1" s="1"/>
      <c r="B1" s="1"/>
      <c r="C1" s="1" t="s">
        <v>33</v>
      </c>
    </row>
    <row r="2" ht="15.75"/>
    <row r="4" spans="1:5" ht="15.75">
      <c r="A4" s="2" t="s">
        <v>0</v>
      </c>
      <c r="D4" s="52">
        <v>38321</v>
      </c>
      <c r="E4" s="3"/>
    </row>
    <row r="5" spans="1:5" ht="15.75">
      <c r="A5" s="2" t="s">
        <v>17</v>
      </c>
      <c r="D5" s="53">
        <v>0.0482125</v>
      </c>
      <c r="E5" s="3"/>
    </row>
    <row r="7" ht="15.75">
      <c r="A7" s="2" t="s">
        <v>1</v>
      </c>
    </row>
    <row r="8" spans="1:7" s="47" customFormat="1" ht="31.5">
      <c r="A8" s="41" t="s">
        <v>2</v>
      </c>
      <c r="B8" s="42"/>
      <c r="C8" s="43" t="s">
        <v>31</v>
      </c>
      <c r="D8" s="44" t="s">
        <v>3</v>
      </c>
      <c r="E8" s="44" t="s">
        <v>32</v>
      </c>
      <c r="F8" s="44" t="s">
        <v>18</v>
      </c>
      <c r="G8" s="45" t="s">
        <v>4</v>
      </c>
    </row>
    <row r="9" spans="1:7" ht="15.75">
      <c r="A9" s="6" t="s">
        <v>34</v>
      </c>
      <c r="B9" s="7"/>
      <c r="C9" s="8">
        <v>31</v>
      </c>
      <c r="D9" s="54">
        <v>90553638.4</v>
      </c>
      <c r="E9" s="54">
        <v>6087152.4</v>
      </c>
      <c r="F9" s="54">
        <v>434313.6</v>
      </c>
      <c r="G9" s="10">
        <f>+D9/276000000</f>
        <v>0.3280928927536232</v>
      </c>
    </row>
    <row r="10" spans="1:7" ht="15.75">
      <c r="A10" s="11" t="s">
        <v>5</v>
      </c>
      <c r="B10" s="12"/>
      <c r="C10" s="13">
        <v>85</v>
      </c>
      <c r="D10" s="14">
        <v>24000000</v>
      </c>
      <c r="E10" s="15">
        <v>0</v>
      </c>
      <c r="F10" s="55">
        <v>119186.4</v>
      </c>
      <c r="G10" s="16">
        <f>+D10/24000000</f>
        <v>1</v>
      </c>
    </row>
    <row r="11" spans="1:7" ht="15.75">
      <c r="A11" s="17"/>
      <c r="B11" s="18"/>
      <c r="C11" s="18"/>
      <c r="D11" s="15">
        <f>SUM(D9:D10)</f>
        <v>114553638.4</v>
      </c>
      <c r="E11" s="15">
        <f>SUM(E9:E10)</f>
        <v>6087152.4</v>
      </c>
      <c r="F11" s="15">
        <f>SUM(F9:F10)</f>
        <v>553500</v>
      </c>
      <c r="G11" s="19"/>
    </row>
    <row r="13" spans="1:6" ht="15.75">
      <c r="A13" s="2" t="s">
        <v>35</v>
      </c>
      <c r="F13" s="20">
        <v>45000000</v>
      </c>
    </row>
    <row r="14" spans="1:6" ht="15.75">
      <c r="A14" s="2" t="s">
        <v>6</v>
      </c>
      <c r="F14" s="20">
        <v>0</v>
      </c>
    </row>
    <row r="15" ht="15.75">
      <c r="F15" s="20"/>
    </row>
    <row r="16" spans="1:6" ht="15.75">
      <c r="A16" s="2" t="s">
        <v>7</v>
      </c>
      <c r="F16" s="20">
        <v>6000000</v>
      </c>
    </row>
    <row r="17" spans="1:6" ht="15.75">
      <c r="A17" s="2" t="s">
        <v>52</v>
      </c>
      <c r="F17" s="20">
        <v>0</v>
      </c>
    </row>
    <row r="18" spans="1:6" ht="15.75">
      <c r="A18" s="2" t="s">
        <v>36</v>
      </c>
      <c r="F18" s="20">
        <v>6000000</v>
      </c>
    </row>
    <row r="19" ht="15.75">
      <c r="F19" s="20"/>
    </row>
    <row r="20" spans="1:6" ht="15.75">
      <c r="A20" s="2" t="s">
        <v>37</v>
      </c>
      <c r="F20" s="20">
        <v>500000</v>
      </c>
    </row>
    <row r="21" spans="1:6" ht="15.75">
      <c r="A21" s="2" t="s">
        <v>38</v>
      </c>
      <c r="F21" s="20">
        <v>0</v>
      </c>
    </row>
    <row r="22" spans="1:6" ht="15.75">
      <c r="A22" s="2" t="s">
        <v>39</v>
      </c>
      <c r="F22" s="20">
        <v>500000</v>
      </c>
    </row>
    <row r="23" ht="15.75">
      <c r="F23" s="20"/>
    </row>
    <row r="24" spans="1:6" ht="15.75">
      <c r="A24" s="2" t="s">
        <v>8</v>
      </c>
      <c r="F24" s="20">
        <v>0</v>
      </c>
    </row>
    <row r="25" spans="1:6" ht="15.75">
      <c r="A25" s="2" t="s">
        <v>19</v>
      </c>
      <c r="F25" s="20">
        <v>0</v>
      </c>
    </row>
    <row r="26" ht="15.75">
      <c r="F26" s="20"/>
    </row>
    <row r="27" spans="1:6" ht="15.75">
      <c r="A27" s="2" t="s">
        <v>40</v>
      </c>
      <c r="F27" s="65">
        <v>118095</v>
      </c>
    </row>
    <row r="28" spans="1:6" ht="15.75">
      <c r="A28" s="2" t="s">
        <v>53</v>
      </c>
      <c r="F28" s="20">
        <v>0</v>
      </c>
    </row>
    <row r="29" spans="1:6" ht="15.75">
      <c r="A29" s="2" t="s">
        <v>20</v>
      </c>
      <c r="F29" s="20">
        <f>D46</f>
        <v>114553611.42999999</v>
      </c>
    </row>
    <row r="30" ht="15.75">
      <c r="F30" s="20"/>
    </row>
    <row r="31" spans="5:6" ht="15.75">
      <c r="E31" s="21" t="s">
        <v>21</v>
      </c>
      <c r="F31" s="22" t="s">
        <v>22</v>
      </c>
    </row>
    <row r="32" spans="1:6" ht="15.75">
      <c r="A32" s="2" t="s">
        <v>41</v>
      </c>
      <c r="E32" s="56">
        <f>46+8+8+9+8+11+4</f>
        <v>94</v>
      </c>
      <c r="F32" s="57">
        <f>811190+65000+35000+59900+25000+30000+3000+2645813+20000+10000+79531.28+41865+268651.81+114225.56+96671.31+10787.15</f>
        <v>4316635.109999999</v>
      </c>
    </row>
    <row r="33" spans="1:6" ht="15.75">
      <c r="A33" s="2" t="s">
        <v>9</v>
      </c>
      <c r="E33" s="56">
        <v>4</v>
      </c>
      <c r="F33" s="57">
        <v>10787.15</v>
      </c>
    </row>
    <row r="34" spans="1:6" ht="15.75">
      <c r="A34" s="2" t="s">
        <v>42</v>
      </c>
      <c r="E34" s="21">
        <f>861+44+88+59+95+77+116+82+134+73+113+31+115+83+98+36+42+29+106+54+81+113</f>
        <v>2530</v>
      </c>
      <c r="F34" s="22">
        <f>68606382+5894897.05+5544682.87+5709643+7641954+6749512.84+9802062+8604525+8201934.38+6644331.5+7905047+5727719.86+7143832.27+5703968.66+8164011+3279857.62+3708819+2645813+7667212+4699330.91+7405272.82+7315682.26</f>
        <v>204766491.04</v>
      </c>
    </row>
    <row r="35" spans="5:6" ht="15.75">
      <c r="E35" s="21"/>
      <c r="F35" s="22"/>
    </row>
    <row r="36" spans="1:6" ht="15.75">
      <c r="A36" s="2" t="s">
        <v>50</v>
      </c>
      <c r="E36" s="23"/>
      <c r="F36" s="58">
        <f>((5145570+2407984-1455588)/120640768)*12</f>
        <v>0.606557743398981</v>
      </c>
    </row>
    <row r="37" spans="5:6" ht="15.75">
      <c r="E37" s="23"/>
      <c r="F37" s="20"/>
    </row>
    <row r="38" spans="1:6" ht="15.75">
      <c r="A38" s="2" t="s">
        <v>43</v>
      </c>
      <c r="F38" s="20"/>
    </row>
    <row r="39" spans="1:6" s="47" customFormat="1" ht="47.25">
      <c r="A39" s="41" t="s">
        <v>10</v>
      </c>
      <c r="B39" s="48"/>
      <c r="C39" s="42"/>
      <c r="D39" s="49" t="s">
        <v>11</v>
      </c>
      <c r="E39" s="50" t="s">
        <v>12</v>
      </c>
      <c r="F39" s="51"/>
    </row>
    <row r="40" spans="1:6" ht="15.75">
      <c r="A40" s="6" t="s">
        <v>13</v>
      </c>
      <c r="B40" s="25"/>
      <c r="C40" s="7"/>
      <c r="D40" s="59">
        <v>111801054.39</v>
      </c>
      <c r="E40" s="60">
        <v>1956</v>
      </c>
      <c r="F40" s="28"/>
    </row>
    <row r="41" spans="1:6" ht="15.75">
      <c r="A41" s="29" t="s">
        <v>44</v>
      </c>
      <c r="B41" s="5"/>
      <c r="C41" s="12"/>
      <c r="D41" s="61">
        <v>1422971.82</v>
      </c>
      <c r="E41" s="62">
        <v>18</v>
      </c>
      <c r="F41" s="28"/>
    </row>
    <row r="42" spans="1:6" ht="15.75">
      <c r="A42" s="29" t="s">
        <v>45</v>
      </c>
      <c r="B42" s="5"/>
      <c r="C42" s="12"/>
      <c r="D42" s="61">
        <v>386030.96</v>
      </c>
      <c r="E42" s="62">
        <v>2</v>
      </c>
      <c r="F42" s="28" t="s">
        <v>51</v>
      </c>
    </row>
    <row r="43" spans="1:6" ht="15.75">
      <c r="A43" s="11" t="s">
        <v>46</v>
      </c>
      <c r="B43" s="5"/>
      <c r="C43" s="12"/>
      <c r="D43" s="61">
        <f>281145.6+2794.38+5863.95+907.15</f>
        <v>290711.08</v>
      </c>
      <c r="E43" s="62">
        <f>4+1+2+1</f>
        <v>8</v>
      </c>
      <c r="F43" s="28"/>
    </row>
    <row r="44" spans="1:6" ht="15.75">
      <c r="A44" s="11" t="s">
        <v>30</v>
      </c>
      <c r="B44" s="5"/>
      <c r="C44" s="12"/>
      <c r="D44" s="61">
        <v>652843.18</v>
      </c>
      <c r="E44" s="62">
        <v>9</v>
      </c>
      <c r="F44" s="28"/>
    </row>
    <row r="45" spans="1:6" ht="15.75">
      <c r="A45" s="11" t="s">
        <v>47</v>
      </c>
      <c r="B45" s="5"/>
      <c r="C45" s="12"/>
      <c r="D45" s="63">
        <v>0</v>
      </c>
      <c r="E45" s="64">
        <v>0</v>
      </c>
      <c r="F45" s="28"/>
    </row>
    <row r="46" spans="1:6" ht="15.75">
      <c r="A46" s="17"/>
      <c r="B46" s="34"/>
      <c r="C46" s="18"/>
      <c r="D46" s="35">
        <f>SUM(D40:D45)</f>
        <v>114553611.42999999</v>
      </c>
      <c r="E46" s="33">
        <f>SUM(E40:E45)</f>
        <v>1993</v>
      </c>
      <c r="F46" s="28"/>
    </row>
    <row r="47" ht="15.75">
      <c r="F47" s="20"/>
    </row>
    <row r="48" spans="1:6" ht="15.75">
      <c r="A48" s="36" t="s">
        <v>48</v>
      </c>
      <c r="E48" s="21" t="s">
        <v>29</v>
      </c>
      <c r="F48" s="21" t="s">
        <v>22</v>
      </c>
    </row>
    <row r="49" spans="5:6" ht="15.75">
      <c r="E49" s="21"/>
      <c r="F49" s="22"/>
    </row>
    <row r="50" spans="1:6" ht="15.75">
      <c r="A50" s="37" t="s">
        <v>23</v>
      </c>
      <c r="E50" s="21">
        <v>0</v>
      </c>
      <c r="F50" s="22">
        <v>0</v>
      </c>
    </row>
    <row r="51" spans="1:6" ht="15.75">
      <c r="A51" s="36" t="s">
        <v>24</v>
      </c>
      <c r="E51" s="21">
        <v>0</v>
      </c>
      <c r="F51" s="22">
        <v>0</v>
      </c>
    </row>
    <row r="52" spans="1:6" ht="15.75">
      <c r="A52" s="2" t="s">
        <v>14</v>
      </c>
      <c r="E52" s="21">
        <v>0</v>
      </c>
      <c r="F52" s="22">
        <v>0</v>
      </c>
    </row>
    <row r="53" spans="1:6" ht="15.75">
      <c r="A53" s="36" t="s">
        <v>25</v>
      </c>
      <c r="E53" s="21"/>
      <c r="F53" s="22">
        <f>F50-F54-F51-F52</f>
        <v>0</v>
      </c>
    </row>
    <row r="54" spans="1:6" ht="15.75">
      <c r="A54" s="2" t="s">
        <v>26</v>
      </c>
      <c r="E54" s="21"/>
      <c r="F54" s="38">
        <v>0</v>
      </c>
    </row>
    <row r="55" spans="5:6" ht="15.75">
      <c r="E55" s="21"/>
      <c r="F55" s="22"/>
    </row>
    <row r="56" spans="1:6" ht="15.75">
      <c r="A56" s="2" t="s">
        <v>27</v>
      </c>
      <c r="E56" s="21"/>
      <c r="F56" s="39">
        <v>0</v>
      </c>
    </row>
    <row r="57" spans="1:6" ht="15.75">
      <c r="A57" s="2" t="s">
        <v>15</v>
      </c>
      <c r="E57" s="21"/>
      <c r="F57" s="22">
        <v>0</v>
      </c>
    </row>
    <row r="58" spans="5:6" ht="15.75">
      <c r="E58" s="21"/>
      <c r="F58" s="22"/>
    </row>
    <row r="59" spans="1:6" ht="15.75">
      <c r="A59" s="2" t="s">
        <v>28</v>
      </c>
      <c r="E59" s="21"/>
      <c r="F59" s="39">
        <v>0</v>
      </c>
    </row>
    <row r="60" spans="1:6" ht="15.75">
      <c r="A60" s="2" t="s">
        <v>49</v>
      </c>
      <c r="E60" s="21"/>
      <c r="F60" s="40">
        <v>0</v>
      </c>
    </row>
    <row r="61" spans="5:6" ht="15.75">
      <c r="E61" s="21"/>
      <c r="F61" s="22"/>
    </row>
    <row r="62" ht="15.75">
      <c r="F62" s="20"/>
    </row>
    <row r="63" ht="15.75">
      <c r="F63" s="20"/>
    </row>
    <row r="64" ht="15.75">
      <c r="F64" s="20"/>
    </row>
    <row r="65" spans="1:6" ht="15.75">
      <c r="A65" s="25" t="s">
        <v>16</v>
      </c>
      <c r="B65" s="25"/>
      <c r="C65" s="25"/>
      <c r="F65" s="20"/>
    </row>
    <row r="66" ht="15.75">
      <c r="A66" s="2" t="s">
        <v>54</v>
      </c>
    </row>
  </sheetData>
  <printOptions/>
  <pageMargins left="0.75" right="0.75" top="1" bottom="1" header="0.5" footer="0.5"/>
  <pageSetup horizontalDpi="600" verticalDpi="600" orientation="portrait" paperSize="9" scale="9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66"/>
  <sheetViews>
    <sheetView workbookViewId="0" topLeftCell="A1">
      <selection activeCell="A1" sqref="A1"/>
    </sheetView>
  </sheetViews>
  <sheetFormatPr defaultColWidth="9.00390625" defaultRowHeight="15.75"/>
  <cols>
    <col min="1" max="1" width="9.00390625" style="2" customWidth="1"/>
    <col min="2" max="2" width="7.625" style="2" customWidth="1"/>
    <col min="3" max="3" width="11.875" style="2" customWidth="1"/>
    <col min="4" max="5" width="15.625" style="2" customWidth="1"/>
    <col min="6" max="6" width="12.375" style="2" customWidth="1"/>
    <col min="7" max="7" width="11.75390625" style="2" customWidth="1"/>
    <col min="8" max="16384" width="9.00390625" style="2" customWidth="1"/>
  </cols>
  <sheetData>
    <row r="1" spans="1:3" ht="18.75">
      <c r="A1" s="1"/>
      <c r="B1" s="1"/>
      <c r="C1" s="1" t="s">
        <v>33</v>
      </c>
    </row>
    <row r="2" ht="15.75"/>
    <row r="4" spans="1:5" ht="15.75">
      <c r="A4" s="2" t="s">
        <v>0</v>
      </c>
      <c r="D4" s="52">
        <v>38352</v>
      </c>
      <c r="E4" s="3"/>
    </row>
    <row r="5" spans="1:5" ht="15.75">
      <c r="A5" s="2" t="s">
        <v>17</v>
      </c>
      <c r="D5" s="53">
        <v>0.0486</v>
      </c>
      <c r="E5" s="3"/>
    </row>
    <row r="7" ht="15.75">
      <c r="A7" s="2" t="s">
        <v>1</v>
      </c>
    </row>
    <row r="8" spans="1:7" s="47" customFormat="1" ht="31.5">
      <c r="A8" s="41" t="s">
        <v>2</v>
      </c>
      <c r="B8" s="42"/>
      <c r="C8" s="43" t="s">
        <v>31</v>
      </c>
      <c r="D8" s="44" t="s">
        <v>3</v>
      </c>
      <c r="E8" s="44" t="s">
        <v>32</v>
      </c>
      <c r="F8" s="44" t="s">
        <v>18</v>
      </c>
      <c r="G8" s="45" t="s">
        <v>4</v>
      </c>
    </row>
    <row r="9" spans="1:7" ht="15.75">
      <c r="A9" s="6" t="s">
        <v>34</v>
      </c>
      <c r="B9" s="7"/>
      <c r="C9" s="8">
        <v>31</v>
      </c>
      <c r="D9" s="54">
        <v>85441622</v>
      </c>
      <c r="E9" s="54">
        <v>5112016</v>
      </c>
      <c r="F9" s="54">
        <v>393548.4</v>
      </c>
      <c r="G9" s="10">
        <f>+D9/276000000</f>
        <v>0.3095710942028986</v>
      </c>
    </row>
    <row r="10" spans="1:7" ht="15.75">
      <c r="A10" s="11" t="s">
        <v>5</v>
      </c>
      <c r="B10" s="12"/>
      <c r="C10" s="13">
        <v>85</v>
      </c>
      <c r="D10" s="14">
        <v>24000000</v>
      </c>
      <c r="E10" s="15">
        <v>0</v>
      </c>
      <c r="F10" s="55">
        <v>115284</v>
      </c>
      <c r="G10" s="16">
        <f>+D10/24000000</f>
        <v>1</v>
      </c>
    </row>
    <row r="11" spans="1:7" ht="15.75">
      <c r="A11" s="17"/>
      <c r="B11" s="18"/>
      <c r="C11" s="18"/>
      <c r="D11" s="15">
        <f>SUM(D9:D10)</f>
        <v>109441622</v>
      </c>
      <c r="E11" s="15">
        <f>SUM(E9:E10)</f>
        <v>5112016</v>
      </c>
      <c r="F11" s="15">
        <f>SUM(F9:F10)</f>
        <v>508832.4</v>
      </c>
      <c r="G11" s="19"/>
    </row>
    <row r="13" spans="1:6" ht="15.75">
      <c r="A13" s="2" t="s">
        <v>35</v>
      </c>
      <c r="F13" s="20">
        <v>45000000</v>
      </c>
    </row>
    <row r="14" spans="1:6" ht="15.75">
      <c r="A14" s="2" t="s">
        <v>6</v>
      </c>
      <c r="F14" s="20">
        <v>0</v>
      </c>
    </row>
    <row r="15" ht="15.75">
      <c r="F15" s="20"/>
    </row>
    <row r="16" spans="1:6" ht="15.75">
      <c r="A16" s="2" t="s">
        <v>7</v>
      </c>
      <c r="F16" s="20">
        <v>6000000</v>
      </c>
    </row>
    <row r="17" spans="1:6" ht="15.75">
      <c r="A17" s="2" t="s">
        <v>52</v>
      </c>
      <c r="F17" s="20">
        <v>0</v>
      </c>
    </row>
    <row r="18" spans="1:6" ht="15.75">
      <c r="A18" s="2" t="s">
        <v>36</v>
      </c>
      <c r="F18" s="20">
        <v>6000000</v>
      </c>
    </row>
    <row r="19" ht="15.75">
      <c r="F19" s="20"/>
    </row>
    <row r="20" spans="1:6" ht="15.75">
      <c r="A20" s="2" t="s">
        <v>37</v>
      </c>
      <c r="F20" s="20">
        <v>500000</v>
      </c>
    </row>
    <row r="21" spans="1:6" ht="15.75">
      <c r="A21" s="2" t="s">
        <v>38</v>
      </c>
      <c r="F21" s="20">
        <v>0</v>
      </c>
    </row>
    <row r="22" spans="1:6" ht="15.75">
      <c r="A22" s="2" t="s">
        <v>39</v>
      </c>
      <c r="F22" s="20">
        <v>500000</v>
      </c>
    </row>
    <row r="23" ht="15.75">
      <c r="F23" s="20"/>
    </row>
    <row r="24" spans="1:6" ht="15.75">
      <c r="A24" s="2" t="s">
        <v>8</v>
      </c>
      <c r="F24" s="20">
        <v>0</v>
      </c>
    </row>
    <row r="25" spans="1:6" ht="15.75">
      <c r="A25" s="2" t="s">
        <v>19</v>
      </c>
      <c r="F25" s="20">
        <v>0</v>
      </c>
    </row>
    <row r="26" ht="15.75">
      <c r="F26" s="20"/>
    </row>
    <row r="27" spans="1:6" ht="15.75">
      <c r="A27" s="2" t="s">
        <v>40</v>
      </c>
      <c r="F27" s="65">
        <v>103989.61</v>
      </c>
    </row>
    <row r="28" spans="1:6" ht="15.75">
      <c r="A28" s="2" t="s">
        <v>53</v>
      </c>
      <c r="F28" s="20">
        <v>0</v>
      </c>
    </row>
    <row r="29" spans="1:6" ht="15.75">
      <c r="A29" s="2" t="s">
        <v>20</v>
      </c>
      <c r="F29" s="20">
        <f>D46</f>
        <v>109441614.27</v>
      </c>
    </row>
    <row r="30" ht="15.75">
      <c r="F30" s="20"/>
    </row>
    <row r="31" spans="5:6" ht="15.75">
      <c r="E31" s="21" t="s">
        <v>21</v>
      </c>
      <c r="F31" s="22" t="s">
        <v>22</v>
      </c>
    </row>
    <row r="32" spans="1:6" ht="15.75">
      <c r="A32" s="2" t="s">
        <v>41</v>
      </c>
      <c r="E32" s="56">
        <f>46+8+8+9+8+11+4</f>
        <v>94</v>
      </c>
      <c r="F32" s="57">
        <f>811190+65000+35000+59900+25000+30000+3000+2645813+20000+10000+79531.28+41865+268651.81+114225.56+96671.31+10787.15</f>
        <v>4316635.109999999</v>
      </c>
    </row>
    <row r="33" spans="1:6" ht="15.75">
      <c r="A33" s="2" t="s">
        <v>9</v>
      </c>
      <c r="E33" s="56">
        <v>0</v>
      </c>
      <c r="F33" s="57">
        <v>0</v>
      </c>
    </row>
    <row r="34" spans="1:6" ht="15.75">
      <c r="A34" s="2" t="s">
        <v>42</v>
      </c>
      <c r="E34" s="21">
        <f>861+44+88+59+95+77+116+82+134+73+113+31+115+83+98+36+42+29+106+54+81+113</f>
        <v>2530</v>
      </c>
      <c r="F34" s="22">
        <f>68606382+5894897.05+5544682.87+5709643+7641954+6749512.84+9802062+8604525+8201934.38+6644331.5+7905047+5727719.86+7143832.27+5703968.66+8164011+3279857.62+3708819+2645813+7667212+4699330.91+7405272.82+7315682.26</f>
        <v>204766491.04</v>
      </c>
    </row>
    <row r="35" spans="5:6" ht="15.75">
      <c r="E35" s="21"/>
      <c r="F35" s="22"/>
    </row>
    <row r="36" spans="1:6" ht="15.75">
      <c r="A36" s="2" t="s">
        <v>50</v>
      </c>
      <c r="E36" s="23"/>
      <c r="F36" s="58">
        <f>((4656109+1587881.72-1131965.81)/114553611)*12</f>
        <v>0.5355073348146135</v>
      </c>
    </row>
    <row r="37" spans="5:6" ht="15.75">
      <c r="E37" s="23"/>
      <c r="F37" s="20"/>
    </row>
    <row r="38" spans="1:6" ht="15.75">
      <c r="A38" s="2" t="s">
        <v>43</v>
      </c>
      <c r="F38" s="20"/>
    </row>
    <row r="39" spans="1:6" s="47" customFormat="1" ht="47.25">
      <c r="A39" s="41" t="s">
        <v>10</v>
      </c>
      <c r="B39" s="48"/>
      <c r="C39" s="42"/>
      <c r="D39" s="49" t="s">
        <v>11</v>
      </c>
      <c r="E39" s="50" t="s">
        <v>12</v>
      </c>
      <c r="F39" s="51"/>
    </row>
    <row r="40" spans="1:6" ht="15.75">
      <c r="A40" s="6" t="s">
        <v>13</v>
      </c>
      <c r="B40" s="25"/>
      <c r="C40" s="7"/>
      <c r="D40" s="59">
        <v>107261489.95</v>
      </c>
      <c r="E40" s="60">
        <v>1894</v>
      </c>
      <c r="F40" s="28"/>
    </row>
    <row r="41" spans="1:6" ht="15.75">
      <c r="A41" s="29" t="s">
        <v>44</v>
      </c>
      <c r="B41" s="5"/>
      <c r="C41" s="12"/>
      <c r="D41" s="61">
        <v>1054196.16</v>
      </c>
      <c r="E41" s="62">
        <v>12</v>
      </c>
      <c r="F41" s="28"/>
    </row>
    <row r="42" spans="1:6" ht="15.75">
      <c r="A42" s="29" t="s">
        <v>45</v>
      </c>
      <c r="B42" s="5"/>
      <c r="C42" s="12"/>
      <c r="D42" s="61">
        <v>684749.63</v>
      </c>
      <c r="E42" s="62">
        <v>7</v>
      </c>
      <c r="F42" s="28" t="s">
        <v>51</v>
      </c>
    </row>
    <row r="43" spans="1:6" ht="15.75">
      <c r="A43" s="11" t="s">
        <v>46</v>
      </c>
      <c r="B43" s="5"/>
      <c r="C43" s="12"/>
      <c r="D43" s="61">
        <f>241569.76+8785.93+857.15</f>
        <v>251212.84</v>
      </c>
      <c r="E43" s="62">
        <f>3+2+1</f>
        <v>6</v>
      </c>
      <c r="F43" s="28"/>
    </row>
    <row r="44" spans="1:6" ht="15.75">
      <c r="A44" s="11" t="s">
        <v>30</v>
      </c>
      <c r="B44" s="5"/>
      <c r="C44" s="12"/>
      <c r="D44" s="61">
        <v>189965.69</v>
      </c>
      <c r="E44" s="62">
        <v>6</v>
      </c>
      <c r="F44" s="28"/>
    </row>
    <row r="45" spans="1:6" ht="15.75">
      <c r="A45" s="11" t="s">
        <v>47</v>
      </c>
      <c r="B45" s="5"/>
      <c r="C45" s="12"/>
      <c r="D45" s="63">
        <v>0</v>
      </c>
      <c r="E45" s="64">
        <v>0</v>
      </c>
      <c r="F45" s="28"/>
    </row>
    <row r="46" spans="1:6" ht="15.75">
      <c r="A46" s="17"/>
      <c r="B46" s="34"/>
      <c r="C46" s="18"/>
      <c r="D46" s="35">
        <f>SUM(D40:D45)</f>
        <v>109441614.27</v>
      </c>
      <c r="E46" s="33">
        <f>SUM(E40:E45)</f>
        <v>1925</v>
      </c>
      <c r="F46" s="28"/>
    </row>
    <row r="47" ht="15.75">
      <c r="F47" s="20"/>
    </row>
    <row r="48" spans="1:6" ht="15.75">
      <c r="A48" s="36" t="s">
        <v>48</v>
      </c>
      <c r="E48" s="21" t="s">
        <v>29</v>
      </c>
      <c r="F48" s="21" t="s">
        <v>22</v>
      </c>
    </row>
    <row r="49" spans="5:6" ht="15.75">
      <c r="E49" s="21"/>
      <c r="F49" s="22"/>
    </row>
    <row r="50" spans="1:6" ht="15.75">
      <c r="A50" s="37" t="s">
        <v>23</v>
      </c>
      <c r="E50" s="21">
        <v>0</v>
      </c>
      <c r="F50" s="22">
        <v>0</v>
      </c>
    </row>
    <row r="51" spans="1:6" ht="15.75">
      <c r="A51" s="36" t="s">
        <v>24</v>
      </c>
      <c r="E51" s="21">
        <v>0</v>
      </c>
      <c r="F51" s="22">
        <v>0</v>
      </c>
    </row>
    <row r="52" spans="1:6" ht="15.75">
      <c r="A52" s="2" t="s">
        <v>14</v>
      </c>
      <c r="E52" s="21">
        <v>0</v>
      </c>
      <c r="F52" s="22">
        <v>0</v>
      </c>
    </row>
    <row r="53" spans="1:6" ht="15.75">
      <c r="A53" s="36" t="s">
        <v>25</v>
      </c>
      <c r="E53" s="21"/>
      <c r="F53" s="22">
        <f>F50-F54-F51-F52</f>
        <v>0</v>
      </c>
    </row>
    <row r="54" spans="1:6" ht="15.75">
      <c r="A54" s="2" t="s">
        <v>26</v>
      </c>
      <c r="E54" s="21"/>
      <c r="F54" s="38">
        <v>0</v>
      </c>
    </row>
    <row r="55" spans="5:6" ht="15.75">
      <c r="E55" s="21"/>
      <c r="F55" s="22"/>
    </row>
    <row r="56" spans="1:6" ht="15.75">
      <c r="A56" s="2" t="s">
        <v>27</v>
      </c>
      <c r="E56" s="21"/>
      <c r="F56" s="39">
        <v>0</v>
      </c>
    </row>
    <row r="57" spans="1:6" ht="15.75">
      <c r="A57" s="2" t="s">
        <v>15</v>
      </c>
      <c r="E57" s="21"/>
      <c r="F57" s="22">
        <v>0</v>
      </c>
    </row>
    <row r="58" spans="5:6" ht="15.75">
      <c r="E58" s="21"/>
      <c r="F58" s="22"/>
    </row>
    <row r="59" spans="1:6" ht="15.75">
      <c r="A59" s="2" t="s">
        <v>28</v>
      </c>
      <c r="E59" s="21"/>
      <c r="F59" s="39">
        <v>0</v>
      </c>
    </row>
    <row r="60" spans="1:6" ht="15.75">
      <c r="A60" s="2" t="s">
        <v>49</v>
      </c>
      <c r="E60" s="21"/>
      <c r="F60" s="40">
        <v>0</v>
      </c>
    </row>
    <row r="61" spans="5:6" ht="15.75">
      <c r="E61" s="21"/>
      <c r="F61" s="22"/>
    </row>
    <row r="62" ht="15.75">
      <c r="F62" s="20"/>
    </row>
    <row r="63" ht="15.75">
      <c r="F63" s="20"/>
    </row>
    <row r="64" ht="15.75">
      <c r="F64" s="20"/>
    </row>
    <row r="65" spans="1:6" ht="15.75">
      <c r="A65" s="25" t="s">
        <v>16</v>
      </c>
      <c r="B65" s="25"/>
      <c r="C65" s="25"/>
      <c r="F65" s="20"/>
    </row>
    <row r="66" ht="15.75">
      <c r="A66" s="2" t="s">
        <v>54</v>
      </c>
    </row>
  </sheetData>
  <printOptions/>
  <pageMargins left="0.75" right="0.75" top="1" bottom="1" header="0.5" footer="0.5"/>
  <pageSetup horizontalDpi="600" verticalDpi="600" orientation="portrait" paperSize="9" scale="88" r:id="rId2"/>
  <rowBreaks count="1" manualBreakCount="1">
    <brk id="46" max="6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66"/>
  <sheetViews>
    <sheetView workbookViewId="0" topLeftCell="A1">
      <selection activeCell="A1" sqref="A1"/>
    </sheetView>
  </sheetViews>
  <sheetFormatPr defaultColWidth="9.00390625" defaultRowHeight="15.75"/>
  <cols>
    <col min="1" max="1" width="9.00390625" style="2" customWidth="1"/>
    <col min="2" max="2" width="7.625" style="2" customWidth="1"/>
    <col min="3" max="3" width="11.875" style="2" customWidth="1"/>
    <col min="4" max="5" width="15.625" style="2" customWidth="1"/>
    <col min="6" max="6" width="12.375" style="2" customWidth="1"/>
    <col min="7" max="7" width="11.75390625" style="2" customWidth="1"/>
    <col min="8" max="16384" width="9.00390625" style="2" customWidth="1"/>
  </cols>
  <sheetData>
    <row r="1" spans="1:3" ht="18.75">
      <c r="A1" s="1"/>
      <c r="B1" s="1"/>
      <c r="C1" s="1" t="s">
        <v>33</v>
      </c>
    </row>
    <row r="2" ht="15.75"/>
    <row r="4" spans="1:5" ht="15.75">
      <c r="A4" s="2" t="s">
        <v>0</v>
      </c>
      <c r="D4" s="52">
        <v>38383</v>
      </c>
      <c r="E4" s="3"/>
    </row>
    <row r="5" spans="1:5" ht="15.75">
      <c r="A5" s="2" t="s">
        <v>17</v>
      </c>
      <c r="D5" s="53">
        <v>0.0483375</v>
      </c>
      <c r="E5" s="3"/>
    </row>
    <row r="7" ht="15.75">
      <c r="A7" s="2" t="s">
        <v>1</v>
      </c>
    </row>
    <row r="8" spans="1:7" s="47" customFormat="1" ht="31.5">
      <c r="A8" s="41" t="s">
        <v>2</v>
      </c>
      <c r="B8" s="42"/>
      <c r="C8" s="43" t="s">
        <v>31</v>
      </c>
      <c r="D8" s="44" t="s">
        <v>3</v>
      </c>
      <c r="E8" s="44" t="s">
        <v>32</v>
      </c>
      <c r="F8" s="44" t="s">
        <v>18</v>
      </c>
      <c r="G8" s="45" t="s">
        <v>4</v>
      </c>
    </row>
    <row r="9" spans="1:7" ht="15.75">
      <c r="A9" s="6" t="s">
        <v>34</v>
      </c>
      <c r="B9" s="7"/>
      <c r="C9" s="8">
        <v>31</v>
      </c>
      <c r="D9" s="54">
        <v>81834053.2</v>
      </c>
      <c r="E9" s="54">
        <v>3607568.4</v>
      </c>
      <c r="F9" s="54">
        <v>375166.8</v>
      </c>
      <c r="G9" s="10">
        <f>+D9/276000000</f>
        <v>0.2965001927536232</v>
      </c>
    </row>
    <row r="10" spans="1:7" ht="15.75">
      <c r="A10" s="11" t="s">
        <v>5</v>
      </c>
      <c r="B10" s="12"/>
      <c r="C10" s="13">
        <v>85</v>
      </c>
      <c r="D10" s="14">
        <v>24000000</v>
      </c>
      <c r="E10" s="15">
        <v>0</v>
      </c>
      <c r="F10" s="55">
        <v>116390.4</v>
      </c>
      <c r="G10" s="16">
        <f>+D10/24000000</f>
        <v>1</v>
      </c>
    </row>
    <row r="11" spans="1:7" ht="15.75">
      <c r="A11" s="17"/>
      <c r="B11" s="18"/>
      <c r="C11" s="18"/>
      <c r="D11" s="15">
        <f>SUM(D9:D10)</f>
        <v>105834053.2</v>
      </c>
      <c r="E11" s="15">
        <f>SUM(E9:E10)</f>
        <v>3607568.4</v>
      </c>
      <c r="F11" s="15">
        <f>SUM(F9:F10)</f>
        <v>491557.19999999995</v>
      </c>
      <c r="G11" s="19"/>
    </row>
    <row r="13" spans="1:6" ht="15.75">
      <c r="A13" s="2" t="s">
        <v>35</v>
      </c>
      <c r="F13" s="20">
        <v>45000000</v>
      </c>
    </row>
    <row r="14" spans="1:6" ht="15.75">
      <c r="A14" s="2" t="s">
        <v>6</v>
      </c>
      <c r="F14" s="20">
        <v>0</v>
      </c>
    </row>
    <row r="15" ht="15.75">
      <c r="F15" s="20"/>
    </row>
    <row r="16" spans="1:6" ht="15.75">
      <c r="A16" s="2" t="s">
        <v>7</v>
      </c>
      <c r="F16" s="20">
        <v>6000000</v>
      </c>
    </row>
    <row r="17" spans="1:6" ht="15.75">
      <c r="A17" s="2" t="s">
        <v>52</v>
      </c>
      <c r="F17" s="20">
        <v>0</v>
      </c>
    </row>
    <row r="18" spans="1:6" ht="15.75">
      <c r="A18" s="2" t="s">
        <v>36</v>
      </c>
      <c r="F18" s="20">
        <v>6000000</v>
      </c>
    </row>
    <row r="19" ht="15.75">
      <c r="F19" s="20"/>
    </row>
    <row r="20" spans="1:6" ht="15.75">
      <c r="A20" s="2" t="s">
        <v>37</v>
      </c>
      <c r="F20" s="20">
        <v>500000</v>
      </c>
    </row>
    <row r="21" spans="1:6" ht="15.75">
      <c r="A21" s="2" t="s">
        <v>38</v>
      </c>
      <c r="F21" s="20">
        <v>0</v>
      </c>
    </row>
    <row r="22" spans="1:6" ht="15.75">
      <c r="A22" s="2" t="s">
        <v>39</v>
      </c>
      <c r="F22" s="20">
        <v>500000</v>
      </c>
    </row>
    <row r="23" ht="15.75">
      <c r="F23" s="20"/>
    </row>
    <row r="24" spans="1:6" ht="15.75">
      <c r="A24" s="2" t="s">
        <v>8</v>
      </c>
      <c r="F24" s="20">
        <v>0</v>
      </c>
    </row>
    <row r="25" spans="1:6" ht="15.75">
      <c r="A25" s="2" t="s">
        <v>19</v>
      </c>
      <c r="F25" s="20">
        <v>0</v>
      </c>
    </row>
    <row r="26" ht="15.75">
      <c r="F26" s="20"/>
    </row>
    <row r="27" spans="1:6" ht="15.75">
      <c r="A27" s="2" t="s">
        <v>40</v>
      </c>
      <c r="F27" s="65">
        <v>97471</v>
      </c>
    </row>
    <row r="28" spans="1:6" ht="15.75">
      <c r="A28" s="2" t="s">
        <v>53</v>
      </c>
      <c r="F28" s="20">
        <v>0</v>
      </c>
    </row>
    <row r="29" spans="1:6" ht="15.75">
      <c r="A29" s="2" t="s">
        <v>20</v>
      </c>
      <c r="F29" s="20">
        <f>D46</f>
        <v>105834028.89</v>
      </c>
    </row>
    <row r="30" ht="15.75">
      <c r="F30" s="20"/>
    </row>
    <row r="31" spans="5:6" ht="15.75">
      <c r="E31" s="21" t="s">
        <v>21</v>
      </c>
      <c r="F31" s="22" t="s">
        <v>22</v>
      </c>
    </row>
    <row r="32" spans="1:6" ht="15.75">
      <c r="A32" s="2" t="s">
        <v>41</v>
      </c>
      <c r="E32" s="56">
        <f>46+8+8+9+8+11+4</f>
        <v>94</v>
      </c>
      <c r="F32" s="57">
        <f>811190+65000+35000+59900+25000+30000+3000+2645813+20000+10000+79531.28+41865+268651.81+114225.56+96671.31+10787.15</f>
        <v>4316635.109999999</v>
      </c>
    </row>
    <row r="33" spans="1:6" ht="15.75">
      <c r="A33" s="2" t="s">
        <v>9</v>
      </c>
      <c r="E33" s="56">
        <v>0</v>
      </c>
      <c r="F33" s="57">
        <v>0</v>
      </c>
    </row>
    <row r="34" spans="1:6" ht="15.75">
      <c r="A34" s="2" t="s">
        <v>42</v>
      </c>
      <c r="E34" s="21">
        <f>861+44+88+59+95+77+116+82+134+73+113+31+115+83+98+36+42+29+106+54+81+113</f>
        <v>2530</v>
      </c>
      <c r="F34" s="22">
        <f>68606382+5894897.05+5544682.87+5709643+7641954+6749512.84+9802062+8604525+8201934.38+6644331.5+7905047+5727719.86+7143832.27+5703968.66+8164011+3279857.62+3708819+2645813+7667212+4699330.91+7405272.82+7315682.26</f>
        <v>204766491.04</v>
      </c>
    </row>
    <row r="35" spans="5:6" ht="15.75">
      <c r="E35" s="21"/>
      <c r="F35" s="22"/>
    </row>
    <row r="36" spans="1:6" ht="15.75">
      <c r="A36" s="2" t="s">
        <v>50</v>
      </c>
      <c r="E36" s="23"/>
      <c r="F36" s="58">
        <f>((3150128+1544418.23-1086952)/109441614.27)*12</f>
        <v>0.3955637080900306</v>
      </c>
    </row>
    <row r="37" spans="5:6" ht="15.75">
      <c r="E37" s="23"/>
      <c r="F37" s="20"/>
    </row>
    <row r="38" spans="1:6" ht="15.75">
      <c r="A38" s="2" t="s">
        <v>43</v>
      </c>
      <c r="F38" s="20"/>
    </row>
    <row r="39" spans="1:6" s="47" customFormat="1" ht="47.25">
      <c r="A39" s="41" t="s">
        <v>10</v>
      </c>
      <c r="B39" s="48"/>
      <c r="C39" s="42"/>
      <c r="D39" s="49" t="s">
        <v>11</v>
      </c>
      <c r="E39" s="50" t="s">
        <v>12</v>
      </c>
      <c r="F39" s="51"/>
    </row>
    <row r="40" spans="1:6" ht="15.75">
      <c r="A40" s="6" t="s">
        <v>13</v>
      </c>
      <c r="B40" s="25"/>
      <c r="C40" s="7"/>
      <c r="D40" s="59">
        <v>103199884.45</v>
      </c>
      <c r="E40" s="60">
        <v>1839</v>
      </c>
      <c r="F40" s="28"/>
    </row>
    <row r="41" spans="1:6" ht="15.75">
      <c r="A41" s="29" t="s">
        <v>44</v>
      </c>
      <c r="B41" s="5"/>
      <c r="C41" s="12"/>
      <c r="D41" s="61">
        <v>1180397.25</v>
      </c>
      <c r="E41" s="62">
        <v>15</v>
      </c>
      <c r="F41" s="28"/>
    </row>
    <row r="42" spans="1:6" ht="15.75">
      <c r="A42" s="29" t="s">
        <v>45</v>
      </c>
      <c r="B42" s="5"/>
      <c r="C42" s="12"/>
      <c r="D42" s="61">
        <v>983231.4</v>
      </c>
      <c r="E42" s="62">
        <v>8</v>
      </c>
      <c r="F42" s="28" t="s">
        <v>51</v>
      </c>
    </row>
    <row r="43" spans="1:6" ht="15.75">
      <c r="A43" s="11" t="s">
        <v>46</v>
      </c>
      <c r="B43" s="5"/>
      <c r="C43" s="12"/>
      <c r="D43" s="61">
        <f>311824.08+5909.76+2958.45+807.15</f>
        <v>321499.44000000006</v>
      </c>
      <c r="E43" s="62">
        <f>5+1+1+1</f>
        <v>8</v>
      </c>
      <c r="F43" s="28"/>
    </row>
    <row r="44" spans="1:6" ht="15.75">
      <c r="A44" s="11" t="s">
        <v>30</v>
      </c>
      <c r="B44" s="5"/>
      <c r="C44" s="12"/>
      <c r="D44" s="61">
        <v>149016.35</v>
      </c>
      <c r="E44" s="62">
        <v>5</v>
      </c>
      <c r="F44" s="28"/>
    </row>
    <row r="45" spans="1:6" ht="15.75">
      <c r="A45" s="11" t="s">
        <v>47</v>
      </c>
      <c r="B45" s="5"/>
      <c r="C45" s="12"/>
      <c r="D45" s="63">
        <v>0</v>
      </c>
      <c r="E45" s="64">
        <v>0</v>
      </c>
      <c r="F45" s="28"/>
    </row>
    <row r="46" spans="1:6" ht="15.75">
      <c r="A46" s="17"/>
      <c r="B46" s="34"/>
      <c r="C46" s="18"/>
      <c r="D46" s="35">
        <f>SUM(D40:D45)</f>
        <v>105834028.89</v>
      </c>
      <c r="E46" s="33">
        <f>SUM(E40:E45)</f>
        <v>1875</v>
      </c>
      <c r="F46" s="28"/>
    </row>
    <row r="47" ht="15.75">
      <c r="F47" s="20"/>
    </row>
    <row r="48" spans="1:6" ht="15.75">
      <c r="A48" s="36" t="s">
        <v>48</v>
      </c>
      <c r="E48" s="21" t="s">
        <v>29</v>
      </c>
      <c r="F48" s="21" t="s">
        <v>22</v>
      </c>
    </row>
    <row r="49" spans="5:6" ht="15.75">
      <c r="E49" s="21"/>
      <c r="F49" s="22"/>
    </row>
    <row r="50" spans="1:6" ht="15.75">
      <c r="A50" s="37" t="s">
        <v>23</v>
      </c>
      <c r="E50" s="21">
        <v>0</v>
      </c>
      <c r="F50" s="22">
        <v>0</v>
      </c>
    </row>
    <row r="51" spans="1:6" ht="15.75">
      <c r="A51" s="36" t="s">
        <v>24</v>
      </c>
      <c r="E51" s="21">
        <v>0</v>
      </c>
      <c r="F51" s="22">
        <v>0</v>
      </c>
    </row>
    <row r="52" spans="1:6" ht="15.75">
      <c r="A52" s="2" t="s">
        <v>14</v>
      </c>
      <c r="E52" s="21">
        <v>0</v>
      </c>
      <c r="F52" s="22">
        <v>0</v>
      </c>
    </row>
    <row r="53" spans="1:6" ht="15.75">
      <c r="A53" s="36" t="s">
        <v>25</v>
      </c>
      <c r="E53" s="21"/>
      <c r="F53" s="22">
        <f>F50-F54-F51-F52</f>
        <v>0</v>
      </c>
    </row>
    <row r="54" spans="1:6" ht="15.75">
      <c r="A54" s="2" t="s">
        <v>26</v>
      </c>
      <c r="E54" s="21"/>
      <c r="F54" s="38">
        <v>0</v>
      </c>
    </row>
    <row r="55" spans="5:6" ht="15.75">
      <c r="E55" s="21"/>
      <c r="F55" s="22"/>
    </row>
    <row r="56" spans="1:6" ht="15.75">
      <c r="A56" s="2" t="s">
        <v>27</v>
      </c>
      <c r="E56" s="21"/>
      <c r="F56" s="39">
        <v>0</v>
      </c>
    </row>
    <row r="57" spans="1:6" ht="15.75">
      <c r="A57" s="2" t="s">
        <v>15</v>
      </c>
      <c r="E57" s="21"/>
      <c r="F57" s="22">
        <v>0</v>
      </c>
    </row>
    <row r="58" spans="5:6" ht="15.75">
      <c r="E58" s="21"/>
      <c r="F58" s="22"/>
    </row>
    <row r="59" spans="1:6" ht="15.75">
      <c r="A59" s="2" t="s">
        <v>28</v>
      </c>
      <c r="E59" s="21"/>
      <c r="F59" s="39">
        <v>0</v>
      </c>
    </row>
    <row r="60" spans="1:6" ht="15.75">
      <c r="A60" s="2" t="s">
        <v>49</v>
      </c>
      <c r="E60" s="21"/>
      <c r="F60" s="40">
        <v>0</v>
      </c>
    </row>
    <row r="61" spans="5:6" ht="15.75">
      <c r="E61" s="21"/>
      <c r="F61" s="22"/>
    </row>
    <row r="62" ht="15.75">
      <c r="F62" s="20"/>
    </row>
    <row r="63" ht="15.75">
      <c r="F63" s="20"/>
    </row>
    <row r="64" ht="15.75">
      <c r="F64" s="20"/>
    </row>
    <row r="65" spans="1:6" ht="15.75">
      <c r="A65" s="25" t="s">
        <v>16</v>
      </c>
      <c r="B65" s="25"/>
      <c r="C65" s="25"/>
      <c r="F65" s="20"/>
    </row>
    <row r="66" ht="15.75">
      <c r="A66" s="2" t="s">
        <v>54</v>
      </c>
    </row>
  </sheetData>
  <printOptions/>
  <pageMargins left="0.75" right="0.75" top="1" bottom="1" header="0.5" footer="0.5"/>
  <pageSetup horizontalDpi="600" verticalDpi="600" orientation="portrait" paperSize="9" scale="88" r:id="rId2"/>
  <rowBreaks count="1" manualBreakCount="1">
    <brk id="46" max="6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66"/>
  <sheetViews>
    <sheetView workbookViewId="0" topLeftCell="A1">
      <selection activeCell="A1" sqref="A1"/>
    </sheetView>
  </sheetViews>
  <sheetFormatPr defaultColWidth="9.00390625" defaultRowHeight="15.75"/>
  <cols>
    <col min="1" max="1" width="9.00390625" style="2" customWidth="1"/>
    <col min="2" max="2" width="7.625" style="2" customWidth="1"/>
    <col min="3" max="3" width="11.875" style="2" customWidth="1"/>
    <col min="4" max="5" width="15.625" style="2" customWidth="1"/>
    <col min="6" max="6" width="12.375" style="2" customWidth="1"/>
    <col min="7" max="7" width="11.75390625" style="2" customWidth="1"/>
    <col min="8" max="16384" width="9.00390625" style="2" customWidth="1"/>
  </cols>
  <sheetData>
    <row r="1" spans="1:3" ht="18.75">
      <c r="A1" s="1"/>
      <c r="B1" s="1"/>
      <c r="C1" s="1" t="s">
        <v>33</v>
      </c>
    </row>
    <row r="2" ht="15.75"/>
    <row r="4" spans="1:5" ht="15.75">
      <c r="A4" s="2" t="s">
        <v>0</v>
      </c>
      <c r="D4" s="52">
        <v>38411</v>
      </c>
      <c r="E4" s="3"/>
    </row>
    <row r="5" spans="1:5" ht="15.75">
      <c r="A5" s="2" t="s">
        <v>17</v>
      </c>
      <c r="D5" s="53">
        <v>0.0487188</v>
      </c>
      <c r="E5" s="3"/>
    </row>
    <row r="7" ht="15.75">
      <c r="A7" s="2" t="s">
        <v>1</v>
      </c>
    </row>
    <row r="8" spans="1:7" s="47" customFormat="1" ht="31.5">
      <c r="A8" s="41" t="s">
        <v>2</v>
      </c>
      <c r="B8" s="42"/>
      <c r="C8" s="43" t="s">
        <v>31</v>
      </c>
      <c r="D8" s="44" t="s">
        <v>3</v>
      </c>
      <c r="E8" s="44" t="s">
        <v>32</v>
      </c>
      <c r="F8" s="44" t="s">
        <v>18</v>
      </c>
      <c r="G8" s="45" t="s">
        <v>4</v>
      </c>
    </row>
    <row r="9" spans="1:7" ht="15.75">
      <c r="A9" s="6" t="s">
        <v>34</v>
      </c>
      <c r="B9" s="7"/>
      <c r="C9" s="8">
        <v>31</v>
      </c>
      <c r="D9" s="54">
        <v>77806219.6</v>
      </c>
      <c r="E9" s="54">
        <v>4027833.6</v>
      </c>
      <c r="F9" s="54">
        <v>322920</v>
      </c>
      <c r="G9" s="10">
        <f>+D9/276000000</f>
        <v>0.2819065927536232</v>
      </c>
    </row>
    <row r="10" spans="1:7" ht="15.75">
      <c r="A10" s="11" t="s">
        <v>5</v>
      </c>
      <c r="B10" s="12"/>
      <c r="C10" s="13">
        <v>85</v>
      </c>
      <c r="D10" s="14">
        <v>24000000</v>
      </c>
      <c r="E10" s="15">
        <v>0</v>
      </c>
      <c r="F10" s="55">
        <v>104642.4</v>
      </c>
      <c r="G10" s="16">
        <f>+D10/24000000</f>
        <v>1</v>
      </c>
    </row>
    <row r="11" spans="1:7" ht="15.75">
      <c r="A11" s="17"/>
      <c r="B11" s="18"/>
      <c r="C11" s="18"/>
      <c r="D11" s="15">
        <f>SUM(D9:D10)</f>
        <v>101806219.6</v>
      </c>
      <c r="E11" s="15">
        <f>SUM(E9:E10)</f>
        <v>4027833.6</v>
      </c>
      <c r="F11" s="15">
        <f>SUM(F9:F10)</f>
        <v>427562.4</v>
      </c>
      <c r="G11" s="19"/>
    </row>
    <row r="13" spans="1:6" ht="15.75">
      <c r="A13" s="2" t="s">
        <v>35</v>
      </c>
      <c r="F13" s="20">
        <v>45000000</v>
      </c>
    </row>
    <row r="14" spans="1:6" ht="15.75">
      <c r="A14" s="2" t="s">
        <v>6</v>
      </c>
      <c r="F14" s="20">
        <v>0</v>
      </c>
    </row>
    <row r="15" ht="15.75">
      <c r="F15" s="20"/>
    </row>
    <row r="16" spans="1:6" ht="15.75">
      <c r="A16" s="2" t="s">
        <v>7</v>
      </c>
      <c r="F16" s="20">
        <v>6000000</v>
      </c>
    </row>
    <row r="17" spans="1:6" ht="15.75">
      <c r="A17" s="2" t="s">
        <v>52</v>
      </c>
      <c r="F17" s="20">
        <v>0</v>
      </c>
    </row>
    <row r="18" spans="1:6" ht="15.75">
      <c r="A18" s="2" t="s">
        <v>36</v>
      </c>
      <c r="F18" s="20">
        <v>6000000</v>
      </c>
    </row>
    <row r="19" ht="15.75">
      <c r="F19" s="20"/>
    </row>
    <row r="20" spans="1:6" ht="15.75">
      <c r="A20" s="2" t="s">
        <v>37</v>
      </c>
      <c r="F20" s="20">
        <v>500000</v>
      </c>
    </row>
    <row r="21" spans="1:6" ht="15.75">
      <c r="A21" s="2" t="s">
        <v>38</v>
      </c>
      <c r="F21" s="20">
        <v>0</v>
      </c>
    </row>
    <row r="22" spans="1:6" ht="15.75">
      <c r="A22" s="2" t="s">
        <v>39</v>
      </c>
      <c r="F22" s="20">
        <v>500000</v>
      </c>
    </row>
    <row r="23" ht="15.75">
      <c r="F23" s="20"/>
    </row>
    <row r="24" spans="1:6" ht="15.75">
      <c r="A24" s="2" t="s">
        <v>8</v>
      </c>
      <c r="F24" s="20">
        <v>0</v>
      </c>
    </row>
    <row r="25" spans="1:6" ht="15.75">
      <c r="A25" s="2" t="s">
        <v>19</v>
      </c>
      <c r="F25" s="20">
        <v>0</v>
      </c>
    </row>
    <row r="26" ht="15.75">
      <c r="F26" s="20"/>
    </row>
    <row r="27" spans="1:6" ht="15.75">
      <c r="A27" s="2" t="s">
        <v>40</v>
      </c>
      <c r="F27" s="65">
        <v>141772</v>
      </c>
    </row>
    <row r="28" spans="1:6" ht="15.75">
      <c r="A28" s="2" t="s">
        <v>53</v>
      </c>
      <c r="F28" s="20">
        <v>0</v>
      </c>
    </row>
    <row r="29" spans="1:6" ht="15.75">
      <c r="A29" s="2" t="s">
        <v>20</v>
      </c>
      <c r="F29" s="20">
        <f>D46</f>
        <v>101806212.02999999</v>
      </c>
    </row>
    <row r="30" ht="15.75">
      <c r="F30" s="20"/>
    </row>
    <row r="31" spans="5:6" ht="15.75">
      <c r="E31" s="21" t="s">
        <v>21</v>
      </c>
      <c r="F31" s="22" t="s">
        <v>22</v>
      </c>
    </row>
    <row r="32" spans="1:6" ht="15.75">
      <c r="A32" s="2" t="s">
        <v>41</v>
      </c>
      <c r="E32" s="56">
        <f>46+8+8+9+8+11+4</f>
        <v>94</v>
      </c>
      <c r="F32" s="57">
        <f>811190+65000+35000+59900+25000+30000+3000+2645813+20000+10000+79531.28+41865+268651.81+114225.56+96671.31+10787.15</f>
        <v>4316635.109999999</v>
      </c>
    </row>
    <row r="33" spans="1:6" ht="15.75">
      <c r="A33" s="2" t="s">
        <v>9</v>
      </c>
      <c r="E33" s="56">
        <v>0</v>
      </c>
      <c r="F33" s="57">
        <v>0</v>
      </c>
    </row>
    <row r="34" spans="1:6" ht="15.75">
      <c r="A34" s="2" t="s">
        <v>42</v>
      </c>
      <c r="E34" s="21">
        <f>861+44+88+59+95+77+116+82+134+73+113+31+115+83+98+36+42+29+106+54+81+113</f>
        <v>2530</v>
      </c>
      <c r="F34" s="22">
        <f>68606382+5894897.05+5544682.87+5709643+7641954+6749512.84+9802062+8604525+8201934.38+6644331.5+7905047+5727719.86+7143832.27+5703968.66+8164011+3279857.62+3708819+2645813+7667212+4699330.91+7405272.82+7315682.26</f>
        <v>204766491.04</v>
      </c>
    </row>
    <row r="35" spans="5:6" ht="15.75">
      <c r="E35" s="21"/>
      <c r="F35" s="22"/>
    </row>
    <row r="36" spans="1:6" ht="15.75">
      <c r="A36" s="2" t="s">
        <v>50</v>
      </c>
      <c r="E36" s="23"/>
      <c r="F36" s="58">
        <f>((4944269+972726-1889153.61)/105834028.89)*12</f>
        <v>0.45669712461042833</v>
      </c>
    </row>
    <row r="37" spans="5:6" ht="15.75">
      <c r="E37" s="23"/>
      <c r="F37" s="20"/>
    </row>
    <row r="38" spans="1:6" ht="15.75">
      <c r="A38" s="2" t="s">
        <v>43</v>
      </c>
      <c r="F38" s="20"/>
    </row>
    <row r="39" spans="1:6" s="47" customFormat="1" ht="47.25">
      <c r="A39" s="41" t="s">
        <v>10</v>
      </c>
      <c r="B39" s="48"/>
      <c r="C39" s="42"/>
      <c r="D39" s="49" t="s">
        <v>11</v>
      </c>
      <c r="E39" s="50" t="s">
        <v>12</v>
      </c>
      <c r="F39" s="51"/>
    </row>
    <row r="40" spans="1:6" ht="15.75">
      <c r="A40" s="6" t="s">
        <v>13</v>
      </c>
      <c r="B40" s="25"/>
      <c r="C40" s="7"/>
      <c r="D40" s="59">
        <v>98781620.19</v>
      </c>
      <c r="E40" s="60">
        <v>1780</v>
      </c>
      <c r="F40" s="28"/>
    </row>
    <row r="41" spans="1:6" ht="15.75">
      <c r="A41" s="29" t="s">
        <v>44</v>
      </c>
      <c r="B41" s="5"/>
      <c r="C41" s="12"/>
      <c r="D41" s="61">
        <v>1444111.19</v>
      </c>
      <c r="E41" s="62">
        <v>18</v>
      </c>
      <c r="F41" s="28"/>
    </row>
    <row r="42" spans="1:6" ht="15.75">
      <c r="A42" s="29" t="s">
        <v>45</v>
      </c>
      <c r="B42" s="5"/>
      <c r="C42" s="12"/>
      <c r="D42" s="61">
        <v>787117.52</v>
      </c>
      <c r="E42" s="62">
        <v>8</v>
      </c>
      <c r="F42" s="28" t="s">
        <v>51</v>
      </c>
    </row>
    <row r="43" spans="1:6" ht="15.75">
      <c r="A43" s="11" t="s">
        <v>46</v>
      </c>
      <c r="B43" s="5"/>
      <c r="C43" s="12"/>
      <c r="D43" s="61">
        <f>639936.72+5909.76+3844.63</f>
        <v>649691.11</v>
      </c>
      <c r="E43" s="62">
        <f>9+1+2</f>
        <v>12</v>
      </c>
      <c r="F43" s="28"/>
    </row>
    <row r="44" spans="1:6" ht="15.75">
      <c r="A44" s="11" t="s">
        <v>30</v>
      </c>
      <c r="B44" s="5"/>
      <c r="C44" s="12"/>
      <c r="D44" s="61">
        <v>143672.02</v>
      </c>
      <c r="E44" s="62">
        <v>5</v>
      </c>
      <c r="F44" s="28"/>
    </row>
    <row r="45" spans="1:6" ht="15.75">
      <c r="A45" s="11" t="s">
        <v>47</v>
      </c>
      <c r="B45" s="5"/>
      <c r="C45" s="12"/>
      <c r="D45" s="63">
        <v>0</v>
      </c>
      <c r="E45" s="64">
        <v>0</v>
      </c>
      <c r="F45" s="28"/>
    </row>
    <row r="46" spans="1:6" ht="15.75">
      <c r="A46" s="17"/>
      <c r="B46" s="34"/>
      <c r="C46" s="18"/>
      <c r="D46" s="35">
        <f>SUM(D40:D45)</f>
        <v>101806212.02999999</v>
      </c>
      <c r="E46" s="33">
        <f>SUM(E40:E45)</f>
        <v>1823</v>
      </c>
      <c r="F46" s="28"/>
    </row>
    <row r="47" ht="15.75">
      <c r="F47" s="20"/>
    </row>
    <row r="48" spans="1:6" ht="15.75">
      <c r="A48" s="36" t="s">
        <v>48</v>
      </c>
      <c r="E48" s="21" t="s">
        <v>29</v>
      </c>
      <c r="F48" s="21" t="s">
        <v>22</v>
      </c>
    </row>
    <row r="49" spans="5:6" ht="15.75">
      <c r="E49" s="21"/>
      <c r="F49" s="22"/>
    </row>
    <row r="50" spans="1:6" ht="15.75">
      <c r="A50" s="37" t="s">
        <v>23</v>
      </c>
      <c r="E50" s="21">
        <v>0</v>
      </c>
      <c r="F50" s="22">
        <v>0</v>
      </c>
    </row>
    <row r="51" spans="1:6" ht="15.75">
      <c r="A51" s="36" t="s">
        <v>24</v>
      </c>
      <c r="E51" s="21">
        <v>0</v>
      </c>
      <c r="F51" s="22">
        <v>0</v>
      </c>
    </row>
    <row r="52" spans="1:6" ht="15.75">
      <c r="A52" s="2" t="s">
        <v>14</v>
      </c>
      <c r="E52" s="21">
        <v>0</v>
      </c>
      <c r="F52" s="22">
        <v>0</v>
      </c>
    </row>
    <row r="53" spans="1:6" ht="15.75">
      <c r="A53" s="36" t="s">
        <v>25</v>
      </c>
      <c r="E53" s="21"/>
      <c r="F53" s="22">
        <f>F50-F54-F51-F52</f>
        <v>0</v>
      </c>
    </row>
    <row r="54" spans="1:6" ht="15.75">
      <c r="A54" s="2" t="s">
        <v>26</v>
      </c>
      <c r="E54" s="21"/>
      <c r="F54" s="38">
        <v>0</v>
      </c>
    </row>
    <row r="55" spans="5:6" ht="15.75">
      <c r="E55" s="21"/>
      <c r="F55" s="22"/>
    </row>
    <row r="56" spans="1:6" ht="15.75">
      <c r="A56" s="2" t="s">
        <v>27</v>
      </c>
      <c r="E56" s="21"/>
      <c r="F56" s="39">
        <v>0</v>
      </c>
    </row>
    <row r="57" spans="1:6" ht="15.75">
      <c r="A57" s="2" t="s">
        <v>15</v>
      </c>
      <c r="E57" s="21"/>
      <c r="F57" s="22">
        <v>0</v>
      </c>
    </row>
    <row r="58" spans="5:6" ht="15.75">
      <c r="E58" s="21"/>
      <c r="F58" s="22"/>
    </row>
    <row r="59" spans="1:6" ht="15.75">
      <c r="A59" s="2" t="s">
        <v>28</v>
      </c>
      <c r="E59" s="21"/>
      <c r="F59" s="39">
        <v>0</v>
      </c>
    </row>
    <row r="60" spans="1:6" ht="15.75">
      <c r="A60" s="2" t="s">
        <v>49</v>
      </c>
      <c r="E60" s="21"/>
      <c r="F60" s="40">
        <v>0</v>
      </c>
    </row>
    <row r="61" spans="5:6" ht="15.75">
      <c r="E61" s="21"/>
      <c r="F61" s="22"/>
    </row>
    <row r="62" ht="15.75">
      <c r="F62" s="20"/>
    </row>
    <row r="63" ht="15.75">
      <c r="F63" s="20"/>
    </row>
    <row r="64" ht="15.75">
      <c r="F64" s="20"/>
    </row>
    <row r="65" spans="1:6" ht="15.75">
      <c r="A65" s="25" t="s">
        <v>16</v>
      </c>
      <c r="B65" s="25"/>
      <c r="C65" s="25"/>
      <c r="F65" s="20"/>
    </row>
    <row r="66" ht="15.75">
      <c r="A66" s="2" t="s">
        <v>54</v>
      </c>
    </row>
  </sheetData>
  <printOptions/>
  <pageMargins left="0.75" right="0.75" top="1" bottom="1" header="0.5" footer="0.5"/>
  <pageSetup horizontalDpi="600" verticalDpi="600" orientation="portrait" paperSize="9" scale="93" r:id="rId2"/>
  <rowBreaks count="1" manualBreakCount="1">
    <brk id="46" max="255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66"/>
  <sheetViews>
    <sheetView workbookViewId="0" topLeftCell="A1">
      <selection activeCell="A1" sqref="A1"/>
    </sheetView>
  </sheetViews>
  <sheetFormatPr defaultColWidth="9.00390625" defaultRowHeight="15.75"/>
  <cols>
    <col min="1" max="1" width="9.00390625" style="2" customWidth="1"/>
    <col min="2" max="2" width="7.625" style="2" customWidth="1"/>
    <col min="3" max="3" width="11.875" style="2" customWidth="1"/>
    <col min="4" max="5" width="15.625" style="2" customWidth="1"/>
    <col min="6" max="6" width="12.375" style="2" customWidth="1"/>
    <col min="7" max="7" width="11.75390625" style="2" customWidth="1"/>
    <col min="8" max="16384" width="9.00390625" style="2" customWidth="1"/>
  </cols>
  <sheetData>
    <row r="1" spans="1:3" ht="18.75">
      <c r="A1" s="1"/>
      <c r="B1" s="1"/>
      <c r="C1" s="1" t="s">
        <v>33</v>
      </c>
    </row>
    <row r="2" ht="15.75"/>
    <row r="4" spans="1:5" ht="15.75">
      <c r="A4" s="2" t="s">
        <v>0</v>
      </c>
      <c r="D4" s="52">
        <v>38442</v>
      </c>
      <c r="E4" s="3"/>
    </row>
    <row r="5" spans="1:5" ht="15.75">
      <c r="A5" s="2" t="s">
        <v>17</v>
      </c>
      <c r="D5" s="53">
        <v>0.0486625</v>
      </c>
      <c r="E5" s="3"/>
    </row>
    <row r="7" ht="15.75">
      <c r="A7" s="2" t="s">
        <v>1</v>
      </c>
    </row>
    <row r="8" spans="1:7" s="47" customFormat="1" ht="31.5">
      <c r="A8" s="41" t="s">
        <v>2</v>
      </c>
      <c r="B8" s="42"/>
      <c r="C8" s="43" t="s">
        <v>31</v>
      </c>
      <c r="D8" s="44" t="s">
        <v>3</v>
      </c>
      <c r="E8" s="44" t="s">
        <v>32</v>
      </c>
      <c r="F8" s="44" t="s">
        <v>18</v>
      </c>
      <c r="G8" s="45" t="s">
        <v>4</v>
      </c>
    </row>
    <row r="9" spans="1:7" ht="15.75">
      <c r="A9" s="6" t="s">
        <v>34</v>
      </c>
      <c r="B9" s="7"/>
      <c r="C9" s="8">
        <v>31</v>
      </c>
      <c r="D9" s="54">
        <v>74708092</v>
      </c>
      <c r="E9" s="54">
        <v>3098128</v>
      </c>
      <c r="F9" s="54">
        <v>342433.2</v>
      </c>
      <c r="G9" s="10">
        <f>+D9/276000000</f>
        <v>0.2706814927536232</v>
      </c>
    </row>
    <row r="10" spans="1:7" ht="15.75">
      <c r="A10" s="11" t="s">
        <v>5</v>
      </c>
      <c r="B10" s="12"/>
      <c r="C10" s="13">
        <v>85</v>
      </c>
      <c r="D10" s="14">
        <v>24000000</v>
      </c>
      <c r="E10" s="15">
        <v>0</v>
      </c>
      <c r="F10" s="55">
        <v>116632.8</v>
      </c>
      <c r="G10" s="16">
        <f>+D10/24000000</f>
        <v>1</v>
      </c>
    </row>
    <row r="11" spans="1:7" ht="15.75">
      <c r="A11" s="17"/>
      <c r="B11" s="18"/>
      <c r="C11" s="18"/>
      <c r="D11" s="15">
        <f>SUM(D9:D10)</f>
        <v>98708092</v>
      </c>
      <c r="E11" s="15">
        <f>SUM(E9:E10)</f>
        <v>3098128</v>
      </c>
      <c r="F11" s="15">
        <f>SUM(F9:F10)</f>
        <v>459066</v>
      </c>
      <c r="G11" s="19"/>
    </row>
    <row r="13" spans="1:6" ht="15.75">
      <c r="A13" s="2" t="s">
        <v>35</v>
      </c>
      <c r="F13" s="20">
        <v>45000000</v>
      </c>
    </row>
    <row r="14" spans="1:6" ht="15.75">
      <c r="A14" s="2" t="s">
        <v>6</v>
      </c>
      <c r="F14" s="20">
        <v>0</v>
      </c>
    </row>
    <row r="15" ht="15.75">
      <c r="F15" s="20"/>
    </row>
    <row r="16" spans="1:6" ht="15.75">
      <c r="A16" s="2" t="s">
        <v>7</v>
      </c>
      <c r="F16" s="20">
        <v>6000000</v>
      </c>
    </row>
    <row r="17" spans="1:6" ht="15.75">
      <c r="A17" s="2" t="s">
        <v>52</v>
      </c>
      <c r="F17" s="20">
        <v>0</v>
      </c>
    </row>
    <row r="18" spans="1:6" ht="15.75">
      <c r="A18" s="2" t="s">
        <v>36</v>
      </c>
      <c r="F18" s="20">
        <v>6000000</v>
      </c>
    </row>
    <row r="19" ht="15.75">
      <c r="F19" s="20"/>
    </row>
    <row r="20" spans="1:6" ht="15.75">
      <c r="A20" s="2" t="s">
        <v>37</v>
      </c>
      <c r="F20" s="20">
        <v>500000</v>
      </c>
    </row>
    <row r="21" spans="1:6" ht="15.75">
      <c r="A21" s="2" t="s">
        <v>38</v>
      </c>
      <c r="F21" s="20">
        <v>0</v>
      </c>
    </row>
    <row r="22" spans="1:6" ht="15.75">
      <c r="A22" s="2" t="s">
        <v>39</v>
      </c>
      <c r="F22" s="20">
        <v>500000</v>
      </c>
    </row>
    <row r="23" ht="15.75">
      <c r="F23" s="20"/>
    </row>
    <row r="24" spans="1:6" ht="15.75">
      <c r="A24" s="2" t="s">
        <v>8</v>
      </c>
      <c r="F24" s="20">
        <v>0</v>
      </c>
    </row>
    <row r="25" spans="1:6" ht="15.75">
      <c r="A25" s="2" t="s">
        <v>19</v>
      </c>
      <c r="F25" s="20">
        <v>0</v>
      </c>
    </row>
    <row r="26" ht="15.75">
      <c r="F26" s="20"/>
    </row>
    <row r="27" spans="1:6" ht="15.75">
      <c r="A27" s="2" t="s">
        <v>40</v>
      </c>
      <c r="F27" s="65">
        <v>94060</v>
      </c>
    </row>
    <row r="28" spans="1:6" ht="15.75">
      <c r="A28" s="2" t="s">
        <v>53</v>
      </c>
      <c r="F28" s="20">
        <v>0</v>
      </c>
    </row>
    <row r="29" spans="1:6" ht="15.75">
      <c r="A29" s="2" t="s">
        <v>20</v>
      </c>
      <c r="F29" s="20">
        <f>D46</f>
        <v>98708068.69</v>
      </c>
    </row>
    <row r="30" ht="15.75">
      <c r="F30" s="20"/>
    </row>
    <row r="31" spans="5:6" ht="15.75">
      <c r="E31" s="21" t="s">
        <v>21</v>
      </c>
      <c r="F31" s="22" t="s">
        <v>22</v>
      </c>
    </row>
    <row r="32" spans="1:6" ht="15.75">
      <c r="A32" s="2" t="s">
        <v>41</v>
      </c>
      <c r="E32" s="56">
        <f>46+8+8+9+8+11+4</f>
        <v>94</v>
      </c>
      <c r="F32" s="57">
        <f>811190+65000+35000+59900+25000+30000+3000+2645813+20000+10000+79531.28+41865+268651.81+114225.56+96671.31+10787.15</f>
        <v>4316635.109999999</v>
      </c>
    </row>
    <row r="33" spans="1:6" ht="15.75">
      <c r="A33" s="2" t="s">
        <v>9</v>
      </c>
      <c r="E33" s="56">
        <v>0</v>
      </c>
      <c r="F33" s="57">
        <v>0</v>
      </c>
    </row>
    <row r="34" spans="1:6" ht="15.75">
      <c r="A34" s="2" t="s">
        <v>42</v>
      </c>
      <c r="E34" s="21">
        <f>861+44+88+59+95+77+116+82+134+73+113+31+115+83+98+36+42+29+106+54+81+113</f>
        <v>2530</v>
      </c>
      <c r="F34" s="22">
        <f>68606382+5894897.05+5544682.87+5709643+7641954+6749512.84+9802062+8604525+8201934.38+6644331.5+7905047+5727719.86+7143832.27+5703968.66+8164011+3279857.62+3708819+2645813+7667212+4699330.91+7405272.82+7315682.26</f>
        <v>204766491.04</v>
      </c>
    </row>
    <row r="35" spans="5:6" ht="15.75">
      <c r="E35" s="21"/>
      <c r="F35" s="22"/>
    </row>
    <row r="36" spans="1:6" ht="15.75">
      <c r="A36" s="2" t="s">
        <v>50</v>
      </c>
      <c r="E36" s="23"/>
      <c r="F36" s="58">
        <f>((2918516+1256672-1077038)/101806212)*12</f>
        <v>0.3651820382041127</v>
      </c>
    </row>
    <row r="37" spans="5:6" ht="15.75">
      <c r="E37" s="23"/>
      <c r="F37" s="20"/>
    </row>
    <row r="38" spans="1:6" ht="15.75">
      <c r="A38" s="2" t="s">
        <v>43</v>
      </c>
      <c r="F38" s="20"/>
    </row>
    <row r="39" spans="1:6" s="47" customFormat="1" ht="47.25">
      <c r="A39" s="41" t="s">
        <v>10</v>
      </c>
      <c r="B39" s="48"/>
      <c r="C39" s="42"/>
      <c r="D39" s="49" t="s">
        <v>11</v>
      </c>
      <c r="E39" s="50" t="s">
        <v>12</v>
      </c>
      <c r="F39" s="51"/>
    </row>
    <row r="40" spans="1:6" ht="15.75">
      <c r="A40" s="6" t="s">
        <v>13</v>
      </c>
      <c r="B40" s="25"/>
      <c r="C40" s="7"/>
      <c r="D40" s="59">
        <v>95598086.02</v>
      </c>
      <c r="E40" s="60">
        <v>1732</v>
      </c>
      <c r="F40" s="28"/>
    </row>
    <row r="41" spans="1:6" ht="15.75">
      <c r="A41" s="29" t="s">
        <v>44</v>
      </c>
      <c r="B41" s="5"/>
      <c r="C41" s="12"/>
      <c r="D41" s="61">
        <v>1630587.95</v>
      </c>
      <c r="E41" s="62">
        <v>19</v>
      </c>
      <c r="F41" s="28"/>
    </row>
    <row r="42" spans="1:6" ht="15.75">
      <c r="A42" s="29" t="s">
        <v>45</v>
      </c>
      <c r="B42" s="5"/>
      <c r="C42" s="12"/>
      <c r="D42" s="61">
        <v>556200.91</v>
      </c>
      <c r="E42" s="62">
        <v>3</v>
      </c>
      <c r="F42" s="28" t="s">
        <v>51</v>
      </c>
    </row>
    <row r="43" spans="1:6" ht="15.75">
      <c r="A43" s="11" t="s">
        <v>46</v>
      </c>
      <c r="B43" s="5"/>
      <c r="C43" s="12"/>
      <c r="D43" s="61">
        <f>748642.05+5909.76+6777.1</f>
        <v>761328.91</v>
      </c>
      <c r="E43" s="62">
        <f>10+1+3</f>
        <v>14</v>
      </c>
      <c r="F43" s="28"/>
    </row>
    <row r="44" spans="1:6" ht="15.75">
      <c r="A44" s="11" t="s">
        <v>30</v>
      </c>
      <c r="B44" s="5"/>
      <c r="C44" s="12"/>
      <c r="D44" s="61">
        <v>161864.9</v>
      </c>
      <c r="E44" s="62">
        <v>5</v>
      </c>
      <c r="F44" s="28"/>
    </row>
    <row r="45" spans="1:6" ht="15.75">
      <c r="A45" s="11" t="s">
        <v>47</v>
      </c>
      <c r="B45" s="5"/>
      <c r="C45" s="12"/>
      <c r="D45" s="63">
        <v>0</v>
      </c>
      <c r="E45" s="64">
        <v>0</v>
      </c>
      <c r="F45" s="28"/>
    </row>
    <row r="46" spans="1:6" ht="15.75">
      <c r="A46" s="17"/>
      <c r="B46" s="34"/>
      <c r="C46" s="18"/>
      <c r="D46" s="35">
        <f>SUM(D40:D45)</f>
        <v>98708068.69</v>
      </c>
      <c r="E46" s="33">
        <f>SUM(E40:E45)</f>
        <v>1773</v>
      </c>
      <c r="F46" s="28"/>
    </row>
    <row r="47" ht="15.75">
      <c r="F47" s="20"/>
    </row>
    <row r="48" spans="1:6" ht="15.75">
      <c r="A48" s="36" t="s">
        <v>48</v>
      </c>
      <c r="E48" s="21" t="s">
        <v>29</v>
      </c>
      <c r="F48" s="21" t="s">
        <v>22</v>
      </c>
    </row>
    <row r="49" spans="5:6" ht="15.75">
      <c r="E49" s="21"/>
      <c r="F49" s="22"/>
    </row>
    <row r="50" spans="1:6" ht="15.75">
      <c r="A50" s="37" t="s">
        <v>23</v>
      </c>
      <c r="E50" s="21">
        <v>0</v>
      </c>
      <c r="F50" s="22">
        <v>0</v>
      </c>
    </row>
    <row r="51" spans="1:6" ht="15.75">
      <c r="A51" s="36" t="s">
        <v>24</v>
      </c>
      <c r="E51" s="21">
        <v>0</v>
      </c>
      <c r="F51" s="22">
        <v>0</v>
      </c>
    </row>
    <row r="52" spans="1:6" ht="15.75">
      <c r="A52" s="2" t="s">
        <v>14</v>
      </c>
      <c r="E52" s="21">
        <v>0</v>
      </c>
      <c r="F52" s="22">
        <v>0</v>
      </c>
    </row>
    <row r="53" spans="1:6" ht="15.75">
      <c r="A53" s="36" t="s">
        <v>25</v>
      </c>
      <c r="E53" s="21"/>
      <c r="F53" s="22">
        <f>F50-F54-F51-F52</f>
        <v>0</v>
      </c>
    </row>
    <row r="54" spans="1:6" ht="15.75">
      <c r="A54" s="2" t="s">
        <v>26</v>
      </c>
      <c r="E54" s="21"/>
      <c r="F54" s="38">
        <v>0</v>
      </c>
    </row>
    <row r="55" spans="5:6" ht="15.75">
      <c r="E55" s="21"/>
      <c r="F55" s="22"/>
    </row>
    <row r="56" spans="1:6" ht="15.75">
      <c r="A56" s="2" t="s">
        <v>27</v>
      </c>
      <c r="E56" s="21"/>
      <c r="F56" s="39">
        <v>0</v>
      </c>
    </row>
    <row r="57" spans="1:6" ht="15.75">
      <c r="A57" s="2" t="s">
        <v>15</v>
      </c>
      <c r="E57" s="21"/>
      <c r="F57" s="22">
        <v>0</v>
      </c>
    </row>
    <row r="58" spans="5:6" ht="15.75">
      <c r="E58" s="21"/>
      <c r="F58" s="22"/>
    </row>
    <row r="59" spans="1:6" ht="15.75">
      <c r="A59" s="2" t="s">
        <v>28</v>
      </c>
      <c r="E59" s="21"/>
      <c r="F59" s="39">
        <v>0</v>
      </c>
    </row>
    <row r="60" spans="1:6" ht="15.75">
      <c r="A60" s="2" t="s">
        <v>49</v>
      </c>
      <c r="E60" s="21"/>
      <c r="F60" s="40">
        <v>0</v>
      </c>
    </row>
    <row r="61" spans="5:6" ht="15.75">
      <c r="E61" s="21"/>
      <c r="F61" s="22"/>
    </row>
    <row r="62" ht="15.75">
      <c r="F62" s="20"/>
    </row>
    <row r="63" ht="15.75">
      <c r="F63" s="20"/>
    </row>
    <row r="64" ht="15.75">
      <c r="F64" s="20"/>
    </row>
    <row r="65" spans="1:6" ht="15.75">
      <c r="A65" s="25" t="s">
        <v>16</v>
      </c>
      <c r="B65" s="25"/>
      <c r="C65" s="25"/>
      <c r="F65" s="20"/>
    </row>
    <row r="66" ht="15.75">
      <c r="A66" s="2" t="s">
        <v>54</v>
      </c>
    </row>
  </sheetData>
  <printOptions/>
  <pageMargins left="0.75" right="0.75" top="1" bottom="1" header="0.5" footer="0.5"/>
  <pageSetup horizontalDpi="600" verticalDpi="600" orientation="portrait" paperSize="9" scale="93" r:id="rId2"/>
  <rowBreaks count="1" manualBreakCount="1">
    <brk id="46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workbookViewId="0" topLeftCell="A1">
      <selection activeCell="A1" sqref="A1"/>
    </sheetView>
  </sheetViews>
  <sheetFormatPr defaultColWidth="9.00390625" defaultRowHeight="15.75"/>
  <cols>
    <col min="1" max="1" width="9.00390625" style="2" customWidth="1"/>
    <col min="2" max="2" width="7.375" style="2" customWidth="1"/>
    <col min="3" max="3" width="11.875" style="2" customWidth="1"/>
    <col min="4" max="5" width="15.625" style="2" customWidth="1"/>
    <col min="6" max="6" width="12.375" style="2" customWidth="1"/>
    <col min="7" max="7" width="11.75390625" style="2" customWidth="1"/>
    <col min="8" max="16384" width="9.00390625" style="2" customWidth="1"/>
  </cols>
  <sheetData>
    <row r="1" spans="1:3" ht="18.75">
      <c r="A1" s="1"/>
      <c r="C1" s="1" t="s">
        <v>33</v>
      </c>
    </row>
    <row r="2" ht="15.75"/>
    <row r="4" spans="1:5" ht="15.75">
      <c r="A4" s="2" t="s">
        <v>0</v>
      </c>
      <c r="D4" s="3">
        <v>37925</v>
      </c>
      <c r="E4" s="3"/>
    </row>
    <row r="5" spans="1:8" ht="15.75">
      <c r="A5" s="2" t="s">
        <v>17</v>
      </c>
      <c r="D5" s="4">
        <v>0.0374625</v>
      </c>
      <c r="E5" s="3"/>
      <c r="H5" s="5"/>
    </row>
    <row r="6" ht="15.75">
      <c r="H6" s="5"/>
    </row>
    <row r="7" spans="1:8" ht="15.75">
      <c r="A7" s="2" t="s">
        <v>1</v>
      </c>
      <c r="H7" s="5"/>
    </row>
    <row r="8" spans="1:8" s="47" customFormat="1" ht="31.5">
      <c r="A8" s="41" t="s">
        <v>2</v>
      </c>
      <c r="B8" s="42"/>
      <c r="C8" s="43" t="s">
        <v>31</v>
      </c>
      <c r="D8" s="44" t="s">
        <v>3</v>
      </c>
      <c r="E8" s="44" t="s">
        <v>32</v>
      </c>
      <c r="F8" s="44" t="s">
        <v>18</v>
      </c>
      <c r="G8" s="45" t="s">
        <v>4</v>
      </c>
      <c r="H8" s="46"/>
    </row>
    <row r="9" spans="1:8" ht="15.75">
      <c r="A9" s="6" t="s">
        <v>34</v>
      </c>
      <c r="B9" s="7"/>
      <c r="C9" s="8">
        <v>31</v>
      </c>
      <c r="D9" s="9">
        <v>158584411.2</v>
      </c>
      <c r="E9" s="9">
        <v>7004604</v>
      </c>
      <c r="F9" s="9">
        <v>563067.6</v>
      </c>
      <c r="G9" s="10">
        <f>+D9/276000000</f>
        <v>0.5745811999999999</v>
      </c>
      <c r="H9" s="5"/>
    </row>
    <row r="10" spans="1:8" ht="15.75">
      <c r="A10" s="11" t="s">
        <v>5</v>
      </c>
      <c r="B10" s="12"/>
      <c r="C10" s="13">
        <v>85</v>
      </c>
      <c r="D10" s="14">
        <v>24000000</v>
      </c>
      <c r="E10" s="15">
        <v>0</v>
      </c>
      <c r="F10" s="15">
        <v>92618.4</v>
      </c>
      <c r="G10" s="16">
        <f>+D10/24000000</f>
        <v>1</v>
      </c>
      <c r="H10" s="5"/>
    </row>
    <row r="11" spans="1:8" ht="15.75">
      <c r="A11" s="17"/>
      <c r="B11" s="18"/>
      <c r="C11" s="18"/>
      <c r="D11" s="15">
        <f>SUM(D9:D10)</f>
        <v>182584411.2</v>
      </c>
      <c r="E11" s="15">
        <f>SUM(E9:E10)</f>
        <v>7004604</v>
      </c>
      <c r="F11" s="15">
        <f>SUM(F9:F10)</f>
        <v>655686</v>
      </c>
      <c r="G11" s="19"/>
      <c r="H11" s="5"/>
    </row>
    <row r="12" ht="15.75">
      <c r="H12" s="5"/>
    </row>
    <row r="13" spans="1:6" ht="15.75">
      <c r="A13" s="2" t="s">
        <v>35</v>
      </c>
      <c r="F13" s="20">
        <v>45000000</v>
      </c>
    </row>
    <row r="14" spans="1:6" ht="15.75">
      <c r="A14" s="2" t="s">
        <v>6</v>
      </c>
      <c r="F14" s="20">
        <v>0</v>
      </c>
    </row>
    <row r="15" ht="15.75">
      <c r="F15" s="20"/>
    </row>
    <row r="16" spans="1:6" ht="15.75">
      <c r="A16" s="2" t="s">
        <v>7</v>
      </c>
      <c r="F16" s="20">
        <v>6000000</v>
      </c>
    </row>
    <row r="17" spans="1:6" ht="15.75">
      <c r="A17" s="2" t="s">
        <v>52</v>
      </c>
      <c r="F17" s="20">
        <v>0</v>
      </c>
    </row>
    <row r="18" spans="1:6" ht="15.75">
      <c r="A18" s="2" t="s">
        <v>36</v>
      </c>
      <c r="F18" s="20">
        <v>6000000</v>
      </c>
    </row>
    <row r="19" ht="15.75">
      <c r="F19" s="20"/>
    </row>
    <row r="20" spans="1:6" ht="15.75">
      <c r="A20" s="2" t="s">
        <v>37</v>
      </c>
      <c r="F20" s="20">
        <v>500000</v>
      </c>
    </row>
    <row r="21" spans="1:6" ht="15.75">
      <c r="A21" s="2" t="s">
        <v>38</v>
      </c>
      <c r="F21" s="20">
        <v>0</v>
      </c>
    </row>
    <row r="22" spans="1:6" ht="15.75">
      <c r="A22" s="2" t="s">
        <v>39</v>
      </c>
      <c r="F22" s="20">
        <v>500000</v>
      </c>
    </row>
    <row r="23" ht="15.75">
      <c r="F23" s="20"/>
    </row>
    <row r="24" spans="1:6" ht="15.75">
      <c r="A24" s="2" t="s">
        <v>8</v>
      </c>
      <c r="F24" s="20">
        <v>0</v>
      </c>
    </row>
    <row r="25" spans="1:6" ht="15.75">
      <c r="A25" s="2" t="s">
        <v>19</v>
      </c>
      <c r="F25" s="20">
        <v>0</v>
      </c>
    </row>
    <row r="26" ht="15.75">
      <c r="F26" s="20"/>
    </row>
    <row r="27" spans="1:6" ht="15.75">
      <c r="A27" s="2" t="s">
        <v>40</v>
      </c>
      <c r="F27" s="20">
        <v>151049.89</v>
      </c>
    </row>
    <row r="28" spans="1:6" ht="15.75">
      <c r="A28" s="2" t="s">
        <v>53</v>
      </c>
      <c r="F28" s="20">
        <v>0</v>
      </c>
    </row>
    <row r="29" spans="1:6" ht="15.75">
      <c r="A29" s="2" t="s">
        <v>20</v>
      </c>
      <c r="F29" s="20">
        <f>D46</f>
        <v>179041152</v>
      </c>
    </row>
    <row r="30" ht="15.75">
      <c r="F30" s="20"/>
    </row>
    <row r="31" spans="5:6" ht="15.75">
      <c r="E31" s="21" t="s">
        <v>21</v>
      </c>
      <c r="F31" s="22" t="s">
        <v>22</v>
      </c>
    </row>
    <row r="32" spans="1:6" ht="15.75">
      <c r="A32" s="2" t="s">
        <v>41</v>
      </c>
      <c r="E32" s="21">
        <f>46</f>
        <v>46</v>
      </c>
      <c r="F32" s="22">
        <f>811190+65000+35000+59900+25000+30000+3000+2645813+20000+10000</f>
        <v>3704903</v>
      </c>
    </row>
    <row r="33" spans="1:6" ht="15.75">
      <c r="A33" s="2" t="s">
        <v>9</v>
      </c>
      <c r="E33" s="21">
        <v>0</v>
      </c>
      <c r="F33" s="22">
        <v>0</v>
      </c>
    </row>
    <row r="34" spans="1:6" ht="15.75">
      <c r="A34" s="2" t="s">
        <v>42</v>
      </c>
      <c r="E34" s="21">
        <f>861+44+88+59+95+77+116+82+134+73+113+31+115+83+98+36+42+29+106+54+81+113</f>
        <v>2530</v>
      </c>
      <c r="F34" s="22">
        <f>68606382+5894897.05+5544682.87+5709643+7641954+6749512.84+9802062+8604525+8201934.38+6644331.5+7905047+5727719.86+7143832.27+5703968.66+8164011+3279857.62+3708819+2645813+7667212+4699330.91+7405272.82+7315682.26</f>
        <v>204766491.04</v>
      </c>
    </row>
    <row r="35" spans="5:6" ht="15.75">
      <c r="E35" s="21"/>
      <c r="F35" s="22"/>
    </row>
    <row r="36" spans="1:6" ht="15.75">
      <c r="A36" s="2" t="s">
        <v>50</v>
      </c>
      <c r="E36" s="23"/>
      <c r="F36" s="24">
        <v>0.4431</v>
      </c>
    </row>
    <row r="37" spans="5:6" ht="15.75">
      <c r="E37" s="23"/>
      <c r="F37" s="20"/>
    </row>
    <row r="38" spans="1:6" ht="15.75">
      <c r="A38" s="2" t="s">
        <v>43</v>
      </c>
      <c r="F38" s="20"/>
    </row>
    <row r="39" spans="1:6" s="47" customFormat="1" ht="47.25">
      <c r="A39" s="41" t="s">
        <v>10</v>
      </c>
      <c r="B39" s="48"/>
      <c r="C39" s="42"/>
      <c r="D39" s="49" t="s">
        <v>11</v>
      </c>
      <c r="E39" s="50" t="s">
        <v>12</v>
      </c>
      <c r="F39" s="51"/>
    </row>
    <row r="40" spans="1:6" ht="15.75">
      <c r="A40" s="6" t="s">
        <v>13</v>
      </c>
      <c r="B40" s="25"/>
      <c r="C40" s="7"/>
      <c r="D40" s="26">
        <f>177039955-46768</f>
        <v>176993187</v>
      </c>
      <c r="E40" s="27">
        <v>2997</v>
      </c>
      <c r="F40" s="28"/>
    </row>
    <row r="41" spans="1:6" ht="15.75">
      <c r="A41" s="29" t="s">
        <v>44</v>
      </c>
      <c r="B41" s="5"/>
      <c r="C41" s="12"/>
      <c r="D41" s="30">
        <v>1206929</v>
      </c>
      <c r="E41" s="31">
        <v>14</v>
      </c>
      <c r="F41" s="28"/>
    </row>
    <row r="42" spans="1:6" ht="15.75">
      <c r="A42" s="29" t="s">
        <v>45</v>
      </c>
      <c r="B42" s="5"/>
      <c r="C42" s="12"/>
      <c r="D42" s="30">
        <v>101867</v>
      </c>
      <c r="E42" s="31">
        <v>3</v>
      </c>
      <c r="F42" s="28" t="s">
        <v>51</v>
      </c>
    </row>
    <row r="43" spans="1:6" ht="15.75">
      <c r="A43" s="11" t="s">
        <v>46</v>
      </c>
      <c r="B43" s="5"/>
      <c r="C43" s="12"/>
      <c r="D43" s="30">
        <v>477640</v>
      </c>
      <c r="E43" s="31">
        <v>6</v>
      </c>
      <c r="F43" s="28"/>
    </row>
    <row r="44" spans="1:6" ht="15.75">
      <c r="A44" s="11" t="s">
        <v>30</v>
      </c>
      <c r="B44" s="5"/>
      <c r="C44" s="12"/>
      <c r="D44" s="30">
        <v>205503</v>
      </c>
      <c r="E44" s="31">
        <v>2</v>
      </c>
      <c r="F44" s="28"/>
    </row>
    <row r="45" spans="1:6" ht="15.75">
      <c r="A45" s="11" t="s">
        <v>47</v>
      </c>
      <c r="B45" s="5"/>
      <c r="C45" s="12"/>
      <c r="D45" s="32">
        <v>56026</v>
      </c>
      <c r="E45" s="33">
        <v>1</v>
      </c>
      <c r="F45" s="28"/>
    </row>
    <row r="46" spans="1:6" ht="15.75">
      <c r="A46" s="17"/>
      <c r="B46" s="34"/>
      <c r="C46" s="18"/>
      <c r="D46" s="35">
        <f>SUM(D40:D45)</f>
        <v>179041152</v>
      </c>
      <c r="E46" s="33">
        <f>SUM(E40:E45)</f>
        <v>3023</v>
      </c>
      <c r="F46" s="28"/>
    </row>
    <row r="47" ht="15.75">
      <c r="F47" s="20"/>
    </row>
    <row r="48" spans="1:6" ht="15.75">
      <c r="A48" s="36" t="s">
        <v>48</v>
      </c>
      <c r="E48" s="21" t="s">
        <v>29</v>
      </c>
      <c r="F48" s="21" t="s">
        <v>22</v>
      </c>
    </row>
    <row r="49" spans="5:6" ht="15.75">
      <c r="E49" s="21"/>
      <c r="F49" s="22"/>
    </row>
    <row r="50" spans="1:6" ht="15.75">
      <c r="A50" s="37" t="s">
        <v>23</v>
      </c>
      <c r="E50" s="21">
        <v>0</v>
      </c>
      <c r="F50" s="22">
        <v>0</v>
      </c>
    </row>
    <row r="51" spans="1:6" ht="15.75">
      <c r="A51" s="36" t="s">
        <v>24</v>
      </c>
      <c r="E51" s="21">
        <v>0</v>
      </c>
      <c r="F51" s="22">
        <v>0</v>
      </c>
    </row>
    <row r="52" spans="1:6" ht="15.75">
      <c r="A52" s="2" t="s">
        <v>14</v>
      </c>
      <c r="E52" s="21">
        <v>0</v>
      </c>
      <c r="F52" s="22">
        <v>0</v>
      </c>
    </row>
    <row r="53" spans="1:6" ht="15.75">
      <c r="A53" s="36" t="s">
        <v>25</v>
      </c>
      <c r="E53" s="21"/>
      <c r="F53" s="22">
        <f>F50-F54-F51-F52</f>
        <v>0</v>
      </c>
    </row>
    <row r="54" spans="1:6" ht="15.75">
      <c r="A54" s="2" t="s">
        <v>26</v>
      </c>
      <c r="E54" s="21"/>
      <c r="F54" s="38">
        <v>0</v>
      </c>
    </row>
    <row r="55" spans="5:6" ht="15.75">
      <c r="E55" s="21"/>
      <c r="F55" s="22"/>
    </row>
    <row r="56" spans="1:6" ht="15.75">
      <c r="A56" s="2" t="s">
        <v>27</v>
      </c>
      <c r="E56" s="21"/>
      <c r="F56" s="39">
        <v>0</v>
      </c>
    </row>
    <row r="57" spans="1:6" ht="15.75">
      <c r="A57" s="2" t="s">
        <v>15</v>
      </c>
      <c r="E57" s="21"/>
      <c r="F57" s="22">
        <v>0</v>
      </c>
    </row>
    <row r="58" spans="5:6" ht="15.75">
      <c r="E58" s="21"/>
      <c r="F58" s="22"/>
    </row>
    <row r="59" spans="1:6" ht="15.75">
      <c r="A59" s="2" t="s">
        <v>28</v>
      </c>
      <c r="E59" s="21"/>
      <c r="F59" s="39">
        <v>0</v>
      </c>
    </row>
    <row r="60" spans="1:6" ht="15.75">
      <c r="A60" s="2" t="s">
        <v>49</v>
      </c>
      <c r="E60" s="21"/>
      <c r="F60" s="40">
        <v>0</v>
      </c>
    </row>
    <row r="61" spans="5:6" ht="15.75">
      <c r="E61" s="21"/>
      <c r="F61" s="22"/>
    </row>
    <row r="62" ht="15.75">
      <c r="F62" s="20"/>
    </row>
    <row r="63" ht="15.75">
      <c r="F63" s="20"/>
    </row>
    <row r="64" ht="15.75">
      <c r="F64" s="20"/>
    </row>
    <row r="65" spans="1:6" ht="15.75">
      <c r="A65" s="25" t="s">
        <v>16</v>
      </c>
      <c r="B65" s="25"/>
      <c r="C65" s="25"/>
      <c r="F65" s="20"/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66"/>
  <sheetViews>
    <sheetView workbookViewId="0" topLeftCell="A1">
      <selection activeCell="A1" sqref="A1"/>
    </sheetView>
  </sheetViews>
  <sheetFormatPr defaultColWidth="9.00390625" defaultRowHeight="15.75"/>
  <cols>
    <col min="1" max="1" width="9.00390625" style="2" customWidth="1"/>
    <col min="2" max="2" width="7.625" style="2" customWidth="1"/>
    <col min="3" max="3" width="11.875" style="2" customWidth="1"/>
    <col min="4" max="5" width="15.625" style="2" customWidth="1"/>
    <col min="6" max="6" width="12.375" style="2" customWidth="1"/>
    <col min="7" max="7" width="11.75390625" style="2" customWidth="1"/>
    <col min="8" max="16384" width="9.00390625" style="2" customWidth="1"/>
  </cols>
  <sheetData>
    <row r="1" spans="1:3" ht="18.75">
      <c r="A1" s="1"/>
      <c r="B1" s="1"/>
      <c r="C1" s="1" t="s">
        <v>33</v>
      </c>
    </row>
    <row r="2" ht="15.75"/>
    <row r="4" spans="1:5" ht="15.75">
      <c r="A4" s="2" t="s">
        <v>0</v>
      </c>
      <c r="D4" s="52">
        <v>38471</v>
      </c>
      <c r="E4" s="3"/>
    </row>
    <row r="5" spans="1:5" ht="15.75">
      <c r="A5" s="2" t="s">
        <v>17</v>
      </c>
      <c r="D5" s="53">
        <v>0.0487063</v>
      </c>
      <c r="E5" s="3"/>
    </row>
    <row r="7" ht="15.75">
      <c r="A7" s="2" t="s">
        <v>1</v>
      </c>
    </row>
    <row r="8" spans="1:7" s="47" customFormat="1" ht="31.5">
      <c r="A8" s="41" t="s">
        <v>2</v>
      </c>
      <c r="B8" s="42"/>
      <c r="C8" s="43" t="s">
        <v>31</v>
      </c>
      <c r="D8" s="44" t="s">
        <v>3</v>
      </c>
      <c r="E8" s="44" t="s">
        <v>32</v>
      </c>
      <c r="F8" s="44" t="s">
        <v>18</v>
      </c>
      <c r="G8" s="45" t="s">
        <v>4</v>
      </c>
    </row>
    <row r="9" spans="1:7" ht="15.75">
      <c r="A9" s="6" t="s">
        <v>34</v>
      </c>
      <c r="B9" s="7"/>
      <c r="C9" s="8">
        <v>31</v>
      </c>
      <c r="D9" s="54">
        <v>69895397.2</v>
      </c>
      <c r="E9" s="54">
        <v>4812695</v>
      </c>
      <c r="F9" s="54">
        <v>307243.2</v>
      </c>
      <c r="G9" s="10">
        <f>+D9/276000000</f>
        <v>0.2532441927536232</v>
      </c>
    </row>
    <row r="10" spans="1:7" ht="15.75">
      <c r="A10" s="11" t="s">
        <v>5</v>
      </c>
      <c r="B10" s="12"/>
      <c r="C10" s="13">
        <v>85</v>
      </c>
      <c r="D10" s="14">
        <v>24000000</v>
      </c>
      <c r="E10" s="15">
        <v>0</v>
      </c>
      <c r="F10" s="55">
        <v>109000.8</v>
      </c>
      <c r="G10" s="16">
        <f>+D10/24000000</f>
        <v>1</v>
      </c>
    </row>
    <row r="11" spans="1:7" ht="15.75">
      <c r="A11" s="17"/>
      <c r="B11" s="18"/>
      <c r="C11" s="18"/>
      <c r="D11" s="15">
        <f>SUM(D9:D10)</f>
        <v>93895397.2</v>
      </c>
      <c r="E11" s="15">
        <f>SUM(E9:E10)</f>
        <v>4812695</v>
      </c>
      <c r="F11" s="15">
        <f>SUM(F9:F10)</f>
        <v>416244</v>
      </c>
      <c r="G11" s="19"/>
    </row>
    <row r="13" spans="1:6" ht="15.75">
      <c r="A13" s="2" t="s">
        <v>35</v>
      </c>
      <c r="F13" s="20">
        <v>45000000</v>
      </c>
    </row>
    <row r="14" spans="1:6" ht="15.75">
      <c r="A14" s="2" t="s">
        <v>6</v>
      </c>
      <c r="F14" s="20">
        <v>0</v>
      </c>
    </row>
    <row r="15" ht="15.75">
      <c r="F15" s="20"/>
    </row>
    <row r="16" spans="1:6" ht="15.75">
      <c r="A16" s="2" t="s">
        <v>7</v>
      </c>
      <c r="F16" s="20">
        <v>6000000</v>
      </c>
    </row>
    <row r="17" spans="1:6" ht="15.75">
      <c r="A17" s="2" t="s">
        <v>52</v>
      </c>
      <c r="F17" s="20">
        <v>0</v>
      </c>
    </row>
    <row r="18" spans="1:6" ht="15.75">
      <c r="A18" s="2" t="s">
        <v>36</v>
      </c>
      <c r="F18" s="20">
        <v>6000000</v>
      </c>
    </row>
    <row r="19" ht="15.75">
      <c r="F19" s="20"/>
    </row>
    <row r="20" spans="1:6" ht="15.75">
      <c r="A20" s="2" t="s">
        <v>37</v>
      </c>
      <c r="F20" s="20">
        <v>500000</v>
      </c>
    </row>
    <row r="21" spans="1:6" ht="15.75">
      <c r="A21" s="2" t="s">
        <v>38</v>
      </c>
      <c r="F21" s="20">
        <v>0</v>
      </c>
    </row>
    <row r="22" spans="1:6" ht="15.75">
      <c r="A22" s="2" t="s">
        <v>39</v>
      </c>
      <c r="F22" s="20">
        <v>500000</v>
      </c>
    </row>
    <row r="23" ht="15.75">
      <c r="F23" s="20"/>
    </row>
    <row r="24" spans="1:6" ht="15.75">
      <c r="A24" s="2" t="s">
        <v>8</v>
      </c>
      <c r="F24" s="20">
        <v>0</v>
      </c>
    </row>
    <row r="25" spans="1:6" ht="15.75">
      <c r="A25" s="2" t="s">
        <v>19</v>
      </c>
      <c r="F25" s="20">
        <v>0</v>
      </c>
    </row>
    <row r="26" ht="15.75">
      <c r="F26" s="20"/>
    </row>
    <row r="27" spans="1:6" ht="15.75">
      <c r="A27" s="2" t="s">
        <v>40</v>
      </c>
      <c r="F27" s="65">
        <v>97729</v>
      </c>
    </row>
    <row r="28" spans="1:6" ht="15.75">
      <c r="A28" s="2" t="s">
        <v>53</v>
      </c>
      <c r="F28" s="20">
        <v>0</v>
      </c>
    </row>
    <row r="29" spans="1:6" ht="15.75">
      <c r="A29" s="2" t="s">
        <v>20</v>
      </c>
      <c r="F29" s="20">
        <f>D46</f>
        <v>93895376.77</v>
      </c>
    </row>
    <row r="30" ht="15.75">
      <c r="F30" s="20"/>
    </row>
    <row r="31" spans="5:6" ht="15.75">
      <c r="E31" s="21" t="s">
        <v>21</v>
      </c>
      <c r="F31" s="22" t="s">
        <v>22</v>
      </c>
    </row>
    <row r="32" spans="1:6" ht="15.75">
      <c r="A32" s="2" t="s">
        <v>41</v>
      </c>
      <c r="E32" s="56">
        <f>46+8+8+9+8+11+4</f>
        <v>94</v>
      </c>
      <c r="F32" s="57">
        <f>811190+65000+35000+59900+25000+30000+3000+2645813+20000+10000+79531.28+41865+268651.81+114225.56+96671.31+10787.15</f>
        <v>4316635.109999999</v>
      </c>
    </row>
    <row r="33" spans="1:6" ht="15.75">
      <c r="A33" s="2" t="s">
        <v>9</v>
      </c>
      <c r="E33" s="56">
        <v>0</v>
      </c>
      <c r="F33" s="57">
        <v>0</v>
      </c>
    </row>
    <row r="34" spans="1:6" ht="15.75">
      <c r="A34" s="2" t="s">
        <v>42</v>
      </c>
      <c r="E34" s="21">
        <f>861+44+88+59+95+77+116+82+134+73+113+31+115+83+98+36+42+29+106+54+81+113</f>
        <v>2530</v>
      </c>
      <c r="F34" s="22">
        <f>68606382+5894897.05+5544682.87+5709643+7641954+6749512.84+9802062+8604525+8201934.38+6644331.5+7905047+5727719.86+7143832.27+5703968.66+8164011+3279857.62+3708819+2645813+7667212+4699330.91+7405272.82+7315682.26</f>
        <v>204766491.04</v>
      </c>
    </row>
    <row r="35" spans="5:6" ht="15.75">
      <c r="E35" s="21"/>
      <c r="F35" s="22"/>
    </row>
    <row r="36" spans="1:6" ht="15.75">
      <c r="A36" s="2" t="s">
        <v>50</v>
      </c>
      <c r="E36" s="23"/>
      <c r="F36" s="58">
        <f>((4384541+1433064.26-1004889.69)/98708069)*12</f>
        <v>0.5850847597879765</v>
      </c>
    </row>
    <row r="37" spans="5:6" ht="15.75">
      <c r="E37" s="23"/>
      <c r="F37" s="20"/>
    </row>
    <row r="38" spans="1:6" ht="15.75">
      <c r="A38" s="2" t="s">
        <v>43</v>
      </c>
      <c r="F38" s="20"/>
    </row>
    <row r="39" spans="1:6" s="47" customFormat="1" ht="47.25">
      <c r="A39" s="41" t="s">
        <v>10</v>
      </c>
      <c r="B39" s="48"/>
      <c r="C39" s="42"/>
      <c r="D39" s="49" t="s">
        <v>11</v>
      </c>
      <c r="E39" s="50" t="s">
        <v>12</v>
      </c>
      <c r="F39" s="51"/>
    </row>
    <row r="40" spans="1:6" ht="15.75">
      <c r="A40" s="6" t="s">
        <v>13</v>
      </c>
      <c r="B40" s="25"/>
      <c r="C40" s="7"/>
      <c r="D40" s="59">
        <v>90699966.63</v>
      </c>
      <c r="E40" s="60">
        <v>1669</v>
      </c>
      <c r="F40" s="28"/>
    </row>
    <row r="41" spans="1:6" ht="15.75">
      <c r="A41" s="29" t="s">
        <v>44</v>
      </c>
      <c r="B41" s="5"/>
      <c r="C41" s="12"/>
      <c r="D41" s="61">
        <v>943877.8</v>
      </c>
      <c r="E41" s="62">
        <v>15</v>
      </c>
      <c r="F41" s="28"/>
    </row>
    <row r="42" spans="1:6" ht="15.75">
      <c r="A42" s="29" t="s">
        <v>45</v>
      </c>
      <c r="B42" s="5"/>
      <c r="C42" s="12"/>
      <c r="D42" s="61">
        <v>943013.73</v>
      </c>
      <c r="E42" s="62">
        <v>6</v>
      </c>
      <c r="F42" s="28" t="s">
        <v>51</v>
      </c>
    </row>
    <row r="43" spans="1:6" ht="15.75">
      <c r="A43" s="11" t="s">
        <v>46</v>
      </c>
      <c r="B43" s="5"/>
      <c r="C43" s="12"/>
      <c r="D43" s="61">
        <f>1134643.78+38600.19+5909.76+70993.28+5361.61</f>
        <v>1255508.62</v>
      </c>
      <c r="E43" s="62">
        <f>12+1+1+1+3</f>
        <v>18</v>
      </c>
      <c r="F43" s="28"/>
    </row>
    <row r="44" spans="1:6" ht="15.75">
      <c r="A44" s="11" t="s">
        <v>30</v>
      </c>
      <c r="B44" s="5"/>
      <c r="C44" s="12"/>
      <c r="D44" s="61">
        <v>53009.99</v>
      </c>
      <c r="E44" s="62">
        <v>3</v>
      </c>
      <c r="F44" s="28"/>
    </row>
    <row r="45" spans="1:6" ht="15.75">
      <c r="A45" s="11" t="s">
        <v>47</v>
      </c>
      <c r="B45" s="5"/>
      <c r="C45" s="12"/>
      <c r="D45" s="63">
        <v>0</v>
      </c>
      <c r="E45" s="64">
        <v>0</v>
      </c>
      <c r="F45" s="28"/>
    </row>
    <row r="46" spans="1:6" ht="15.75">
      <c r="A46" s="17"/>
      <c r="B46" s="34"/>
      <c r="C46" s="18"/>
      <c r="D46" s="35">
        <f>SUM(D40:D45)</f>
        <v>93895376.77</v>
      </c>
      <c r="E46" s="33">
        <f>SUM(E40:E45)</f>
        <v>1711</v>
      </c>
      <c r="F46" s="28"/>
    </row>
    <row r="47" ht="15.75">
      <c r="F47" s="20"/>
    </row>
    <row r="48" spans="1:6" ht="15.75">
      <c r="A48" s="36" t="s">
        <v>48</v>
      </c>
      <c r="E48" s="21" t="s">
        <v>29</v>
      </c>
      <c r="F48" s="21" t="s">
        <v>22</v>
      </c>
    </row>
    <row r="49" spans="5:6" ht="15.75">
      <c r="E49" s="21"/>
      <c r="F49" s="22"/>
    </row>
    <row r="50" spans="1:6" ht="15.75">
      <c r="A50" s="37" t="s">
        <v>23</v>
      </c>
      <c r="E50" s="21">
        <v>0</v>
      </c>
      <c r="F50" s="22">
        <v>0</v>
      </c>
    </row>
    <row r="51" spans="1:6" ht="15.75">
      <c r="A51" s="36" t="s">
        <v>24</v>
      </c>
      <c r="E51" s="21">
        <v>0</v>
      </c>
      <c r="F51" s="22">
        <v>0</v>
      </c>
    </row>
    <row r="52" spans="1:6" ht="15.75">
      <c r="A52" s="2" t="s">
        <v>14</v>
      </c>
      <c r="E52" s="21">
        <v>0</v>
      </c>
      <c r="F52" s="22">
        <v>0</v>
      </c>
    </row>
    <row r="53" spans="1:6" ht="15.75">
      <c r="A53" s="36" t="s">
        <v>25</v>
      </c>
      <c r="E53" s="21"/>
      <c r="F53" s="22">
        <f>F50-F54-F51-F52</f>
        <v>0</v>
      </c>
    </row>
    <row r="54" spans="1:6" ht="15.75">
      <c r="A54" s="2" t="s">
        <v>26</v>
      </c>
      <c r="E54" s="21"/>
      <c r="F54" s="38">
        <v>0</v>
      </c>
    </row>
    <row r="55" spans="5:6" ht="15.75">
      <c r="E55" s="21"/>
      <c r="F55" s="22"/>
    </row>
    <row r="56" spans="1:6" ht="15.75">
      <c r="A56" s="2" t="s">
        <v>27</v>
      </c>
      <c r="E56" s="21"/>
      <c r="F56" s="39">
        <v>0</v>
      </c>
    </row>
    <row r="57" spans="1:6" ht="15.75">
      <c r="A57" s="2" t="s">
        <v>15</v>
      </c>
      <c r="E57" s="21"/>
      <c r="F57" s="22">
        <v>0</v>
      </c>
    </row>
    <row r="58" spans="5:6" ht="15.75">
      <c r="E58" s="21"/>
      <c r="F58" s="22"/>
    </row>
    <row r="59" spans="1:6" ht="15.75">
      <c r="A59" s="2" t="s">
        <v>28</v>
      </c>
      <c r="E59" s="21"/>
      <c r="F59" s="39">
        <v>0</v>
      </c>
    </row>
    <row r="60" spans="1:6" ht="15.75">
      <c r="A60" s="2" t="s">
        <v>49</v>
      </c>
      <c r="E60" s="21"/>
      <c r="F60" s="40">
        <v>0</v>
      </c>
    </row>
    <row r="61" spans="5:6" ht="15.75">
      <c r="E61" s="21"/>
      <c r="F61" s="22"/>
    </row>
    <row r="62" ht="15.75">
      <c r="F62" s="20"/>
    </row>
    <row r="63" ht="15.75">
      <c r="F63" s="20"/>
    </row>
    <row r="64" ht="15.75">
      <c r="F64" s="20"/>
    </row>
    <row r="65" spans="1:6" ht="15.75">
      <c r="A65" s="25" t="s">
        <v>16</v>
      </c>
      <c r="B65" s="25"/>
      <c r="C65" s="25"/>
      <c r="F65" s="20"/>
    </row>
    <row r="66" ht="15.75">
      <c r="A66" s="2" t="s">
        <v>54</v>
      </c>
    </row>
  </sheetData>
  <printOptions/>
  <pageMargins left="0.75" right="0.75" top="1" bottom="1" header="0.5" footer="0.5"/>
  <pageSetup horizontalDpi="600" verticalDpi="600" orientation="portrait" paperSize="9" scale="93" r:id="rId2"/>
  <rowBreaks count="1" manualBreakCount="1">
    <brk id="46" max="6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66"/>
  <sheetViews>
    <sheetView workbookViewId="0" topLeftCell="A1">
      <selection activeCell="A1" sqref="A1"/>
    </sheetView>
  </sheetViews>
  <sheetFormatPr defaultColWidth="9.00390625" defaultRowHeight="15.75"/>
  <cols>
    <col min="1" max="1" width="9.00390625" style="2" customWidth="1"/>
    <col min="2" max="2" width="7.625" style="2" customWidth="1"/>
    <col min="3" max="3" width="11.875" style="2" customWidth="1"/>
    <col min="4" max="5" width="15.625" style="2" customWidth="1"/>
    <col min="6" max="6" width="12.375" style="2" customWidth="1"/>
    <col min="7" max="7" width="11.75390625" style="2" customWidth="1"/>
    <col min="8" max="16384" width="9.00390625" style="2" customWidth="1"/>
  </cols>
  <sheetData>
    <row r="1" spans="1:3" ht="18.75">
      <c r="A1" s="1"/>
      <c r="B1" s="1"/>
      <c r="C1" s="1" t="s">
        <v>33</v>
      </c>
    </row>
    <row r="2" ht="15.75"/>
    <row r="4" spans="1:5" ht="15.75">
      <c r="A4" s="2" t="s">
        <v>0</v>
      </c>
      <c r="D4" s="52">
        <v>38503</v>
      </c>
      <c r="E4" s="3"/>
    </row>
    <row r="5" spans="1:5" ht="15.75">
      <c r="A5" s="2" t="s">
        <v>17</v>
      </c>
      <c r="D5" s="53">
        <v>0.04855</v>
      </c>
      <c r="E5" s="3"/>
    </row>
    <row r="7" ht="15.75">
      <c r="A7" s="2" t="s">
        <v>1</v>
      </c>
    </row>
    <row r="8" spans="1:7" s="47" customFormat="1" ht="31.5">
      <c r="A8" s="41" t="s">
        <v>2</v>
      </c>
      <c r="B8" s="42"/>
      <c r="C8" s="43" t="s">
        <v>31</v>
      </c>
      <c r="D8" s="44" t="s">
        <v>3</v>
      </c>
      <c r="E8" s="44" t="s">
        <v>32</v>
      </c>
      <c r="F8" s="44" t="s">
        <v>18</v>
      </c>
      <c r="G8" s="45" t="s">
        <v>4</v>
      </c>
    </row>
    <row r="9" spans="1:7" ht="15.75">
      <c r="A9" s="6" t="s">
        <v>34</v>
      </c>
      <c r="B9" s="7"/>
      <c r="C9" s="8">
        <v>31</v>
      </c>
      <c r="D9" s="54">
        <v>67384984</v>
      </c>
      <c r="E9" s="54">
        <v>2510413</v>
      </c>
      <c r="F9" s="54">
        <v>317455.2</v>
      </c>
      <c r="G9" s="10">
        <f>+D9/276000000</f>
        <v>0.2441484927536232</v>
      </c>
    </row>
    <row r="10" spans="1:7" ht="15.75">
      <c r="A10" s="11" t="s">
        <v>5</v>
      </c>
      <c r="B10" s="12"/>
      <c r="C10" s="13">
        <v>85</v>
      </c>
      <c r="D10" s="14">
        <v>24000000</v>
      </c>
      <c r="E10" s="15">
        <v>0</v>
      </c>
      <c r="F10" s="55">
        <v>120367.2</v>
      </c>
      <c r="G10" s="16">
        <f>+D10/24000000</f>
        <v>1</v>
      </c>
    </row>
    <row r="11" spans="1:7" ht="15.75">
      <c r="A11" s="17"/>
      <c r="B11" s="18"/>
      <c r="C11" s="18"/>
      <c r="D11" s="15">
        <f>SUM(D9:D10)</f>
        <v>91384984</v>
      </c>
      <c r="E11" s="15">
        <f>SUM(E9:E10)</f>
        <v>2510413</v>
      </c>
      <c r="F11" s="15">
        <f>SUM(F9:F10)</f>
        <v>437822.4</v>
      </c>
      <c r="G11" s="19"/>
    </row>
    <row r="13" spans="1:6" ht="15.75">
      <c r="A13" s="2" t="s">
        <v>35</v>
      </c>
      <c r="F13" s="20">
        <v>45000000</v>
      </c>
    </row>
    <row r="14" spans="1:6" ht="15.75">
      <c r="A14" s="2" t="s">
        <v>6</v>
      </c>
      <c r="F14" s="20">
        <v>0</v>
      </c>
    </row>
    <row r="15" ht="15.75">
      <c r="F15" s="20"/>
    </row>
    <row r="16" spans="1:6" ht="15.75">
      <c r="A16" s="2" t="s">
        <v>7</v>
      </c>
      <c r="F16" s="20">
        <v>6000000</v>
      </c>
    </row>
    <row r="17" spans="1:6" ht="15.75">
      <c r="A17" s="2" t="s">
        <v>52</v>
      </c>
      <c r="F17" s="20">
        <v>0</v>
      </c>
    </row>
    <row r="18" spans="1:6" ht="15.75">
      <c r="A18" s="2" t="s">
        <v>36</v>
      </c>
      <c r="F18" s="20">
        <v>6000000</v>
      </c>
    </row>
    <row r="19" ht="15.75">
      <c r="F19" s="20"/>
    </row>
    <row r="20" spans="1:6" ht="15.75">
      <c r="A20" s="2" t="s">
        <v>37</v>
      </c>
      <c r="F20" s="20">
        <v>500000</v>
      </c>
    </row>
    <row r="21" spans="1:6" ht="15.75">
      <c r="A21" s="2" t="s">
        <v>38</v>
      </c>
      <c r="F21" s="20">
        <v>0</v>
      </c>
    </row>
    <row r="22" spans="1:6" ht="15.75">
      <c r="A22" s="2" t="s">
        <v>39</v>
      </c>
      <c r="F22" s="20">
        <v>500000</v>
      </c>
    </row>
    <row r="23" ht="15.75">
      <c r="F23" s="20"/>
    </row>
    <row r="24" spans="1:6" ht="15.75">
      <c r="A24" s="2" t="s">
        <v>8</v>
      </c>
      <c r="F24" s="20">
        <v>0</v>
      </c>
    </row>
    <row r="25" spans="1:6" ht="15.75">
      <c r="A25" s="2" t="s">
        <v>19</v>
      </c>
      <c r="F25" s="20">
        <v>0</v>
      </c>
    </row>
    <row r="26" ht="15.75">
      <c r="F26" s="20"/>
    </row>
    <row r="27" spans="1:6" ht="15.75">
      <c r="A27" s="2" t="s">
        <v>40</v>
      </c>
      <c r="F27" s="65">
        <v>84078</v>
      </c>
    </row>
    <row r="28" spans="1:6" ht="15.75">
      <c r="A28" s="2" t="s">
        <v>53</v>
      </c>
      <c r="F28" s="20">
        <v>0</v>
      </c>
    </row>
    <row r="29" spans="1:6" ht="15.75">
      <c r="A29" s="2" t="s">
        <v>20</v>
      </c>
      <c r="F29" s="20">
        <f>D46</f>
        <v>91384972.76</v>
      </c>
    </row>
    <row r="30" ht="15.75">
      <c r="F30" s="20"/>
    </row>
    <row r="31" spans="5:6" ht="15.75">
      <c r="E31" s="21" t="s">
        <v>21</v>
      </c>
      <c r="F31" s="22" t="s">
        <v>22</v>
      </c>
    </row>
    <row r="32" spans="1:6" ht="15.75">
      <c r="A32" s="2" t="s">
        <v>41</v>
      </c>
      <c r="E32" s="56">
        <f>46+8+8+9+8+11+4</f>
        <v>94</v>
      </c>
      <c r="F32" s="57">
        <f>811190+65000+35000+59900+25000+30000+3000+2645813+20000+10000+79531.28+41865+268651.81+114225.56+96671.31+10787.15</f>
        <v>4316635.109999999</v>
      </c>
    </row>
    <row r="33" spans="1:6" ht="15.75">
      <c r="A33" s="2" t="s">
        <v>9</v>
      </c>
      <c r="E33" s="56">
        <v>0</v>
      </c>
      <c r="F33" s="57">
        <v>0</v>
      </c>
    </row>
    <row r="34" spans="1:6" ht="15.75">
      <c r="A34" s="2" t="s">
        <v>42</v>
      </c>
      <c r="E34" s="21">
        <f>861+44+88+59+95+77+116+82+134+73+113+31+115+83+98+36+42+29+106+54+81+113</f>
        <v>2530</v>
      </c>
      <c r="F34" s="22">
        <f>68606382+5894897.05+5544682.87+5709643+7641954+6749512.84+9802062+8604525+8201934.38+6644331.5+7905047+5727719.86+7143832.27+5703968.66+8164011+3279857.62+3708819+2645813+7667212+4699330.91+7405272.82+7315682.26</f>
        <v>204766491.04</v>
      </c>
    </row>
    <row r="35" spans="5:6" ht="15.75">
      <c r="E35" s="21"/>
      <c r="F35" s="22"/>
    </row>
    <row r="36" spans="1:6" ht="15.75">
      <c r="A36" s="2" t="s">
        <v>50</v>
      </c>
      <c r="E36" s="23"/>
      <c r="F36" s="58">
        <f>((2371168+1357036.83-1217779.94)/93895376.77)*12</f>
        <v>0.32083686882467577</v>
      </c>
    </row>
    <row r="37" spans="5:6" ht="15.75">
      <c r="E37" s="23"/>
      <c r="F37" s="20"/>
    </row>
    <row r="38" spans="1:6" ht="15.75">
      <c r="A38" s="2" t="s">
        <v>43</v>
      </c>
      <c r="F38" s="20"/>
    </row>
    <row r="39" spans="1:6" s="47" customFormat="1" ht="47.25">
      <c r="A39" s="41" t="s">
        <v>10</v>
      </c>
      <c r="B39" s="48"/>
      <c r="C39" s="42"/>
      <c r="D39" s="49" t="s">
        <v>11</v>
      </c>
      <c r="E39" s="50" t="s">
        <v>12</v>
      </c>
      <c r="F39" s="51"/>
    </row>
    <row r="40" spans="1:6" ht="15.75">
      <c r="A40" s="6" t="s">
        <v>13</v>
      </c>
      <c r="B40" s="25"/>
      <c r="C40" s="7"/>
      <c r="D40" s="59">
        <v>87974662.5</v>
      </c>
      <c r="E40" s="60">
        <v>1622</v>
      </c>
      <c r="F40" s="28"/>
    </row>
    <row r="41" spans="1:6" ht="15.75">
      <c r="A41" s="29" t="s">
        <v>44</v>
      </c>
      <c r="B41" s="5"/>
      <c r="C41" s="12"/>
      <c r="D41" s="61">
        <v>1648580.54</v>
      </c>
      <c r="E41" s="62">
        <v>17</v>
      </c>
      <c r="F41" s="28"/>
    </row>
    <row r="42" spans="1:6" ht="15.75">
      <c r="A42" s="29" t="s">
        <v>45</v>
      </c>
      <c r="B42" s="5"/>
      <c r="C42" s="12"/>
      <c r="D42" s="61">
        <v>865585.42</v>
      </c>
      <c r="E42" s="62">
        <v>7</v>
      </c>
      <c r="F42" s="28" t="s">
        <v>51</v>
      </c>
    </row>
    <row r="43" spans="1:6" ht="15.75">
      <c r="A43" s="11" t="s">
        <v>46</v>
      </c>
      <c r="B43" s="5"/>
      <c r="C43" s="12"/>
      <c r="D43" s="61">
        <f>636120.13+38845.34+5909.76+6819.23</f>
        <v>687694.46</v>
      </c>
      <c r="E43" s="62">
        <f>10+2+1+5</f>
        <v>18</v>
      </c>
      <c r="F43" s="28"/>
    </row>
    <row r="44" spans="1:6" ht="15.75">
      <c r="A44" s="11" t="s">
        <v>30</v>
      </c>
      <c r="B44" s="5"/>
      <c r="C44" s="12"/>
      <c r="D44" s="61">
        <v>208449.84</v>
      </c>
      <c r="E44" s="62">
        <v>4</v>
      </c>
      <c r="F44" s="28"/>
    </row>
    <row r="45" spans="1:6" ht="15.75">
      <c r="A45" s="11" t="s">
        <v>47</v>
      </c>
      <c r="B45" s="5"/>
      <c r="C45" s="12"/>
      <c r="D45" s="63">
        <v>0</v>
      </c>
      <c r="E45" s="64">
        <v>0</v>
      </c>
      <c r="F45" s="28"/>
    </row>
    <row r="46" spans="1:6" ht="15.75">
      <c r="A46" s="17"/>
      <c r="B46" s="34"/>
      <c r="C46" s="18"/>
      <c r="D46" s="35">
        <f>SUM(D40:D45)</f>
        <v>91384972.76</v>
      </c>
      <c r="E46" s="33">
        <f>SUM(E40:E45)</f>
        <v>1668</v>
      </c>
      <c r="F46" s="28"/>
    </row>
    <row r="47" ht="15.75">
      <c r="F47" s="20"/>
    </row>
    <row r="48" spans="1:6" ht="15.75">
      <c r="A48" s="36" t="s">
        <v>48</v>
      </c>
      <c r="E48" s="21" t="s">
        <v>29</v>
      </c>
      <c r="F48" s="21" t="s">
        <v>22</v>
      </c>
    </row>
    <row r="49" spans="5:6" ht="15.75">
      <c r="E49" s="21"/>
      <c r="F49" s="22"/>
    </row>
    <row r="50" spans="1:6" ht="15.75">
      <c r="A50" s="37" t="s">
        <v>23</v>
      </c>
      <c r="E50" s="21">
        <v>0</v>
      </c>
      <c r="F50" s="22">
        <v>0</v>
      </c>
    </row>
    <row r="51" spans="1:6" ht="15.75">
      <c r="A51" s="36" t="s">
        <v>24</v>
      </c>
      <c r="E51" s="21">
        <v>0</v>
      </c>
      <c r="F51" s="22">
        <v>0</v>
      </c>
    </row>
    <row r="52" spans="1:6" ht="15.75">
      <c r="A52" s="2" t="s">
        <v>14</v>
      </c>
      <c r="E52" s="21">
        <v>0</v>
      </c>
      <c r="F52" s="22">
        <v>0</v>
      </c>
    </row>
    <row r="53" spans="1:6" ht="15.75">
      <c r="A53" s="36" t="s">
        <v>25</v>
      </c>
      <c r="E53" s="21"/>
      <c r="F53" s="22">
        <f>F50-F54-F51-F52</f>
        <v>0</v>
      </c>
    </row>
    <row r="54" spans="1:6" ht="15.75">
      <c r="A54" s="2" t="s">
        <v>26</v>
      </c>
      <c r="E54" s="21"/>
      <c r="F54" s="38">
        <v>0</v>
      </c>
    </row>
    <row r="55" spans="5:6" ht="15.75">
      <c r="E55" s="21"/>
      <c r="F55" s="22"/>
    </row>
    <row r="56" spans="1:6" ht="15.75">
      <c r="A56" s="2" t="s">
        <v>27</v>
      </c>
      <c r="E56" s="21"/>
      <c r="F56" s="39">
        <v>0</v>
      </c>
    </row>
    <row r="57" spans="1:6" ht="15.75">
      <c r="A57" s="2" t="s">
        <v>15</v>
      </c>
      <c r="E57" s="21"/>
      <c r="F57" s="22">
        <v>0</v>
      </c>
    </row>
    <row r="58" spans="5:6" ht="15.75">
      <c r="E58" s="21"/>
      <c r="F58" s="22"/>
    </row>
    <row r="59" spans="1:6" ht="15.75">
      <c r="A59" s="2" t="s">
        <v>28</v>
      </c>
      <c r="E59" s="21"/>
      <c r="F59" s="39">
        <v>0</v>
      </c>
    </row>
    <row r="60" spans="1:6" ht="15.75">
      <c r="A60" s="2" t="s">
        <v>49</v>
      </c>
      <c r="E60" s="21"/>
      <c r="F60" s="40">
        <v>0</v>
      </c>
    </row>
    <row r="61" spans="5:6" ht="15.75">
      <c r="E61" s="21"/>
      <c r="F61" s="22"/>
    </row>
    <row r="62" ht="15.75">
      <c r="F62" s="20"/>
    </row>
    <row r="63" ht="15.75">
      <c r="F63" s="20"/>
    </row>
    <row r="64" ht="15.75">
      <c r="F64" s="20"/>
    </row>
    <row r="65" spans="1:6" ht="15.75">
      <c r="A65" s="25" t="s">
        <v>16</v>
      </c>
      <c r="B65" s="25"/>
      <c r="C65" s="25"/>
      <c r="F65" s="20"/>
    </row>
    <row r="66" ht="15.75">
      <c r="A66" s="2" t="s">
        <v>54</v>
      </c>
    </row>
  </sheetData>
  <printOptions/>
  <pageMargins left="0.75" right="0.75" top="1" bottom="1" header="0.5" footer="0.5"/>
  <pageSetup horizontalDpi="600" verticalDpi="600" orientation="portrait" paperSize="9" scale="93" r:id="rId2"/>
  <rowBreaks count="1" manualBreakCount="1">
    <brk id="46" max="255" man="1"/>
  </row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66"/>
  <sheetViews>
    <sheetView workbookViewId="0" topLeftCell="A1">
      <selection activeCell="A1" sqref="A1"/>
    </sheetView>
  </sheetViews>
  <sheetFormatPr defaultColWidth="9.00390625" defaultRowHeight="15.75"/>
  <cols>
    <col min="1" max="1" width="9.00390625" style="2" customWidth="1"/>
    <col min="2" max="2" width="7.625" style="2" customWidth="1"/>
    <col min="3" max="3" width="11.875" style="2" customWidth="1"/>
    <col min="4" max="5" width="15.625" style="2" customWidth="1"/>
    <col min="6" max="6" width="12.375" style="2" customWidth="1"/>
    <col min="7" max="7" width="11.75390625" style="2" customWidth="1"/>
    <col min="8" max="16384" width="9.00390625" style="2" customWidth="1"/>
  </cols>
  <sheetData>
    <row r="1" spans="1:3" ht="18.75">
      <c r="A1" s="1"/>
      <c r="B1" s="1"/>
      <c r="C1" s="1" t="s">
        <v>33</v>
      </c>
    </row>
    <row r="2" ht="15.75"/>
    <row r="4" spans="1:5" ht="15.75">
      <c r="A4" s="2" t="s">
        <v>0</v>
      </c>
      <c r="D4" s="52">
        <v>38533</v>
      </c>
      <c r="E4" s="3"/>
    </row>
    <row r="5" spans="1:5" ht="15.75">
      <c r="A5" s="2" t="s">
        <v>17</v>
      </c>
      <c r="D5" s="53">
        <v>0.0482</v>
      </c>
      <c r="E5" s="3"/>
    </row>
    <row r="7" ht="15.75">
      <c r="A7" s="2" t="s">
        <v>1</v>
      </c>
    </row>
    <row r="8" spans="1:7" s="47" customFormat="1" ht="31.5">
      <c r="A8" s="41" t="s">
        <v>2</v>
      </c>
      <c r="B8" s="42"/>
      <c r="C8" s="43" t="s">
        <v>31</v>
      </c>
      <c r="D8" s="44" t="s">
        <v>3</v>
      </c>
      <c r="E8" s="44" t="s">
        <v>32</v>
      </c>
      <c r="F8" s="44" t="s">
        <v>18</v>
      </c>
      <c r="G8" s="45" t="s">
        <v>4</v>
      </c>
    </row>
    <row r="9" spans="1:7" ht="15.75">
      <c r="A9" s="6" t="s">
        <v>34</v>
      </c>
      <c r="B9" s="7"/>
      <c r="C9" s="8">
        <v>31</v>
      </c>
      <c r="D9" s="54">
        <v>61874368</v>
      </c>
      <c r="E9" s="54">
        <v>5510616</v>
      </c>
      <c r="F9" s="54">
        <v>286074</v>
      </c>
      <c r="G9" s="10">
        <f>+D9/276000000</f>
        <v>0.22418249275362317</v>
      </c>
    </row>
    <row r="10" spans="1:7" ht="15.75">
      <c r="A10" s="11" t="s">
        <v>5</v>
      </c>
      <c r="B10" s="12"/>
      <c r="C10" s="13">
        <v>85</v>
      </c>
      <c r="D10" s="14">
        <v>24000000</v>
      </c>
      <c r="E10" s="15">
        <v>0</v>
      </c>
      <c r="F10" s="55">
        <v>112536</v>
      </c>
      <c r="G10" s="16">
        <f>+D10/24000000</f>
        <v>1</v>
      </c>
    </row>
    <row r="11" spans="1:7" ht="15.75">
      <c r="A11" s="17"/>
      <c r="B11" s="18"/>
      <c r="C11" s="18"/>
      <c r="D11" s="15">
        <f>SUM(D9:D10)</f>
        <v>85874368</v>
      </c>
      <c r="E11" s="15">
        <f>SUM(E9:E10)</f>
        <v>5510616</v>
      </c>
      <c r="F11" s="15">
        <f>SUM(F9:F10)</f>
        <v>398610</v>
      </c>
      <c r="G11" s="19"/>
    </row>
    <row r="13" spans="1:6" ht="15.75">
      <c r="A13" s="2" t="s">
        <v>35</v>
      </c>
      <c r="F13" s="20">
        <v>45000000</v>
      </c>
    </row>
    <row r="14" spans="1:6" ht="15.75">
      <c r="A14" s="2" t="s">
        <v>6</v>
      </c>
      <c r="F14" s="20">
        <v>0</v>
      </c>
    </row>
    <row r="15" ht="15.75">
      <c r="F15" s="20"/>
    </row>
    <row r="16" spans="1:6" ht="15.75">
      <c r="A16" s="2" t="s">
        <v>7</v>
      </c>
      <c r="F16" s="20">
        <v>6000000</v>
      </c>
    </row>
    <row r="17" spans="1:6" ht="15.75">
      <c r="A17" s="2" t="s">
        <v>52</v>
      </c>
      <c r="F17" s="20">
        <v>0</v>
      </c>
    </row>
    <row r="18" spans="1:6" ht="15.75">
      <c r="A18" s="2" t="s">
        <v>36</v>
      </c>
      <c r="F18" s="20">
        <v>6000000</v>
      </c>
    </row>
    <row r="19" ht="15.75">
      <c r="F19" s="20"/>
    </row>
    <row r="20" spans="1:6" ht="15.75">
      <c r="A20" s="2" t="s">
        <v>37</v>
      </c>
      <c r="F20" s="20">
        <v>500000</v>
      </c>
    </row>
    <row r="21" spans="1:6" ht="15.75">
      <c r="A21" s="2" t="s">
        <v>38</v>
      </c>
      <c r="F21" s="20">
        <v>0</v>
      </c>
    </row>
    <row r="22" spans="1:6" ht="15.75">
      <c r="A22" s="2" t="s">
        <v>39</v>
      </c>
      <c r="F22" s="20">
        <v>500000</v>
      </c>
    </row>
    <row r="23" ht="15.75">
      <c r="F23" s="20"/>
    </row>
    <row r="24" spans="1:6" ht="15.75">
      <c r="A24" s="2" t="s">
        <v>8</v>
      </c>
      <c r="F24" s="20">
        <v>0</v>
      </c>
    </row>
    <row r="25" spans="1:6" ht="15.75">
      <c r="A25" s="2" t="s">
        <v>19</v>
      </c>
      <c r="F25" s="20">
        <v>0</v>
      </c>
    </row>
    <row r="26" ht="15.75">
      <c r="F26" s="20"/>
    </row>
    <row r="27" spans="1:6" ht="15.75">
      <c r="A27" s="2" t="s">
        <v>40</v>
      </c>
      <c r="F27" s="65">
        <v>84958</v>
      </c>
    </row>
    <row r="28" spans="1:6" ht="15.75">
      <c r="A28" s="2" t="s">
        <v>53</v>
      </c>
      <c r="F28" s="20">
        <v>0</v>
      </c>
    </row>
    <row r="29" spans="1:6" ht="15.75">
      <c r="A29" s="2" t="s">
        <v>20</v>
      </c>
      <c r="F29" s="20">
        <f>D46</f>
        <v>85874356.42</v>
      </c>
    </row>
    <row r="30" ht="15.75">
      <c r="F30" s="20"/>
    </row>
    <row r="31" spans="5:6" ht="15.75">
      <c r="E31" s="21" t="s">
        <v>21</v>
      </c>
      <c r="F31" s="22" t="s">
        <v>22</v>
      </c>
    </row>
    <row r="32" spans="1:6" ht="15.75">
      <c r="A32" s="2" t="s">
        <v>41</v>
      </c>
      <c r="E32" s="56">
        <f>+'Jun 05'!E32+E33</f>
        <v>94</v>
      </c>
      <c r="F32" s="57">
        <f>+'Jun 05'!F32+F33</f>
        <v>4316635.109999999</v>
      </c>
    </row>
    <row r="33" spans="1:6" ht="15.75">
      <c r="A33" s="2" t="s">
        <v>9</v>
      </c>
      <c r="E33" s="56">
        <v>0</v>
      </c>
      <c r="F33" s="57">
        <v>0</v>
      </c>
    </row>
    <row r="34" spans="1:6" ht="15.75">
      <c r="A34" s="2" t="s">
        <v>42</v>
      </c>
      <c r="E34" s="21">
        <f>861+44+88+59+95+77+116+82+134+73+113+31+115+83+98+36+42+29+106+54+81+113</f>
        <v>2530</v>
      </c>
      <c r="F34" s="22">
        <f>68606382+5894897.05+5544682.87+5709643+7641954+6749512.84+9802062+8604525+8201934.38+6644331.5+7905047+5727719.86+7143832.27+5703968.66+8164011+3279857.62+3708819+2645813+7667212+4699330.91+7405272.82+7315682.26</f>
        <v>204766491.04</v>
      </c>
    </row>
    <row r="35" spans="5:6" ht="15.75">
      <c r="E35" s="21"/>
      <c r="F35" s="22"/>
    </row>
    <row r="36" spans="1:6" ht="15.75">
      <c r="A36" s="2" t="s">
        <v>50</v>
      </c>
      <c r="E36" s="23"/>
      <c r="F36" s="58">
        <f>((4433580+1984068.59-907021.04)/91384972.76)*12</f>
        <v>0.7236149292692529</v>
      </c>
    </row>
    <row r="37" spans="5:6" ht="15.75">
      <c r="E37" s="23"/>
      <c r="F37" s="20"/>
    </row>
    <row r="38" spans="1:6" ht="15.75">
      <c r="A38" s="2" t="s">
        <v>43</v>
      </c>
      <c r="F38" s="20"/>
    </row>
    <row r="39" spans="1:6" s="47" customFormat="1" ht="47.25">
      <c r="A39" s="41" t="s">
        <v>10</v>
      </c>
      <c r="B39" s="48"/>
      <c r="C39" s="42"/>
      <c r="D39" s="49" t="s">
        <v>11</v>
      </c>
      <c r="E39" s="50" t="s">
        <v>12</v>
      </c>
      <c r="F39" s="51"/>
    </row>
    <row r="40" spans="1:6" ht="15.75">
      <c r="A40" s="6" t="s">
        <v>13</v>
      </c>
      <c r="B40" s="25"/>
      <c r="C40" s="7"/>
      <c r="D40" s="59">
        <v>83233040.39</v>
      </c>
      <c r="E40" s="60">
        <v>1575</v>
      </c>
      <c r="F40" s="28"/>
    </row>
    <row r="41" spans="1:6" ht="15.75">
      <c r="A41" s="29" t="s">
        <v>44</v>
      </c>
      <c r="B41" s="5"/>
      <c r="C41" s="12"/>
      <c r="D41" s="61">
        <v>572864.89</v>
      </c>
      <c r="E41" s="62">
        <v>14</v>
      </c>
      <c r="F41" s="28"/>
    </row>
    <row r="42" spans="1:6" ht="15.75">
      <c r="A42" s="29" t="s">
        <v>45</v>
      </c>
      <c r="B42" s="5"/>
      <c r="C42" s="12"/>
      <c r="D42" s="61">
        <v>1122130.11</v>
      </c>
      <c r="E42" s="62">
        <v>7</v>
      </c>
      <c r="F42" s="28" t="s">
        <v>51</v>
      </c>
    </row>
    <row r="43" spans="1:6" ht="15.75">
      <c r="A43" s="11" t="s">
        <v>46</v>
      </c>
      <c r="B43" s="5"/>
      <c r="C43" s="12"/>
      <c r="D43" s="61">
        <f>521125.26+74648.68+5909.76+3981.63</f>
        <v>605665.33</v>
      </c>
      <c r="E43" s="62">
        <f>7+1+1+2</f>
        <v>11</v>
      </c>
      <c r="F43" s="28"/>
    </row>
    <row r="44" spans="1:6" ht="15.75">
      <c r="A44" s="11" t="s">
        <v>30</v>
      </c>
      <c r="B44" s="5"/>
      <c r="C44" s="12"/>
      <c r="D44" s="61">
        <v>340655.7</v>
      </c>
      <c r="E44" s="62">
        <v>6</v>
      </c>
      <c r="F44" s="28"/>
    </row>
    <row r="45" spans="1:6" ht="15.75">
      <c r="A45" s="11" t="s">
        <v>47</v>
      </c>
      <c r="B45" s="5"/>
      <c r="C45" s="12"/>
      <c r="D45" s="63">
        <v>0</v>
      </c>
      <c r="E45" s="64">
        <v>0</v>
      </c>
      <c r="F45" s="28"/>
    </row>
    <row r="46" spans="1:6" ht="15.75">
      <c r="A46" s="17"/>
      <c r="B46" s="34"/>
      <c r="C46" s="18"/>
      <c r="D46" s="35">
        <f>SUM(D40:D45)</f>
        <v>85874356.42</v>
      </c>
      <c r="E46" s="33">
        <f>SUM(E40:E45)</f>
        <v>1613</v>
      </c>
      <c r="F46" s="28"/>
    </row>
    <row r="47" ht="15.75">
      <c r="F47" s="20"/>
    </row>
    <row r="48" spans="1:6" ht="15.75">
      <c r="A48" s="36" t="s">
        <v>48</v>
      </c>
      <c r="E48" s="21" t="s">
        <v>29</v>
      </c>
      <c r="F48" s="21" t="s">
        <v>22</v>
      </c>
    </row>
    <row r="49" spans="5:6" ht="15.75">
      <c r="E49" s="21"/>
      <c r="F49" s="22"/>
    </row>
    <row r="50" spans="1:6" ht="15.75">
      <c r="A50" s="37" t="s">
        <v>23</v>
      </c>
      <c r="E50" s="21">
        <v>0</v>
      </c>
      <c r="F50" s="22">
        <v>0</v>
      </c>
    </row>
    <row r="51" spans="1:6" ht="15.75">
      <c r="A51" s="36" t="s">
        <v>24</v>
      </c>
      <c r="E51" s="21">
        <v>0</v>
      </c>
      <c r="F51" s="22">
        <v>0</v>
      </c>
    </row>
    <row r="52" spans="1:6" ht="15.75">
      <c r="A52" s="2" t="s">
        <v>14</v>
      </c>
      <c r="E52" s="21">
        <v>0</v>
      </c>
      <c r="F52" s="22">
        <v>0</v>
      </c>
    </row>
    <row r="53" spans="1:6" ht="15.75">
      <c r="A53" s="36" t="s">
        <v>25</v>
      </c>
      <c r="E53" s="21"/>
      <c r="F53" s="22">
        <f>F50-F54-F51-F52</f>
        <v>0</v>
      </c>
    </row>
    <row r="54" spans="1:6" ht="15.75">
      <c r="A54" s="2" t="s">
        <v>26</v>
      </c>
      <c r="E54" s="21"/>
      <c r="F54" s="38">
        <v>0</v>
      </c>
    </row>
    <row r="55" spans="5:6" ht="15.75">
      <c r="E55" s="21"/>
      <c r="F55" s="22"/>
    </row>
    <row r="56" spans="1:6" ht="15.75">
      <c r="A56" s="2" t="s">
        <v>27</v>
      </c>
      <c r="E56" s="21"/>
      <c r="F56" s="39">
        <v>0</v>
      </c>
    </row>
    <row r="57" spans="1:6" ht="15.75">
      <c r="A57" s="2" t="s">
        <v>15</v>
      </c>
      <c r="E57" s="21"/>
      <c r="F57" s="22">
        <v>0</v>
      </c>
    </row>
    <row r="58" spans="5:6" ht="15.75">
      <c r="E58" s="21"/>
      <c r="F58" s="22"/>
    </row>
    <row r="59" spans="1:6" ht="15.75">
      <c r="A59" s="2" t="s">
        <v>28</v>
      </c>
      <c r="E59" s="21"/>
      <c r="F59" s="39">
        <v>0</v>
      </c>
    </row>
    <row r="60" spans="1:6" ht="15.75">
      <c r="A60" s="2" t="s">
        <v>49</v>
      </c>
      <c r="E60" s="21"/>
      <c r="F60" s="40">
        <v>0</v>
      </c>
    </row>
    <row r="61" spans="5:6" ht="15.75">
      <c r="E61" s="21"/>
      <c r="F61" s="22"/>
    </row>
    <row r="62" ht="15.75">
      <c r="F62" s="20"/>
    </row>
    <row r="63" ht="15.75">
      <c r="F63" s="20"/>
    </row>
    <row r="64" ht="15.75">
      <c r="F64" s="20"/>
    </row>
    <row r="65" spans="1:6" ht="15.75">
      <c r="A65" s="25" t="s">
        <v>16</v>
      </c>
      <c r="B65" s="25"/>
      <c r="C65" s="25"/>
      <c r="F65" s="20"/>
    </row>
    <row r="66" ht="15.75">
      <c r="A66" s="2" t="s">
        <v>54</v>
      </c>
    </row>
  </sheetData>
  <printOptions/>
  <pageMargins left="0.75" right="0.75" top="1" bottom="1" header="0.5" footer="0.5"/>
  <pageSetup horizontalDpi="600" verticalDpi="600" orientation="portrait" paperSize="9" scale="93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66"/>
  <sheetViews>
    <sheetView workbookViewId="0" topLeftCell="A1">
      <selection activeCell="A1" sqref="A1"/>
    </sheetView>
  </sheetViews>
  <sheetFormatPr defaultColWidth="9.00390625" defaultRowHeight="15.75"/>
  <cols>
    <col min="1" max="1" width="9.00390625" style="2" customWidth="1"/>
    <col min="2" max="2" width="7.625" style="2" customWidth="1"/>
    <col min="3" max="3" width="11.875" style="2" customWidth="1"/>
    <col min="4" max="5" width="15.625" style="2" customWidth="1"/>
    <col min="6" max="6" width="12.375" style="2" customWidth="1"/>
    <col min="7" max="7" width="11.75390625" style="2" customWidth="1"/>
    <col min="8" max="16384" width="9.00390625" style="2" customWidth="1"/>
  </cols>
  <sheetData>
    <row r="1" spans="1:3" ht="18.75">
      <c r="A1" s="1"/>
      <c r="B1" s="1"/>
      <c r="C1" s="1" t="s">
        <v>33</v>
      </c>
    </row>
    <row r="2" ht="15.75"/>
    <row r="4" spans="1:5" ht="15.75">
      <c r="A4" s="2" t="s">
        <v>0</v>
      </c>
      <c r="D4" s="52">
        <v>38562</v>
      </c>
      <c r="E4" s="3"/>
    </row>
    <row r="5" spans="1:5" ht="15.75">
      <c r="A5" s="2" t="s">
        <v>17</v>
      </c>
      <c r="D5" s="53">
        <v>0.0464625</v>
      </c>
      <c r="E5" s="3"/>
    </row>
    <row r="7" ht="15.75">
      <c r="A7" s="2" t="s">
        <v>1</v>
      </c>
    </row>
    <row r="8" spans="1:7" s="47" customFormat="1" ht="31.5">
      <c r="A8" s="41" t="s">
        <v>2</v>
      </c>
      <c r="B8" s="42"/>
      <c r="C8" s="43" t="s">
        <v>31</v>
      </c>
      <c r="D8" s="44" t="s">
        <v>3</v>
      </c>
      <c r="E8" s="44" t="s">
        <v>32</v>
      </c>
      <c r="F8" s="44" t="s">
        <v>18</v>
      </c>
      <c r="G8" s="45" t="s">
        <v>4</v>
      </c>
    </row>
    <row r="9" spans="1:7" ht="15.75">
      <c r="A9" s="6" t="s">
        <v>34</v>
      </c>
      <c r="B9" s="7"/>
      <c r="C9" s="8">
        <v>31</v>
      </c>
      <c r="D9" s="54">
        <v>58503746</v>
      </c>
      <c r="E9" s="54">
        <v>3370622</v>
      </c>
      <c r="F9" s="54">
        <v>282181.2</v>
      </c>
      <c r="G9" s="10">
        <f>+D9/276000000</f>
        <v>0.21197009420289856</v>
      </c>
    </row>
    <row r="10" spans="1:7" ht="15.75">
      <c r="A10" s="11" t="s">
        <v>5</v>
      </c>
      <c r="B10" s="12"/>
      <c r="C10" s="13">
        <v>85</v>
      </c>
      <c r="D10" s="14">
        <v>24000000</v>
      </c>
      <c r="E10" s="15">
        <v>0</v>
      </c>
      <c r="F10" s="55">
        <v>108117.6</v>
      </c>
      <c r="G10" s="16">
        <f>+D10/24000000</f>
        <v>1</v>
      </c>
    </row>
    <row r="11" spans="1:7" ht="15.75">
      <c r="A11" s="17"/>
      <c r="B11" s="18"/>
      <c r="C11" s="18"/>
      <c r="D11" s="15">
        <f>SUM(D9:D10)</f>
        <v>82503746</v>
      </c>
      <c r="E11" s="15">
        <f>SUM(E9:E10)</f>
        <v>3370622</v>
      </c>
      <c r="F11" s="15">
        <f>SUM(F9:F10)</f>
        <v>390298.80000000005</v>
      </c>
      <c r="G11" s="19"/>
    </row>
    <row r="13" spans="1:6" ht="15.75">
      <c r="A13" s="2" t="s">
        <v>35</v>
      </c>
      <c r="F13" s="20">
        <v>45000000</v>
      </c>
    </row>
    <row r="14" spans="1:6" ht="15.75">
      <c r="A14" s="2" t="s">
        <v>6</v>
      </c>
      <c r="F14" s="20">
        <v>0</v>
      </c>
    </row>
    <row r="15" ht="15.75">
      <c r="F15" s="20"/>
    </row>
    <row r="16" spans="1:6" ht="15.75">
      <c r="A16" s="2" t="s">
        <v>7</v>
      </c>
      <c r="F16" s="20">
        <v>6000000</v>
      </c>
    </row>
    <row r="17" spans="1:6" ht="15.75">
      <c r="A17" s="2" t="s">
        <v>52</v>
      </c>
      <c r="F17" s="20">
        <v>0</v>
      </c>
    </row>
    <row r="18" spans="1:6" ht="15.75">
      <c r="A18" s="2" t="s">
        <v>36</v>
      </c>
      <c r="F18" s="20">
        <v>6000000</v>
      </c>
    </row>
    <row r="19" ht="15.75">
      <c r="F19" s="20"/>
    </row>
    <row r="20" spans="1:6" ht="15.75">
      <c r="A20" s="2" t="s">
        <v>37</v>
      </c>
      <c r="F20" s="20">
        <v>500000</v>
      </c>
    </row>
    <row r="21" spans="1:6" ht="15.75">
      <c r="A21" s="2" t="s">
        <v>38</v>
      </c>
      <c r="F21" s="20">
        <v>0</v>
      </c>
    </row>
    <row r="22" spans="1:6" ht="15.75">
      <c r="A22" s="2" t="s">
        <v>39</v>
      </c>
      <c r="F22" s="20">
        <v>500000</v>
      </c>
    </row>
    <row r="23" ht="15.75">
      <c r="F23" s="20"/>
    </row>
    <row r="24" spans="1:6" ht="15.75">
      <c r="A24" s="2" t="s">
        <v>8</v>
      </c>
      <c r="F24" s="20">
        <v>0</v>
      </c>
    </row>
    <row r="25" spans="1:6" ht="15.75">
      <c r="A25" s="2" t="s">
        <v>19</v>
      </c>
      <c r="F25" s="20">
        <v>0</v>
      </c>
    </row>
    <row r="26" ht="15.75">
      <c r="F26" s="20"/>
    </row>
    <row r="27" spans="1:6" ht="15.75">
      <c r="A27" s="2" t="s">
        <v>40</v>
      </c>
      <c r="F27" s="65">
        <v>79812</v>
      </c>
    </row>
    <row r="28" spans="1:6" ht="15.75">
      <c r="A28" s="2" t="s">
        <v>53</v>
      </c>
      <c r="F28" s="20">
        <v>0</v>
      </c>
    </row>
    <row r="29" spans="1:6" ht="15.75">
      <c r="A29" s="2" t="s">
        <v>20</v>
      </c>
      <c r="F29" s="20">
        <f>D46</f>
        <v>82503718.58999999</v>
      </c>
    </row>
    <row r="30" ht="15.75">
      <c r="F30" s="20"/>
    </row>
    <row r="31" spans="5:6" ht="15.75">
      <c r="E31" s="21" t="s">
        <v>21</v>
      </c>
      <c r="F31" s="22" t="s">
        <v>22</v>
      </c>
    </row>
    <row r="32" spans="1:6" ht="15.75">
      <c r="A32" s="2" t="s">
        <v>41</v>
      </c>
      <c r="E32" s="56">
        <f>+'Jul 05'!E32+E33</f>
        <v>94</v>
      </c>
      <c r="F32" s="57">
        <f>+'Jul 05'!F32+F33</f>
        <v>4316635.109999999</v>
      </c>
    </row>
    <row r="33" spans="1:6" ht="15.75">
      <c r="A33" s="2" t="s">
        <v>9</v>
      </c>
      <c r="E33" s="56">
        <v>0</v>
      </c>
      <c r="F33" s="57">
        <v>0</v>
      </c>
    </row>
    <row r="34" spans="1:6" ht="15.75">
      <c r="A34" s="2" t="s">
        <v>42</v>
      </c>
      <c r="E34" s="21">
        <f>861+44+88+59+95+77+116+82+134+73+113+31+115+83+98+36+42+29+106+54+81+113</f>
        <v>2530</v>
      </c>
      <c r="F34" s="22">
        <f>68606382+5894897.05+5544682.87+5709643+7641954+6749512.84+9802062+8604525+8201934.38+6644331.5+7905047+5727719.86+7143832.27+5703968.66+8164011+3279857.62+3708819+2645813+7667212+4699330.91+7405272.82+7315682.26</f>
        <v>204766491.04</v>
      </c>
    </row>
    <row r="35" spans="5:6" ht="15.75">
      <c r="E35" s="21"/>
      <c r="F35" s="22"/>
    </row>
    <row r="36" spans="1:6" ht="15.75">
      <c r="A36" s="2" t="s">
        <v>50</v>
      </c>
      <c r="E36" s="23"/>
      <c r="F36" s="58">
        <f>((3245926+900718.81-775995.15)/85874356)*12</f>
        <v>0.47101134499337616</v>
      </c>
    </row>
    <row r="37" spans="5:6" ht="15.75">
      <c r="E37" s="23"/>
      <c r="F37" s="20"/>
    </row>
    <row r="38" spans="1:6" ht="15.75">
      <c r="A38" s="2" t="s">
        <v>43</v>
      </c>
      <c r="F38" s="20"/>
    </row>
    <row r="39" spans="1:6" s="47" customFormat="1" ht="47.25">
      <c r="A39" s="41" t="s">
        <v>10</v>
      </c>
      <c r="B39" s="48"/>
      <c r="C39" s="42"/>
      <c r="D39" s="49" t="s">
        <v>11</v>
      </c>
      <c r="E39" s="50" t="s">
        <v>12</v>
      </c>
      <c r="F39" s="51"/>
    </row>
    <row r="40" spans="1:6" ht="15.75">
      <c r="A40" s="6" t="s">
        <v>13</v>
      </c>
      <c r="B40" s="25"/>
      <c r="C40" s="7"/>
      <c r="D40" s="59">
        <v>79629981.85</v>
      </c>
      <c r="E40" s="60">
        <v>1534</v>
      </c>
      <c r="F40" s="28"/>
    </row>
    <row r="41" spans="1:6" ht="15.75">
      <c r="A41" s="29" t="s">
        <v>44</v>
      </c>
      <c r="B41" s="5"/>
      <c r="C41" s="12"/>
      <c r="D41" s="61">
        <v>1101890.34</v>
      </c>
      <c r="E41" s="62">
        <v>13</v>
      </c>
      <c r="F41" s="28"/>
    </row>
    <row r="42" spans="1:6" ht="15.75">
      <c r="A42" s="29" t="s">
        <v>45</v>
      </c>
      <c r="B42" s="5"/>
      <c r="C42" s="12"/>
      <c r="D42" s="61">
        <v>576286.56</v>
      </c>
      <c r="E42" s="62">
        <v>7</v>
      </c>
      <c r="F42" s="28" t="s">
        <v>51</v>
      </c>
    </row>
    <row r="43" spans="1:6" ht="15.75">
      <c r="A43" s="11" t="s">
        <v>46</v>
      </c>
      <c r="B43" s="5"/>
      <c r="C43" s="12"/>
      <c r="D43" s="61">
        <f>621114.58+5909.76+507.15</f>
        <v>627531.49</v>
      </c>
      <c r="E43" s="62">
        <v>5</v>
      </c>
      <c r="F43" s="28"/>
    </row>
    <row r="44" spans="1:6" ht="15.75">
      <c r="A44" s="11" t="s">
        <v>30</v>
      </c>
      <c r="B44" s="5"/>
      <c r="C44" s="12"/>
      <c r="D44" s="61">
        <v>568028.35</v>
      </c>
      <c r="E44" s="62">
        <v>9</v>
      </c>
      <c r="F44" s="28"/>
    </row>
    <row r="45" spans="1:6" ht="15.75">
      <c r="A45" s="11" t="s">
        <v>47</v>
      </c>
      <c r="B45" s="5"/>
      <c r="C45" s="12"/>
      <c r="D45" s="63">
        <v>0</v>
      </c>
      <c r="E45" s="64">
        <v>0</v>
      </c>
      <c r="F45" s="28"/>
    </row>
    <row r="46" spans="1:6" ht="15.75">
      <c r="A46" s="17"/>
      <c r="B46" s="34"/>
      <c r="C46" s="18"/>
      <c r="D46" s="35">
        <f>SUM(D40:D45)</f>
        <v>82503718.58999999</v>
      </c>
      <c r="E46" s="33">
        <f>SUM(E40:E45)</f>
        <v>1568</v>
      </c>
      <c r="F46" s="28"/>
    </row>
    <row r="47" ht="15.75">
      <c r="F47" s="20"/>
    </row>
    <row r="48" spans="1:6" ht="15.75">
      <c r="A48" s="36" t="s">
        <v>48</v>
      </c>
      <c r="E48" s="21" t="s">
        <v>29</v>
      </c>
      <c r="F48" s="21" t="s">
        <v>22</v>
      </c>
    </row>
    <row r="49" spans="5:6" ht="15.75">
      <c r="E49" s="21"/>
      <c r="F49" s="22"/>
    </row>
    <row r="50" spans="1:6" ht="15.75">
      <c r="A50" s="37" t="s">
        <v>23</v>
      </c>
      <c r="E50" s="21">
        <v>0</v>
      </c>
      <c r="F50" s="22">
        <v>0</v>
      </c>
    </row>
    <row r="51" spans="1:6" ht="15.75">
      <c r="A51" s="36" t="s">
        <v>24</v>
      </c>
      <c r="E51" s="21">
        <v>0</v>
      </c>
      <c r="F51" s="22">
        <v>0</v>
      </c>
    </row>
    <row r="52" spans="1:6" ht="15.75">
      <c r="A52" s="2" t="s">
        <v>14</v>
      </c>
      <c r="E52" s="21">
        <v>0</v>
      </c>
      <c r="F52" s="22">
        <v>0</v>
      </c>
    </row>
    <row r="53" spans="1:6" ht="15.75">
      <c r="A53" s="36" t="s">
        <v>25</v>
      </c>
      <c r="E53" s="21"/>
      <c r="F53" s="22">
        <f>F50-F54-F51-F52</f>
        <v>0</v>
      </c>
    </row>
    <row r="54" spans="1:6" ht="15.75">
      <c r="A54" s="2" t="s">
        <v>26</v>
      </c>
      <c r="E54" s="21"/>
      <c r="F54" s="38">
        <v>0</v>
      </c>
    </row>
    <row r="55" spans="5:6" ht="15.75">
      <c r="E55" s="21"/>
      <c r="F55" s="22"/>
    </row>
    <row r="56" spans="1:6" ht="15.75">
      <c r="A56" s="2" t="s">
        <v>27</v>
      </c>
      <c r="E56" s="21"/>
      <c r="F56" s="39">
        <v>0</v>
      </c>
    </row>
    <row r="57" spans="1:6" ht="15.75">
      <c r="A57" s="2" t="s">
        <v>15</v>
      </c>
      <c r="E57" s="21"/>
      <c r="F57" s="22">
        <v>0</v>
      </c>
    </row>
    <row r="58" spans="5:6" ht="15.75">
      <c r="E58" s="21"/>
      <c r="F58" s="22"/>
    </row>
    <row r="59" spans="1:6" ht="15.75">
      <c r="A59" s="2" t="s">
        <v>28</v>
      </c>
      <c r="E59" s="21"/>
      <c r="F59" s="39">
        <v>0</v>
      </c>
    </row>
    <row r="60" spans="1:6" ht="15.75">
      <c r="A60" s="2" t="s">
        <v>49</v>
      </c>
      <c r="E60" s="21"/>
      <c r="F60" s="40">
        <v>0</v>
      </c>
    </row>
    <row r="61" spans="5:6" ht="15.75">
      <c r="E61" s="21"/>
      <c r="F61" s="22"/>
    </row>
    <row r="62" ht="15.75">
      <c r="F62" s="20"/>
    </row>
    <row r="63" ht="15.75">
      <c r="F63" s="20"/>
    </row>
    <row r="64" ht="15.75">
      <c r="F64" s="20"/>
    </row>
    <row r="65" spans="1:6" ht="15.75">
      <c r="A65" s="25" t="s">
        <v>16</v>
      </c>
      <c r="B65" s="25"/>
      <c r="C65" s="25"/>
      <c r="F65" s="20"/>
    </row>
    <row r="66" ht="15.75">
      <c r="A66" s="2" t="s">
        <v>54</v>
      </c>
    </row>
  </sheetData>
  <printOptions/>
  <pageMargins left="0.75" right="0.75" top="1" bottom="1" header="0.5" footer="0.5"/>
  <pageSetup horizontalDpi="600" verticalDpi="600" orientation="portrait" paperSize="9" scale="93" r:id="rId2"/>
  <rowBreaks count="1" manualBreakCount="1">
    <brk id="46" max="255" man="1"/>
  </rowBreak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66"/>
  <sheetViews>
    <sheetView workbookViewId="0" topLeftCell="A1">
      <selection activeCell="A1" sqref="A1"/>
    </sheetView>
  </sheetViews>
  <sheetFormatPr defaultColWidth="9.00390625" defaultRowHeight="15.75"/>
  <cols>
    <col min="1" max="1" width="9.00390625" style="2" customWidth="1"/>
    <col min="2" max="2" width="7.625" style="2" customWidth="1"/>
    <col min="3" max="3" width="11.875" style="2" customWidth="1"/>
    <col min="4" max="5" width="15.625" style="2" customWidth="1"/>
    <col min="6" max="6" width="12.375" style="2" customWidth="1"/>
    <col min="7" max="7" width="11.75390625" style="2" customWidth="1"/>
    <col min="8" max="16384" width="9.00390625" style="2" customWidth="1"/>
  </cols>
  <sheetData>
    <row r="1" spans="1:3" ht="18.75">
      <c r="A1" s="1"/>
      <c r="B1" s="1"/>
      <c r="C1" s="1" t="s">
        <v>33</v>
      </c>
    </row>
    <row r="2" ht="15.75"/>
    <row r="4" spans="1:5" ht="15.75">
      <c r="A4" s="2" t="s">
        <v>0</v>
      </c>
      <c r="D4" s="52">
        <v>38595</v>
      </c>
      <c r="E4" s="3"/>
    </row>
    <row r="5" spans="1:5" ht="15.75">
      <c r="A5" s="2" t="s">
        <v>17</v>
      </c>
      <c r="D5" s="53">
        <v>0.0459063</v>
      </c>
      <c r="E5" s="3"/>
    </row>
    <row r="7" ht="15.75">
      <c r="A7" s="2" t="s">
        <v>1</v>
      </c>
    </row>
    <row r="8" spans="1:7" s="47" customFormat="1" ht="31.5">
      <c r="A8" s="41" t="s">
        <v>2</v>
      </c>
      <c r="B8" s="42"/>
      <c r="C8" s="43" t="s">
        <v>31</v>
      </c>
      <c r="D8" s="44" t="s">
        <v>3</v>
      </c>
      <c r="E8" s="44" t="s">
        <v>32</v>
      </c>
      <c r="F8" s="44" t="s">
        <v>18</v>
      </c>
      <c r="G8" s="45" t="s">
        <v>4</v>
      </c>
    </row>
    <row r="9" spans="1:7" ht="15.75">
      <c r="A9" s="6" t="s">
        <v>34</v>
      </c>
      <c r="B9" s="7"/>
      <c r="C9" s="8">
        <v>31</v>
      </c>
      <c r="D9" s="54">
        <v>54822568</v>
      </c>
      <c r="E9" s="54">
        <v>3681178</v>
      </c>
      <c r="F9" s="54">
        <v>262144.8</v>
      </c>
      <c r="G9" s="10">
        <f>+D9/276000000</f>
        <v>0.19863249275362319</v>
      </c>
    </row>
    <row r="10" spans="1:7" ht="15.75">
      <c r="A10" s="11" t="s">
        <v>5</v>
      </c>
      <c r="B10" s="12"/>
      <c r="C10" s="13">
        <v>85</v>
      </c>
      <c r="D10" s="14">
        <v>24000000</v>
      </c>
      <c r="E10" s="15">
        <v>0</v>
      </c>
      <c r="F10" s="55">
        <v>119260.8</v>
      </c>
      <c r="G10" s="16">
        <f>+D10/24000000</f>
        <v>1</v>
      </c>
    </row>
    <row r="11" spans="1:7" ht="15.75">
      <c r="A11" s="17"/>
      <c r="B11" s="18"/>
      <c r="C11" s="18"/>
      <c r="D11" s="15">
        <f>SUM(D9:D10)</f>
        <v>78822568</v>
      </c>
      <c r="E11" s="15">
        <f>SUM(E9:E10)</f>
        <v>3681178</v>
      </c>
      <c r="F11" s="15">
        <f>SUM(F9:F10)</f>
        <v>381405.6</v>
      </c>
      <c r="G11" s="19"/>
    </row>
    <row r="13" spans="1:6" ht="15.75">
      <c r="A13" s="2" t="s">
        <v>35</v>
      </c>
      <c r="F13" s="20">
        <v>45000000</v>
      </c>
    </row>
    <row r="14" spans="1:6" ht="15.75">
      <c r="A14" s="2" t="s">
        <v>6</v>
      </c>
      <c r="F14" s="20">
        <v>0</v>
      </c>
    </row>
    <row r="15" ht="15.75">
      <c r="F15" s="20"/>
    </row>
    <row r="16" spans="1:6" ht="15.75">
      <c r="A16" s="2" t="s">
        <v>7</v>
      </c>
      <c r="F16" s="20">
        <v>6000000</v>
      </c>
    </row>
    <row r="17" spans="1:6" ht="15.75">
      <c r="A17" s="2" t="s">
        <v>52</v>
      </c>
      <c r="F17" s="20">
        <v>0</v>
      </c>
    </row>
    <row r="18" spans="1:6" ht="15.75">
      <c r="A18" s="2" t="s">
        <v>36</v>
      </c>
      <c r="F18" s="20">
        <v>6000000</v>
      </c>
    </row>
    <row r="19" ht="15.75">
      <c r="F19" s="20"/>
    </row>
    <row r="20" spans="1:6" ht="15.75">
      <c r="A20" s="2" t="s">
        <v>37</v>
      </c>
      <c r="F20" s="20">
        <v>500000</v>
      </c>
    </row>
    <row r="21" spans="1:6" ht="15.75">
      <c r="A21" s="2" t="s">
        <v>38</v>
      </c>
      <c r="F21" s="20">
        <v>0</v>
      </c>
    </row>
    <row r="22" spans="1:6" ht="15.75">
      <c r="A22" s="2" t="s">
        <v>39</v>
      </c>
      <c r="F22" s="20">
        <v>500000</v>
      </c>
    </row>
    <row r="23" ht="15.75">
      <c r="F23" s="20"/>
    </row>
    <row r="24" spans="1:6" ht="15.75">
      <c r="A24" s="2" t="s">
        <v>8</v>
      </c>
      <c r="F24" s="20">
        <v>0</v>
      </c>
    </row>
    <row r="25" spans="1:6" ht="15.75">
      <c r="A25" s="2" t="s">
        <v>19</v>
      </c>
      <c r="F25" s="20">
        <v>0</v>
      </c>
    </row>
    <row r="26" ht="15.75">
      <c r="F26" s="20"/>
    </row>
    <row r="27" spans="1:6" ht="15.75">
      <c r="A27" s="2" t="s">
        <v>40</v>
      </c>
      <c r="F27" s="65">
        <v>85694</v>
      </c>
    </row>
    <row r="28" spans="1:6" ht="15.75">
      <c r="A28" s="2" t="s">
        <v>53</v>
      </c>
      <c r="F28" s="20">
        <v>0</v>
      </c>
    </row>
    <row r="29" spans="1:6" ht="15.75">
      <c r="A29" s="2" t="s">
        <v>20</v>
      </c>
      <c r="F29" s="20">
        <f>D46</f>
        <v>78822549.52</v>
      </c>
    </row>
    <row r="30" ht="15.75">
      <c r="F30" s="20"/>
    </row>
    <row r="31" spans="5:6" ht="15.75">
      <c r="E31" s="21" t="s">
        <v>21</v>
      </c>
      <c r="F31" s="22" t="s">
        <v>22</v>
      </c>
    </row>
    <row r="32" spans="1:6" ht="15.75">
      <c r="A32" s="2" t="s">
        <v>41</v>
      </c>
      <c r="E32" s="56">
        <f>+'Aug 05'!E32+E33</f>
        <v>94</v>
      </c>
      <c r="F32" s="57">
        <f>+'Aug 05'!F32+F33</f>
        <v>4316635.109999999</v>
      </c>
    </row>
    <row r="33" spans="1:6" ht="15.75">
      <c r="A33" s="2" t="s">
        <v>9</v>
      </c>
      <c r="E33" s="56">
        <v>0</v>
      </c>
      <c r="F33" s="57">
        <v>0</v>
      </c>
    </row>
    <row r="34" spans="1:6" ht="15.75">
      <c r="A34" s="2" t="s">
        <v>42</v>
      </c>
      <c r="E34" s="21">
        <f>+'Aug 05'!E34</f>
        <v>2530</v>
      </c>
      <c r="F34" s="22">
        <f>+'Aug 05'!F34</f>
        <v>204766491.04</v>
      </c>
    </row>
    <row r="35" spans="5:6" ht="15.75">
      <c r="E35" s="21"/>
      <c r="F35" s="22"/>
    </row>
    <row r="36" spans="1:6" ht="15.75">
      <c r="A36" s="2" t="s">
        <v>50</v>
      </c>
      <c r="E36" s="23"/>
      <c r="F36" s="58">
        <f>((3820405+1120876.38-1260085.17)/82503718.59)*12</f>
        <v>0.5354225879141673</v>
      </c>
    </row>
    <row r="37" spans="5:6" ht="15.75">
      <c r="E37" s="23"/>
      <c r="F37" s="20"/>
    </row>
    <row r="38" spans="1:6" ht="15.75">
      <c r="A38" s="2" t="s">
        <v>43</v>
      </c>
      <c r="F38" s="20"/>
    </row>
    <row r="39" spans="1:6" s="47" customFormat="1" ht="47.25">
      <c r="A39" s="41" t="s">
        <v>10</v>
      </c>
      <c r="B39" s="48"/>
      <c r="C39" s="42"/>
      <c r="D39" s="49" t="s">
        <v>11</v>
      </c>
      <c r="E39" s="50" t="s">
        <v>12</v>
      </c>
      <c r="F39" s="51"/>
    </row>
    <row r="40" spans="1:8" ht="15.75">
      <c r="A40" s="6" t="s">
        <v>13</v>
      </c>
      <c r="B40" s="25"/>
      <c r="C40" s="7"/>
      <c r="D40" s="59">
        <v>76116732.74</v>
      </c>
      <c r="E40" s="60">
        <v>1475</v>
      </c>
      <c r="F40" s="28"/>
      <c r="H40" s="20"/>
    </row>
    <row r="41" spans="1:6" ht="15.75">
      <c r="A41" s="29" t="s">
        <v>44</v>
      </c>
      <c r="B41" s="5"/>
      <c r="C41" s="12"/>
      <c r="D41" s="61">
        <v>919926.95</v>
      </c>
      <c r="E41" s="62">
        <v>12</v>
      </c>
      <c r="F41" s="28"/>
    </row>
    <row r="42" spans="1:6" ht="15.75">
      <c r="A42" s="29" t="s">
        <v>45</v>
      </c>
      <c r="B42" s="5"/>
      <c r="C42" s="12"/>
      <c r="D42" s="61">
        <v>898976.66</v>
      </c>
      <c r="E42" s="62">
        <v>7</v>
      </c>
      <c r="F42" s="28" t="s">
        <v>51</v>
      </c>
    </row>
    <row r="43" spans="1:8" ht="15.75">
      <c r="A43" s="11" t="s">
        <v>46</v>
      </c>
      <c r="B43" s="5"/>
      <c r="C43" s="12"/>
      <c r="D43" s="61">
        <f>313397.84+5909.76+457.15</f>
        <v>319764.75000000006</v>
      </c>
      <c r="E43" s="62">
        <v>5</v>
      </c>
      <c r="F43" s="28"/>
      <c r="H43" s="20"/>
    </row>
    <row r="44" spans="1:6" ht="15.75">
      <c r="A44" s="11" t="s">
        <v>30</v>
      </c>
      <c r="B44" s="5"/>
      <c r="C44" s="12"/>
      <c r="D44" s="61">
        <v>567148.42</v>
      </c>
      <c r="E44" s="62">
        <v>9</v>
      </c>
      <c r="F44" s="28"/>
    </row>
    <row r="45" spans="1:8" ht="15.75">
      <c r="A45" s="11" t="s">
        <v>47</v>
      </c>
      <c r="B45" s="5"/>
      <c r="C45" s="12"/>
      <c r="D45" s="63">
        <v>0</v>
      </c>
      <c r="E45" s="64">
        <v>0</v>
      </c>
      <c r="F45" s="28"/>
      <c r="H45" s="20"/>
    </row>
    <row r="46" spans="1:6" ht="15.75">
      <c r="A46" s="17"/>
      <c r="B46" s="34"/>
      <c r="C46" s="18"/>
      <c r="D46" s="35">
        <f>SUM(D40:D45)</f>
        <v>78822549.52</v>
      </c>
      <c r="E46" s="33">
        <f>SUM(E40:E45)</f>
        <v>1508</v>
      </c>
      <c r="F46" s="28"/>
    </row>
    <row r="47" ht="15.75">
      <c r="F47" s="20"/>
    </row>
    <row r="48" spans="1:6" ht="15.75">
      <c r="A48" s="36" t="s">
        <v>48</v>
      </c>
      <c r="E48" s="21" t="s">
        <v>29</v>
      </c>
      <c r="F48" s="21" t="s">
        <v>22</v>
      </c>
    </row>
    <row r="49" spans="5:6" ht="15.75">
      <c r="E49" s="21"/>
      <c r="F49" s="22"/>
    </row>
    <row r="50" spans="1:6" ht="15.75">
      <c r="A50" s="37" t="s">
        <v>23</v>
      </c>
      <c r="E50" s="21">
        <v>0</v>
      </c>
      <c r="F50" s="22">
        <v>0</v>
      </c>
    </row>
    <row r="51" spans="1:6" ht="15.75">
      <c r="A51" s="36" t="s">
        <v>24</v>
      </c>
      <c r="E51" s="21">
        <v>0</v>
      </c>
      <c r="F51" s="22">
        <v>0</v>
      </c>
    </row>
    <row r="52" spans="1:6" ht="15.75">
      <c r="A52" s="2" t="s">
        <v>14</v>
      </c>
      <c r="E52" s="21">
        <v>0</v>
      </c>
      <c r="F52" s="22">
        <v>0</v>
      </c>
    </row>
    <row r="53" spans="1:6" ht="15.75">
      <c r="A53" s="36" t="s">
        <v>25</v>
      </c>
      <c r="E53" s="21"/>
      <c r="F53" s="22">
        <f>F50-F54-F51-F52</f>
        <v>0</v>
      </c>
    </row>
    <row r="54" spans="1:6" ht="15.75">
      <c r="A54" s="2" t="s">
        <v>26</v>
      </c>
      <c r="E54" s="21"/>
      <c r="F54" s="38">
        <v>0</v>
      </c>
    </row>
    <row r="55" spans="5:6" ht="15.75">
      <c r="E55" s="21"/>
      <c r="F55" s="22"/>
    </row>
    <row r="56" spans="1:6" ht="15.75">
      <c r="A56" s="2" t="s">
        <v>27</v>
      </c>
      <c r="E56" s="21"/>
      <c r="F56" s="39">
        <v>0</v>
      </c>
    </row>
    <row r="57" spans="1:6" ht="15.75">
      <c r="A57" s="2" t="s">
        <v>15</v>
      </c>
      <c r="E57" s="21"/>
      <c r="F57" s="22">
        <v>0</v>
      </c>
    </row>
    <row r="58" spans="5:6" ht="15.75">
      <c r="E58" s="21"/>
      <c r="F58" s="22"/>
    </row>
    <row r="59" spans="1:6" ht="15.75">
      <c r="A59" s="2" t="s">
        <v>28</v>
      </c>
      <c r="E59" s="21"/>
      <c r="F59" s="39">
        <v>0</v>
      </c>
    </row>
    <row r="60" spans="1:6" ht="15.75">
      <c r="A60" s="2" t="s">
        <v>49</v>
      </c>
      <c r="E60" s="21"/>
      <c r="F60" s="40">
        <v>0</v>
      </c>
    </row>
    <row r="61" spans="5:6" ht="15.75">
      <c r="E61" s="21"/>
      <c r="F61" s="22"/>
    </row>
    <row r="62" ht="15.75">
      <c r="F62" s="20"/>
    </row>
    <row r="63" ht="15.75">
      <c r="F63" s="20"/>
    </row>
    <row r="64" ht="15.75">
      <c r="F64" s="20"/>
    </row>
    <row r="65" spans="1:6" ht="15.75">
      <c r="A65" s="25" t="s">
        <v>16</v>
      </c>
      <c r="B65" s="25"/>
      <c r="C65" s="25"/>
      <c r="F65" s="20"/>
    </row>
    <row r="66" ht="15.75">
      <c r="A66" s="2" t="s">
        <v>54</v>
      </c>
    </row>
  </sheetData>
  <printOptions/>
  <pageMargins left="0.75" right="0.75" top="1" bottom="1" header="0.5" footer="0.5"/>
  <pageSetup horizontalDpi="600" verticalDpi="600" orientation="portrait" paperSize="9" scale="87" r:id="rId2"/>
  <rowBreaks count="1" manualBreakCount="1">
    <brk id="46" max="255" man="1"/>
  </rowBreak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66"/>
  <sheetViews>
    <sheetView workbookViewId="0" topLeftCell="A1">
      <selection activeCell="A1" sqref="A1"/>
    </sheetView>
  </sheetViews>
  <sheetFormatPr defaultColWidth="9.00390625" defaultRowHeight="15.75"/>
  <cols>
    <col min="1" max="1" width="9.00390625" style="2" customWidth="1"/>
    <col min="2" max="2" width="7.625" style="2" customWidth="1"/>
    <col min="3" max="3" width="11.875" style="2" customWidth="1"/>
    <col min="4" max="5" width="15.625" style="2" customWidth="1"/>
    <col min="6" max="6" width="12.375" style="2" customWidth="1"/>
    <col min="7" max="7" width="11.75390625" style="2" customWidth="1"/>
    <col min="8" max="16384" width="9.00390625" style="2" customWidth="1"/>
  </cols>
  <sheetData>
    <row r="1" spans="1:3" ht="18.75">
      <c r="A1" s="1"/>
      <c r="B1" s="1"/>
      <c r="C1" s="1" t="s">
        <v>33</v>
      </c>
    </row>
    <row r="2" ht="15.75"/>
    <row r="4" spans="1:5" ht="15.75">
      <c r="A4" s="2" t="s">
        <v>0</v>
      </c>
      <c r="D4" s="52">
        <v>38625</v>
      </c>
      <c r="E4" s="3"/>
    </row>
    <row r="5" spans="1:5" ht="15.75">
      <c r="A5" s="2" t="s">
        <v>17</v>
      </c>
      <c r="D5" s="53">
        <v>0.0460125</v>
      </c>
      <c r="E5" s="3"/>
    </row>
    <row r="7" ht="15.75">
      <c r="A7" s="2" t="s">
        <v>1</v>
      </c>
    </row>
    <row r="8" spans="1:7" s="47" customFormat="1" ht="31.5">
      <c r="A8" s="41" t="s">
        <v>2</v>
      </c>
      <c r="B8" s="42"/>
      <c r="C8" s="43" t="s">
        <v>31</v>
      </c>
      <c r="D8" s="44" t="s">
        <v>3</v>
      </c>
      <c r="E8" s="44" t="s">
        <v>32</v>
      </c>
      <c r="F8" s="44" t="s">
        <v>18</v>
      </c>
      <c r="G8" s="45" t="s">
        <v>4</v>
      </c>
    </row>
    <row r="9" spans="1:7" ht="15.75">
      <c r="A9" s="6" t="s">
        <v>34</v>
      </c>
      <c r="B9" s="7"/>
      <c r="C9" s="8">
        <v>31</v>
      </c>
      <c r="D9" s="54">
        <v>51644952.4</v>
      </c>
      <c r="E9" s="54">
        <v>3177615.6</v>
      </c>
      <c r="F9" s="54">
        <v>220827.6</v>
      </c>
      <c r="G9" s="10">
        <f>+D9/276000000</f>
        <v>0.1871193927536232</v>
      </c>
    </row>
    <row r="10" spans="1:7" ht="15.75">
      <c r="A10" s="11" t="s">
        <v>5</v>
      </c>
      <c r="B10" s="12"/>
      <c r="C10" s="13">
        <v>85</v>
      </c>
      <c r="D10" s="14">
        <v>24000000</v>
      </c>
      <c r="E10" s="15">
        <v>0</v>
      </c>
      <c r="F10" s="55">
        <v>107323.2</v>
      </c>
      <c r="G10" s="16">
        <f>+D10/24000000</f>
        <v>1</v>
      </c>
    </row>
    <row r="11" spans="1:7" ht="15.75">
      <c r="A11" s="17"/>
      <c r="B11" s="18"/>
      <c r="C11" s="18"/>
      <c r="D11" s="15">
        <f>SUM(D9:D10)</f>
        <v>75644952.4</v>
      </c>
      <c r="E11" s="15">
        <f>SUM(E9:E10)</f>
        <v>3177615.6</v>
      </c>
      <c r="F11" s="15">
        <f>SUM(F9:F10)</f>
        <v>328150.8</v>
      </c>
      <c r="G11" s="19"/>
    </row>
    <row r="13" spans="1:6" ht="15.75">
      <c r="A13" s="2" t="s">
        <v>35</v>
      </c>
      <c r="F13" s="20">
        <v>45000000</v>
      </c>
    </row>
    <row r="14" spans="1:6" ht="15.75">
      <c r="A14" s="2" t="s">
        <v>6</v>
      </c>
      <c r="F14" s="20">
        <v>0</v>
      </c>
    </row>
    <row r="15" ht="15.75">
      <c r="F15" s="20"/>
    </row>
    <row r="16" spans="1:6" ht="15.75">
      <c r="A16" s="2" t="s">
        <v>7</v>
      </c>
      <c r="F16" s="20">
        <v>6000000</v>
      </c>
    </row>
    <row r="17" spans="1:6" ht="15.75">
      <c r="A17" s="2" t="s">
        <v>52</v>
      </c>
      <c r="F17" s="20">
        <v>0</v>
      </c>
    </row>
    <row r="18" spans="1:6" ht="15.75">
      <c r="A18" s="2" t="s">
        <v>36</v>
      </c>
      <c r="F18" s="20">
        <v>6000000</v>
      </c>
    </row>
    <row r="19" ht="15.75">
      <c r="F19" s="20"/>
    </row>
    <row r="20" spans="1:6" ht="15.75">
      <c r="A20" s="2" t="s">
        <v>37</v>
      </c>
      <c r="F20" s="20">
        <v>500000</v>
      </c>
    </row>
    <row r="21" spans="1:6" ht="15.75">
      <c r="A21" s="2" t="s">
        <v>38</v>
      </c>
      <c r="F21" s="20">
        <v>0</v>
      </c>
    </row>
    <row r="22" spans="1:6" ht="15.75">
      <c r="A22" s="2" t="s">
        <v>39</v>
      </c>
      <c r="F22" s="20">
        <v>500000</v>
      </c>
    </row>
    <row r="23" ht="15.75">
      <c r="F23" s="20"/>
    </row>
    <row r="24" spans="1:6" ht="15.75">
      <c r="A24" s="2" t="s">
        <v>8</v>
      </c>
      <c r="F24" s="20">
        <v>0</v>
      </c>
    </row>
    <row r="25" spans="1:6" ht="15.75">
      <c r="A25" s="2" t="s">
        <v>19</v>
      </c>
      <c r="F25" s="20">
        <v>0</v>
      </c>
    </row>
    <row r="26" ht="15.75">
      <c r="F26" s="20"/>
    </row>
    <row r="27" spans="1:6" ht="15.75">
      <c r="A27" s="2" t="s">
        <v>40</v>
      </c>
      <c r="F27" s="65">
        <v>82202</v>
      </c>
    </row>
    <row r="28" spans="1:6" ht="15.75">
      <c r="A28" s="2" t="s">
        <v>53</v>
      </c>
      <c r="F28" s="20">
        <v>0</v>
      </c>
    </row>
    <row r="29" spans="1:6" ht="15.75">
      <c r="A29" s="2" t="s">
        <v>20</v>
      </c>
      <c r="F29" s="20">
        <f>D46</f>
        <v>75644946.8</v>
      </c>
    </row>
    <row r="30" ht="15.75">
      <c r="F30" s="20"/>
    </row>
    <row r="31" spans="5:6" ht="15.75">
      <c r="E31" s="21" t="s">
        <v>21</v>
      </c>
      <c r="F31" s="22" t="s">
        <v>22</v>
      </c>
    </row>
    <row r="32" spans="1:6" ht="15.75">
      <c r="A32" s="2" t="s">
        <v>41</v>
      </c>
      <c r="E32" s="56">
        <f>+'Sept 05'!E32+E33</f>
        <v>94</v>
      </c>
      <c r="F32" s="57">
        <f>+'Sept 05'!F32+F33</f>
        <v>4316635.109999999</v>
      </c>
    </row>
    <row r="33" spans="1:6" ht="15.75">
      <c r="A33" s="2" t="s">
        <v>9</v>
      </c>
      <c r="E33" s="56">
        <v>0</v>
      </c>
      <c r="F33" s="57">
        <v>0</v>
      </c>
    </row>
    <row r="34" spans="1:6" ht="15.75">
      <c r="A34" s="2" t="s">
        <v>42</v>
      </c>
      <c r="E34" s="21">
        <f>+'Sept 05'!E34</f>
        <v>2530</v>
      </c>
      <c r="F34" s="22">
        <f>+'Sept 05'!F34</f>
        <v>204766491.04</v>
      </c>
    </row>
    <row r="35" spans="5:6" ht="15.75">
      <c r="E35" s="21"/>
      <c r="F35" s="22"/>
    </row>
    <row r="36" spans="1:6" ht="15.75">
      <c r="A36" s="2" t="s">
        <v>50</v>
      </c>
      <c r="E36" s="23"/>
      <c r="F36" s="58">
        <f>((2776388+1224156.7-822923.84)/78822549.52)*12</f>
        <v>0.48376321943665046</v>
      </c>
    </row>
    <row r="37" spans="5:6" ht="15.75">
      <c r="E37" s="23"/>
      <c r="F37" s="20"/>
    </row>
    <row r="38" spans="1:6" ht="15.75">
      <c r="A38" s="2" t="s">
        <v>43</v>
      </c>
      <c r="F38" s="20"/>
    </row>
    <row r="39" spans="1:6" s="47" customFormat="1" ht="47.25">
      <c r="A39" s="41" t="s">
        <v>10</v>
      </c>
      <c r="B39" s="48"/>
      <c r="C39" s="42"/>
      <c r="D39" s="49" t="s">
        <v>11</v>
      </c>
      <c r="E39" s="50" t="s">
        <v>12</v>
      </c>
      <c r="F39" s="51"/>
    </row>
    <row r="40" spans="1:8" ht="15.75">
      <c r="A40" s="6" t="s">
        <v>13</v>
      </c>
      <c r="B40" s="25"/>
      <c r="C40" s="7"/>
      <c r="D40" s="59">
        <v>73413375.74</v>
      </c>
      <c r="E40" s="60">
        <v>1437</v>
      </c>
      <c r="F40" s="28"/>
      <c r="H40" s="20"/>
    </row>
    <row r="41" spans="1:6" ht="15.75">
      <c r="A41" s="29" t="s">
        <v>44</v>
      </c>
      <c r="B41" s="5"/>
      <c r="C41" s="12"/>
      <c r="D41" s="61">
        <v>415429.42</v>
      </c>
      <c r="E41" s="62">
        <v>7</v>
      </c>
      <c r="F41" s="28"/>
    </row>
    <row r="42" spans="1:6" ht="15.75">
      <c r="A42" s="29" t="s">
        <v>45</v>
      </c>
      <c r="B42" s="5"/>
      <c r="C42" s="12"/>
      <c r="D42" s="61">
        <v>1045611.31</v>
      </c>
      <c r="E42" s="62">
        <v>9</v>
      </c>
      <c r="F42" s="28" t="s">
        <v>51</v>
      </c>
    </row>
    <row r="43" spans="1:8" ht="15.75">
      <c r="A43" s="11" t="s">
        <v>46</v>
      </c>
      <c r="B43" s="5"/>
      <c r="C43" s="12"/>
      <c r="D43" s="61">
        <f>97392.17+46639.29+5909.76+407.15</f>
        <v>150348.37</v>
      </c>
      <c r="E43" s="62">
        <v>6</v>
      </c>
      <c r="F43" s="28"/>
      <c r="H43" s="20"/>
    </row>
    <row r="44" spans="1:6" ht="15.75">
      <c r="A44" s="11" t="s">
        <v>30</v>
      </c>
      <c r="B44" s="5"/>
      <c r="C44" s="12"/>
      <c r="D44" s="61">
        <v>620181.96</v>
      </c>
      <c r="E44" s="62">
        <v>8</v>
      </c>
      <c r="F44" s="28"/>
    </row>
    <row r="45" spans="1:8" ht="15.75">
      <c r="A45" s="11" t="s">
        <v>47</v>
      </c>
      <c r="B45" s="5"/>
      <c r="C45" s="12"/>
      <c r="D45" s="63">
        <v>0</v>
      </c>
      <c r="E45" s="64">
        <v>0</v>
      </c>
      <c r="F45" s="28"/>
      <c r="H45" s="20"/>
    </row>
    <row r="46" spans="1:6" ht="15.75">
      <c r="A46" s="17"/>
      <c r="B46" s="34"/>
      <c r="C46" s="18"/>
      <c r="D46" s="35">
        <f>SUM(D40:D45)</f>
        <v>75644946.8</v>
      </c>
      <c r="E46" s="33">
        <f>SUM(E40:E45)</f>
        <v>1467</v>
      </c>
      <c r="F46" s="28"/>
    </row>
    <row r="47" ht="15.75">
      <c r="F47" s="20"/>
    </row>
    <row r="48" spans="1:6" ht="15.75">
      <c r="A48" s="36" t="s">
        <v>48</v>
      </c>
      <c r="E48" s="21" t="s">
        <v>29</v>
      </c>
      <c r="F48" s="21" t="s">
        <v>22</v>
      </c>
    </row>
    <row r="49" spans="5:6" ht="15.75">
      <c r="E49" s="21"/>
      <c r="F49" s="22"/>
    </row>
    <row r="50" spans="1:6" ht="15.75">
      <c r="A50" s="37" t="s">
        <v>23</v>
      </c>
      <c r="E50" s="21">
        <v>0</v>
      </c>
      <c r="F50" s="22">
        <v>0</v>
      </c>
    </row>
    <row r="51" spans="1:6" ht="15.75">
      <c r="A51" s="36" t="s">
        <v>24</v>
      </c>
      <c r="E51" s="21">
        <v>0</v>
      </c>
      <c r="F51" s="22">
        <v>0</v>
      </c>
    </row>
    <row r="52" spans="1:6" ht="15.75">
      <c r="A52" s="2" t="s">
        <v>14</v>
      </c>
      <c r="E52" s="21">
        <v>0</v>
      </c>
      <c r="F52" s="22">
        <v>0</v>
      </c>
    </row>
    <row r="53" spans="1:6" ht="15.75">
      <c r="A53" s="36" t="s">
        <v>25</v>
      </c>
      <c r="E53" s="21"/>
      <c r="F53" s="22">
        <f>F50-F54-F51-F52</f>
        <v>0</v>
      </c>
    </row>
    <row r="54" spans="1:6" ht="15.75">
      <c r="A54" s="2" t="s">
        <v>26</v>
      </c>
      <c r="E54" s="21"/>
      <c r="F54" s="38">
        <v>0</v>
      </c>
    </row>
    <row r="55" spans="5:6" ht="15.75">
      <c r="E55" s="21"/>
      <c r="F55" s="22"/>
    </row>
    <row r="56" spans="1:6" ht="15.75">
      <c r="A56" s="2" t="s">
        <v>27</v>
      </c>
      <c r="E56" s="21"/>
      <c r="F56" s="39">
        <v>0</v>
      </c>
    </row>
    <row r="57" spans="1:6" ht="15.75">
      <c r="A57" s="2" t="s">
        <v>15</v>
      </c>
      <c r="E57" s="21"/>
      <c r="F57" s="22">
        <v>0</v>
      </c>
    </row>
    <row r="58" spans="5:6" ht="15.75">
      <c r="E58" s="21"/>
      <c r="F58" s="22"/>
    </row>
    <row r="59" spans="1:6" ht="15.75">
      <c r="A59" s="2" t="s">
        <v>28</v>
      </c>
      <c r="E59" s="21"/>
      <c r="F59" s="39">
        <v>0</v>
      </c>
    </row>
    <row r="60" spans="1:6" ht="15.75">
      <c r="A60" s="2" t="s">
        <v>49</v>
      </c>
      <c r="E60" s="21"/>
      <c r="F60" s="40">
        <v>0</v>
      </c>
    </row>
    <row r="61" spans="5:6" ht="15.75">
      <c r="E61" s="21"/>
      <c r="F61" s="22"/>
    </row>
    <row r="62" ht="15.75">
      <c r="F62" s="20"/>
    </row>
    <row r="63" ht="15.75">
      <c r="F63" s="20"/>
    </row>
    <row r="64" ht="15.75">
      <c r="F64" s="20"/>
    </row>
    <row r="65" spans="1:6" ht="15.75">
      <c r="A65" s="25" t="s">
        <v>16</v>
      </c>
      <c r="B65" s="25"/>
      <c r="C65" s="25"/>
      <c r="F65" s="20"/>
    </row>
    <row r="66" ht="15.75">
      <c r="A66" s="2" t="s">
        <v>54</v>
      </c>
    </row>
  </sheetData>
  <printOptions/>
  <pageMargins left="0.75" right="0.75" top="1" bottom="1" header="0.5" footer="0.5"/>
  <pageSetup horizontalDpi="600" verticalDpi="600" orientation="portrait" paperSize="9" scale="82" r:id="rId2"/>
  <rowBreaks count="1" manualBreakCount="1">
    <brk id="46" max="6" man="1"/>
  </row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66"/>
  <sheetViews>
    <sheetView workbookViewId="0" topLeftCell="A1">
      <selection activeCell="A1" sqref="A1"/>
    </sheetView>
  </sheetViews>
  <sheetFormatPr defaultColWidth="9.00390625" defaultRowHeight="15.75"/>
  <cols>
    <col min="1" max="1" width="9.00390625" style="2" customWidth="1"/>
    <col min="2" max="2" width="7.625" style="2" customWidth="1"/>
    <col min="3" max="3" width="11.875" style="2" customWidth="1"/>
    <col min="4" max="5" width="15.625" style="2" customWidth="1"/>
    <col min="6" max="6" width="12.375" style="2" customWidth="1"/>
    <col min="7" max="7" width="11.75390625" style="2" customWidth="1"/>
    <col min="8" max="16384" width="9.00390625" style="2" customWidth="1"/>
  </cols>
  <sheetData>
    <row r="1" spans="1:3" ht="18.75">
      <c r="A1" s="1"/>
      <c r="B1" s="1"/>
      <c r="C1" s="1" t="s">
        <v>33</v>
      </c>
    </row>
    <row r="2" ht="15.75"/>
    <row r="4" spans="1:5" ht="15.75">
      <c r="A4" s="2" t="s">
        <v>0</v>
      </c>
      <c r="D4" s="52">
        <v>38656</v>
      </c>
      <c r="E4" s="3"/>
    </row>
    <row r="5" spans="1:5" ht="15.75">
      <c r="A5" s="2" t="s">
        <v>17</v>
      </c>
      <c r="D5" s="53">
        <v>0.0458813</v>
      </c>
      <c r="E5" s="3"/>
    </row>
    <row r="7" ht="15.75">
      <c r="A7" s="2" t="s">
        <v>1</v>
      </c>
    </row>
    <row r="8" spans="1:7" s="47" customFormat="1" ht="31.5">
      <c r="A8" s="41" t="s">
        <v>2</v>
      </c>
      <c r="B8" s="42"/>
      <c r="C8" s="43" t="s">
        <v>31</v>
      </c>
      <c r="D8" s="44" t="s">
        <v>3</v>
      </c>
      <c r="E8" s="44" t="s">
        <v>32</v>
      </c>
      <c r="F8" s="44" t="s">
        <v>18</v>
      </c>
      <c r="G8" s="45" t="s">
        <v>4</v>
      </c>
    </row>
    <row r="9" spans="1:7" ht="15.75">
      <c r="A9" s="6" t="s">
        <v>34</v>
      </c>
      <c r="B9" s="7"/>
      <c r="C9" s="8">
        <v>31</v>
      </c>
      <c r="D9" s="54">
        <v>48830690.8</v>
      </c>
      <c r="E9" s="54">
        <v>2814262</v>
      </c>
      <c r="F9" s="54">
        <v>215418</v>
      </c>
      <c r="G9" s="10">
        <f>+D9/276000000</f>
        <v>0.1769227927536232</v>
      </c>
    </row>
    <row r="10" spans="1:7" ht="15.75">
      <c r="A10" s="11" t="s">
        <v>5</v>
      </c>
      <c r="B10" s="12"/>
      <c r="C10" s="13">
        <v>85</v>
      </c>
      <c r="D10" s="14">
        <v>24000000</v>
      </c>
      <c r="E10" s="15">
        <v>0</v>
      </c>
      <c r="F10" s="55">
        <v>111115.2</v>
      </c>
      <c r="G10" s="16">
        <f>+D10/24000000</f>
        <v>1</v>
      </c>
    </row>
    <row r="11" spans="1:7" ht="15.75">
      <c r="A11" s="17"/>
      <c r="B11" s="18"/>
      <c r="C11" s="18"/>
      <c r="D11" s="15">
        <f>SUM(D9:D10)</f>
        <v>72830690.8</v>
      </c>
      <c r="E11" s="15">
        <f>SUM(E9:E10)</f>
        <v>2814262</v>
      </c>
      <c r="F11" s="15">
        <f>SUM(F9:F10)</f>
        <v>326533.2</v>
      </c>
      <c r="G11" s="19"/>
    </row>
    <row r="13" spans="1:6" ht="15.75">
      <c r="A13" s="2" t="s">
        <v>35</v>
      </c>
      <c r="F13" s="20">
        <v>45000000</v>
      </c>
    </row>
    <row r="14" spans="1:6" ht="15.75">
      <c r="A14" s="2" t="s">
        <v>6</v>
      </c>
      <c r="F14" s="20">
        <v>0</v>
      </c>
    </row>
    <row r="15" ht="15.75">
      <c r="F15" s="20"/>
    </row>
    <row r="16" spans="1:6" ht="15.75">
      <c r="A16" s="2" t="s">
        <v>7</v>
      </c>
      <c r="F16" s="20">
        <v>6000000</v>
      </c>
    </row>
    <row r="17" spans="1:6" ht="15.75">
      <c r="A17" s="2" t="s">
        <v>52</v>
      </c>
      <c r="F17" s="20">
        <v>0</v>
      </c>
    </row>
    <row r="18" spans="1:6" ht="15.75">
      <c r="A18" s="2" t="s">
        <v>36</v>
      </c>
      <c r="F18" s="20">
        <v>6000000</v>
      </c>
    </row>
    <row r="19" ht="15.75">
      <c r="F19" s="20"/>
    </row>
    <row r="20" spans="1:6" ht="15.75">
      <c r="A20" s="2" t="s">
        <v>37</v>
      </c>
      <c r="F20" s="20">
        <v>500000</v>
      </c>
    </row>
    <row r="21" spans="1:6" ht="15.75">
      <c r="A21" s="2" t="s">
        <v>38</v>
      </c>
      <c r="F21" s="20">
        <v>0</v>
      </c>
    </row>
    <row r="22" spans="1:6" ht="15.75">
      <c r="A22" s="2" t="s">
        <v>39</v>
      </c>
      <c r="F22" s="20">
        <v>500000</v>
      </c>
    </row>
    <row r="23" ht="15.75">
      <c r="F23" s="20"/>
    </row>
    <row r="24" spans="1:6" ht="15.75">
      <c r="A24" s="2" t="s">
        <v>8</v>
      </c>
      <c r="F24" s="20">
        <v>0</v>
      </c>
    </row>
    <row r="25" spans="1:6" ht="15.75">
      <c r="A25" s="2" t="s">
        <v>19</v>
      </c>
      <c r="F25" s="20">
        <v>0</v>
      </c>
    </row>
    <row r="26" ht="15.75">
      <c r="F26" s="20"/>
    </row>
    <row r="27" spans="1:6" ht="15.75">
      <c r="A27" s="2" t="s">
        <v>40</v>
      </c>
      <c r="F27" s="65">
        <v>67095</v>
      </c>
    </row>
    <row r="28" spans="1:6" ht="15.75">
      <c r="A28" s="2" t="s">
        <v>53</v>
      </c>
      <c r="F28" s="20">
        <v>0</v>
      </c>
    </row>
    <row r="29" spans="1:6" ht="15.75">
      <c r="A29" s="2" t="s">
        <v>20</v>
      </c>
      <c r="F29" s="20">
        <f>D46</f>
        <v>72830666.22999999</v>
      </c>
    </row>
    <row r="30" ht="15.75">
      <c r="F30" s="20"/>
    </row>
    <row r="31" spans="5:6" ht="15.75">
      <c r="E31" s="21" t="s">
        <v>21</v>
      </c>
      <c r="F31" s="22" t="s">
        <v>22</v>
      </c>
    </row>
    <row r="32" spans="1:6" ht="15.75">
      <c r="A32" s="2" t="s">
        <v>41</v>
      </c>
      <c r="E32" s="56">
        <f>+'Oct 05'!E32+E33</f>
        <v>95</v>
      </c>
      <c r="F32" s="57">
        <f>+'Oct 05'!F32+F33</f>
        <v>4316830.109999999</v>
      </c>
    </row>
    <row r="33" spans="1:6" ht="15.75">
      <c r="A33" s="2" t="s">
        <v>9</v>
      </c>
      <c r="E33" s="56">
        <v>1</v>
      </c>
      <c r="F33" s="57">
        <v>195</v>
      </c>
    </row>
    <row r="34" spans="1:6" ht="15.75">
      <c r="A34" s="2" t="s">
        <v>42</v>
      </c>
      <c r="E34" s="21">
        <f>+'Sept 05'!E34</f>
        <v>2530</v>
      </c>
      <c r="F34" s="22">
        <f>+'Sept 05'!F34</f>
        <v>204766491.04</v>
      </c>
    </row>
    <row r="35" spans="5:6" ht="15.75">
      <c r="E35" s="21"/>
      <c r="F35" s="22"/>
    </row>
    <row r="36" spans="1:6" ht="15.75">
      <c r="A36" s="2" t="s">
        <v>50</v>
      </c>
      <c r="E36" s="23"/>
      <c r="F36" s="66">
        <f>((2343434+1159016.28-687968.68)/75644946.8)*12</f>
        <v>0.4464776647843449</v>
      </c>
    </row>
    <row r="37" spans="5:6" ht="15.75">
      <c r="E37" s="23"/>
      <c r="F37" s="20"/>
    </row>
    <row r="38" spans="1:6" ht="15.75">
      <c r="A38" s="2" t="s">
        <v>43</v>
      </c>
      <c r="F38" s="20"/>
    </row>
    <row r="39" spans="1:6" s="47" customFormat="1" ht="47.25">
      <c r="A39" s="41" t="s">
        <v>10</v>
      </c>
      <c r="B39" s="48"/>
      <c r="C39" s="42"/>
      <c r="D39" s="49" t="s">
        <v>11</v>
      </c>
      <c r="E39" s="50" t="s">
        <v>12</v>
      </c>
      <c r="F39" s="51"/>
    </row>
    <row r="40" spans="1:8" ht="15.75">
      <c r="A40" s="6" t="s">
        <v>13</v>
      </c>
      <c r="B40" s="25"/>
      <c r="C40" s="7"/>
      <c r="D40" s="59">
        <v>70184210.55</v>
      </c>
      <c r="E40" s="60">
        <v>1383</v>
      </c>
      <c r="F40" s="28"/>
      <c r="H40" s="20"/>
    </row>
    <row r="41" spans="1:6" ht="15.75">
      <c r="A41" s="29" t="s">
        <v>44</v>
      </c>
      <c r="B41" s="5"/>
      <c r="C41" s="12"/>
      <c r="D41" s="61">
        <v>1316157.47</v>
      </c>
      <c r="E41" s="62">
        <v>17</v>
      </c>
      <c r="F41" s="28"/>
    </row>
    <row r="42" spans="1:6" ht="15.75">
      <c r="A42" s="29" t="s">
        <v>45</v>
      </c>
      <c r="B42" s="5"/>
      <c r="C42" s="12"/>
      <c r="D42" s="61">
        <v>296038.2</v>
      </c>
      <c r="E42" s="62">
        <v>5</v>
      </c>
      <c r="F42" s="28" t="s">
        <v>51</v>
      </c>
    </row>
    <row r="43" spans="1:8" ht="15.75">
      <c r="A43" s="11" t="s">
        <v>46</v>
      </c>
      <c r="B43" s="5"/>
      <c r="C43" s="12"/>
      <c r="D43" s="61">
        <f>358966.66+46658.93+5909.76+357.15+4238.32</f>
        <v>416130.82</v>
      </c>
      <c r="E43" s="62">
        <v>8</v>
      </c>
      <c r="F43" s="28"/>
      <c r="H43" s="20"/>
    </row>
    <row r="44" spans="1:6" ht="15.75">
      <c r="A44" s="11" t="s">
        <v>30</v>
      </c>
      <c r="B44" s="5"/>
      <c r="C44" s="12"/>
      <c r="D44" s="61">
        <v>618129.19</v>
      </c>
      <c r="E44" s="62">
        <v>7</v>
      </c>
      <c r="F44" s="28"/>
    </row>
    <row r="45" spans="1:8" ht="15.75">
      <c r="A45" s="11" t="s">
        <v>47</v>
      </c>
      <c r="B45" s="5"/>
      <c r="C45" s="12"/>
      <c r="D45" s="63">
        <v>0</v>
      </c>
      <c r="E45" s="64">
        <v>0</v>
      </c>
      <c r="F45" s="28"/>
      <c r="H45" s="20"/>
    </row>
    <row r="46" spans="1:6" ht="15.75">
      <c r="A46" s="17"/>
      <c r="B46" s="34"/>
      <c r="C46" s="18"/>
      <c r="D46" s="35">
        <f>SUM(D40:D45)</f>
        <v>72830666.22999999</v>
      </c>
      <c r="E46" s="33">
        <f>SUM(E40:E45)</f>
        <v>1420</v>
      </c>
      <c r="F46" s="28"/>
    </row>
    <row r="47" ht="15.75">
      <c r="F47" s="20"/>
    </row>
    <row r="48" spans="1:6" ht="15.75">
      <c r="A48" s="36" t="s">
        <v>48</v>
      </c>
      <c r="E48" s="21" t="s">
        <v>29</v>
      </c>
      <c r="F48" s="21" t="s">
        <v>22</v>
      </c>
    </row>
    <row r="49" spans="5:6" ht="15.75">
      <c r="E49" s="21"/>
      <c r="F49" s="22"/>
    </row>
    <row r="50" spans="1:6" ht="15.75">
      <c r="A50" s="37" t="s">
        <v>23</v>
      </c>
      <c r="E50" s="21">
        <v>0</v>
      </c>
      <c r="F50" s="22">
        <v>0</v>
      </c>
    </row>
    <row r="51" spans="1:6" ht="15.75">
      <c r="A51" s="36" t="s">
        <v>24</v>
      </c>
      <c r="E51" s="21">
        <v>0</v>
      </c>
      <c r="F51" s="22">
        <v>0</v>
      </c>
    </row>
    <row r="52" spans="1:6" ht="15.75">
      <c r="A52" s="2" t="s">
        <v>14</v>
      </c>
      <c r="E52" s="21">
        <v>0</v>
      </c>
      <c r="F52" s="22">
        <v>0</v>
      </c>
    </row>
    <row r="53" spans="1:6" ht="15.75">
      <c r="A53" s="36" t="s">
        <v>25</v>
      </c>
      <c r="E53" s="21"/>
      <c r="F53" s="22">
        <f>F50-F54-F51-F52</f>
        <v>0</v>
      </c>
    </row>
    <row r="54" spans="1:6" ht="15.75">
      <c r="A54" s="2" t="s">
        <v>26</v>
      </c>
      <c r="E54" s="21"/>
      <c r="F54" s="38">
        <v>0</v>
      </c>
    </row>
    <row r="55" spans="5:6" ht="15.75">
      <c r="E55" s="21"/>
      <c r="F55" s="22"/>
    </row>
    <row r="56" spans="1:6" ht="15.75">
      <c r="A56" s="2" t="s">
        <v>27</v>
      </c>
      <c r="E56" s="21"/>
      <c r="F56" s="39">
        <v>0</v>
      </c>
    </row>
    <row r="57" spans="1:6" ht="15.75">
      <c r="A57" s="2" t="s">
        <v>15</v>
      </c>
      <c r="E57" s="21"/>
      <c r="F57" s="22">
        <v>0</v>
      </c>
    </row>
    <row r="58" spans="5:6" ht="15.75">
      <c r="E58" s="21"/>
      <c r="F58" s="22"/>
    </row>
    <row r="59" spans="1:6" ht="15.75">
      <c r="A59" s="2" t="s">
        <v>28</v>
      </c>
      <c r="E59" s="21"/>
      <c r="F59" s="39">
        <v>0</v>
      </c>
    </row>
    <row r="60" spans="1:6" ht="15.75">
      <c r="A60" s="2" t="s">
        <v>49</v>
      </c>
      <c r="E60" s="21"/>
      <c r="F60" s="40">
        <v>0</v>
      </c>
    </row>
    <row r="61" spans="5:6" ht="15.75">
      <c r="E61" s="21"/>
      <c r="F61" s="22"/>
    </row>
    <row r="62" ht="15.75">
      <c r="F62" s="20"/>
    </row>
    <row r="63" ht="15.75">
      <c r="F63" s="20"/>
    </row>
    <row r="64" ht="15.75">
      <c r="F64" s="20"/>
    </row>
    <row r="65" spans="1:6" ht="15.75">
      <c r="A65" s="25" t="s">
        <v>16</v>
      </c>
      <c r="B65" s="25"/>
      <c r="C65" s="25"/>
      <c r="F65" s="20"/>
    </row>
    <row r="66" ht="15.75">
      <c r="A66" s="2" t="s">
        <v>54</v>
      </c>
    </row>
  </sheetData>
  <printOptions/>
  <pageMargins left="0.75" right="0.75" top="1" bottom="1" header="0.5" footer="0.5"/>
  <pageSetup horizontalDpi="600" verticalDpi="600" orientation="portrait" paperSize="9" scale="87" r:id="rId2"/>
  <rowBreaks count="1" manualBreakCount="1">
    <brk id="46" max="255" man="1"/>
  </row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66"/>
  <sheetViews>
    <sheetView workbookViewId="0" topLeftCell="A1">
      <selection activeCell="A1" sqref="A1"/>
    </sheetView>
  </sheetViews>
  <sheetFormatPr defaultColWidth="9.00390625" defaultRowHeight="15.75"/>
  <cols>
    <col min="1" max="1" width="9.00390625" style="2" customWidth="1"/>
    <col min="2" max="2" width="7.625" style="2" customWidth="1"/>
    <col min="3" max="3" width="11.875" style="2" customWidth="1"/>
    <col min="4" max="5" width="15.625" style="2" customWidth="1"/>
    <col min="6" max="6" width="12.375" style="2" customWidth="1"/>
    <col min="7" max="7" width="11.75390625" style="2" customWidth="1"/>
    <col min="8" max="16384" width="9.00390625" style="2" customWidth="1"/>
  </cols>
  <sheetData>
    <row r="1" spans="1:3" ht="18.75">
      <c r="A1" s="1"/>
      <c r="B1" s="1"/>
      <c r="C1" s="1" t="s">
        <v>33</v>
      </c>
    </row>
    <row r="2" ht="15.75"/>
    <row r="4" spans="1:5" ht="15.75">
      <c r="A4" s="2" t="s">
        <v>0</v>
      </c>
      <c r="D4" s="52">
        <v>38686</v>
      </c>
      <c r="E4" s="3"/>
    </row>
    <row r="5" spans="1:5" ht="15.75">
      <c r="A5" s="2" t="s">
        <v>17</v>
      </c>
      <c r="D5" s="53">
        <v>0.04595</v>
      </c>
      <c r="E5" s="3"/>
    </row>
    <row r="7" ht="15.75">
      <c r="A7" s="2" t="s">
        <v>1</v>
      </c>
    </row>
    <row r="8" spans="1:7" s="47" customFormat="1" ht="31.5">
      <c r="A8" s="41" t="s">
        <v>2</v>
      </c>
      <c r="B8" s="42"/>
      <c r="C8" s="43" t="s">
        <v>31</v>
      </c>
      <c r="D8" s="44" t="s">
        <v>3</v>
      </c>
      <c r="E8" s="44" t="s">
        <v>32</v>
      </c>
      <c r="F8" s="44" t="s">
        <v>18</v>
      </c>
      <c r="G8" s="45" t="s">
        <v>4</v>
      </c>
    </row>
    <row r="9" spans="1:7" ht="15.75">
      <c r="A9" s="6" t="s">
        <v>34</v>
      </c>
      <c r="B9" s="7"/>
      <c r="C9" s="8">
        <v>31</v>
      </c>
      <c r="D9" s="54">
        <v>44762340.4</v>
      </c>
      <c r="E9" s="54">
        <v>4068350.4</v>
      </c>
      <c r="F9" s="54">
        <v>196594.8</v>
      </c>
      <c r="G9" s="10">
        <f>+D9/276000000</f>
        <v>0.16218239275362317</v>
      </c>
    </row>
    <row r="10" spans="1:7" ht="15.75">
      <c r="A10" s="11" t="s">
        <v>5</v>
      </c>
      <c r="B10" s="12"/>
      <c r="C10" s="13">
        <v>85</v>
      </c>
      <c r="D10" s="14">
        <v>24000000</v>
      </c>
      <c r="E10" s="15">
        <v>0</v>
      </c>
      <c r="F10" s="55">
        <v>107272.8</v>
      </c>
      <c r="G10" s="16">
        <f>+D10/24000000</f>
        <v>1</v>
      </c>
    </row>
    <row r="11" spans="1:7" ht="15.75">
      <c r="A11" s="17"/>
      <c r="B11" s="18"/>
      <c r="C11" s="18"/>
      <c r="D11" s="15">
        <f>SUM(D9:D10)</f>
        <v>68762340.4</v>
      </c>
      <c r="E11" s="15">
        <f>SUM(E9:E10)</f>
        <v>4068350.4</v>
      </c>
      <c r="F11" s="15">
        <f>SUM(F9:F10)</f>
        <v>303867.6</v>
      </c>
      <c r="G11" s="19"/>
    </row>
    <row r="13" spans="1:6" ht="15.75">
      <c r="A13" s="2" t="s">
        <v>35</v>
      </c>
      <c r="F13" s="20">
        <v>9000000</v>
      </c>
    </row>
    <row r="14" spans="1:6" ht="15.75">
      <c r="A14" s="2" t="s">
        <v>6</v>
      </c>
      <c r="F14" s="20">
        <v>0</v>
      </c>
    </row>
    <row r="15" ht="15.75">
      <c r="F15" s="20"/>
    </row>
    <row r="16" spans="1:6" ht="15.75">
      <c r="A16" s="2" t="s">
        <v>7</v>
      </c>
      <c r="F16" s="20">
        <v>6000000</v>
      </c>
    </row>
    <row r="17" spans="1:6" ht="15.75">
      <c r="A17" s="2" t="s">
        <v>52</v>
      </c>
      <c r="F17" s="20">
        <v>0</v>
      </c>
    </row>
    <row r="18" spans="1:6" ht="15.75">
      <c r="A18" s="2" t="s">
        <v>36</v>
      </c>
      <c r="F18" s="20">
        <v>6000000</v>
      </c>
    </row>
    <row r="19" ht="15.75">
      <c r="F19" s="20"/>
    </row>
    <row r="20" spans="1:6" ht="15.75">
      <c r="A20" s="2" t="s">
        <v>37</v>
      </c>
      <c r="F20" s="20">
        <v>500000</v>
      </c>
    </row>
    <row r="21" spans="1:6" ht="15.75">
      <c r="A21" s="2" t="s">
        <v>38</v>
      </c>
      <c r="F21" s="20">
        <v>0</v>
      </c>
    </row>
    <row r="22" spans="1:6" ht="15.75">
      <c r="A22" s="2" t="s">
        <v>39</v>
      </c>
      <c r="F22" s="20">
        <v>500000</v>
      </c>
    </row>
    <row r="23" ht="15.75">
      <c r="F23" s="20"/>
    </row>
    <row r="24" spans="1:6" ht="15.75">
      <c r="A24" s="2" t="s">
        <v>8</v>
      </c>
      <c r="F24" s="20">
        <v>0</v>
      </c>
    </row>
    <row r="25" spans="1:6" ht="15.75">
      <c r="A25" s="2" t="s">
        <v>19</v>
      </c>
      <c r="F25" s="20">
        <v>0</v>
      </c>
    </row>
    <row r="26" ht="15.75">
      <c r="F26" s="20"/>
    </row>
    <row r="27" spans="1:6" ht="15.75">
      <c r="A27" s="2" t="s">
        <v>40</v>
      </c>
      <c r="F27" s="65">
        <v>69359</v>
      </c>
    </row>
    <row r="28" spans="1:6" ht="15.75">
      <c r="A28" s="2" t="s">
        <v>53</v>
      </c>
      <c r="F28" s="20">
        <v>0</v>
      </c>
    </row>
    <row r="29" spans="1:6" ht="15.75">
      <c r="A29" s="2" t="s">
        <v>20</v>
      </c>
      <c r="F29" s="20">
        <f>D46</f>
        <v>68762314.05</v>
      </c>
    </row>
    <row r="30" ht="15.75">
      <c r="F30" s="20"/>
    </row>
    <row r="31" spans="5:6" ht="15.75">
      <c r="E31" s="21" t="s">
        <v>21</v>
      </c>
      <c r="F31" s="22" t="s">
        <v>22</v>
      </c>
    </row>
    <row r="32" spans="1:6" ht="15.75">
      <c r="A32" s="2" t="s">
        <v>41</v>
      </c>
      <c r="E32" s="56">
        <f>+'Nov 05'!E32+E33</f>
        <v>95</v>
      </c>
      <c r="F32" s="57">
        <f>+'Nov 05'!F32+F33</f>
        <v>4316830.109999999</v>
      </c>
    </row>
    <row r="33" spans="1:6" ht="15.75">
      <c r="A33" s="2" t="s">
        <v>9</v>
      </c>
      <c r="E33" s="56">
        <v>0</v>
      </c>
      <c r="F33" s="57">
        <v>0</v>
      </c>
    </row>
    <row r="34" spans="1:6" ht="15.75">
      <c r="A34" s="2" t="s">
        <v>42</v>
      </c>
      <c r="E34" s="21">
        <f>+'Sept 05'!E34</f>
        <v>2530</v>
      </c>
      <c r="F34" s="22">
        <f>+'Sept 05'!F34</f>
        <v>204766491.04</v>
      </c>
    </row>
    <row r="35" spans="5:6" ht="15.75">
      <c r="E35" s="21"/>
      <c r="F35" s="22"/>
    </row>
    <row r="36" spans="1:6" ht="15.75">
      <c r="A36" s="2" t="s">
        <v>50</v>
      </c>
      <c r="E36" s="23"/>
      <c r="F36" s="58">
        <f>((3590967+1113067.5-635658)/72830666.23)*12</f>
        <v>0.6703291419279935</v>
      </c>
    </row>
    <row r="37" spans="5:6" ht="15.75">
      <c r="E37" s="23"/>
      <c r="F37" s="20"/>
    </row>
    <row r="38" spans="1:6" ht="15.75">
      <c r="A38" s="2" t="s">
        <v>43</v>
      </c>
      <c r="F38" s="20"/>
    </row>
    <row r="39" spans="1:6" s="47" customFormat="1" ht="47.25">
      <c r="A39" s="41" t="s">
        <v>10</v>
      </c>
      <c r="B39" s="48"/>
      <c r="C39" s="42"/>
      <c r="D39" s="49" t="s">
        <v>11</v>
      </c>
      <c r="E39" s="50" t="s">
        <v>12</v>
      </c>
      <c r="F39" s="51"/>
    </row>
    <row r="40" spans="1:8" ht="15.75">
      <c r="A40" s="6" t="s">
        <v>13</v>
      </c>
      <c r="B40" s="25"/>
      <c r="C40" s="7"/>
      <c r="D40" s="59">
        <v>66520385.25</v>
      </c>
      <c r="E40" s="60">
        <v>1332</v>
      </c>
      <c r="F40" s="28"/>
      <c r="H40" s="20"/>
    </row>
    <row r="41" spans="1:6" ht="15.75">
      <c r="A41" s="29" t="s">
        <v>44</v>
      </c>
      <c r="B41" s="5"/>
      <c r="C41" s="12"/>
      <c r="D41" s="61">
        <v>1040677.83</v>
      </c>
      <c r="E41" s="62">
        <v>14</v>
      </c>
      <c r="F41" s="28"/>
    </row>
    <row r="42" spans="1:6" ht="15.75">
      <c r="A42" s="29" t="s">
        <v>45</v>
      </c>
      <c r="B42" s="5"/>
      <c r="C42" s="12"/>
      <c r="D42" s="61">
        <v>28676.17</v>
      </c>
      <c r="E42" s="62">
        <v>3</v>
      </c>
      <c r="F42" s="28" t="s">
        <v>51</v>
      </c>
    </row>
    <row r="43" spans="1:8" ht="15.75">
      <c r="A43" s="11" t="s">
        <v>46</v>
      </c>
      <c r="B43" s="5"/>
      <c r="C43" s="12"/>
      <c r="D43" s="61">
        <f>496700.41+166579.32+45733.67+307.15+4327.83</f>
        <v>713648.38</v>
      </c>
      <c r="E43" s="62">
        <f>5+1+2+1+1</f>
        <v>10</v>
      </c>
      <c r="F43" s="28"/>
      <c r="H43" s="20"/>
    </row>
    <row r="44" spans="1:6" ht="15.75">
      <c r="A44" s="11" t="s">
        <v>30</v>
      </c>
      <c r="B44" s="5"/>
      <c r="C44" s="12"/>
      <c r="D44" s="61">
        <v>458926.42</v>
      </c>
      <c r="E44" s="62">
        <v>6</v>
      </c>
      <c r="F44" s="28"/>
    </row>
    <row r="45" spans="1:8" ht="15.75">
      <c r="A45" s="11" t="s">
        <v>47</v>
      </c>
      <c r="B45" s="5"/>
      <c r="C45" s="12"/>
      <c r="D45" s="63">
        <v>0</v>
      </c>
      <c r="E45" s="64">
        <v>0</v>
      </c>
      <c r="F45" s="28"/>
      <c r="H45" s="20"/>
    </row>
    <row r="46" spans="1:6" ht="15.75">
      <c r="A46" s="17"/>
      <c r="B46" s="34"/>
      <c r="C46" s="18"/>
      <c r="D46" s="35">
        <f>SUM(D40:D45)</f>
        <v>68762314.05</v>
      </c>
      <c r="E46" s="33">
        <f>SUM(E40:E45)</f>
        <v>1365</v>
      </c>
      <c r="F46" s="28"/>
    </row>
    <row r="47" ht="15.75">
      <c r="F47" s="20"/>
    </row>
    <row r="48" spans="1:6" ht="15.75">
      <c r="A48" s="36" t="s">
        <v>48</v>
      </c>
      <c r="E48" s="21" t="s">
        <v>29</v>
      </c>
      <c r="F48" s="21" t="s">
        <v>22</v>
      </c>
    </row>
    <row r="49" spans="5:6" ht="15.75">
      <c r="E49" s="21"/>
      <c r="F49" s="22"/>
    </row>
    <row r="50" spans="1:6" ht="15.75">
      <c r="A50" s="37" t="s">
        <v>23</v>
      </c>
      <c r="E50" s="21">
        <v>0</v>
      </c>
      <c r="F50" s="22">
        <v>0</v>
      </c>
    </row>
    <row r="51" spans="1:6" ht="15.75">
      <c r="A51" s="36" t="s">
        <v>24</v>
      </c>
      <c r="E51" s="21">
        <v>0</v>
      </c>
      <c r="F51" s="22">
        <v>0</v>
      </c>
    </row>
    <row r="52" spans="1:6" ht="15.75">
      <c r="A52" s="2" t="s">
        <v>14</v>
      </c>
      <c r="E52" s="21">
        <v>0</v>
      </c>
      <c r="F52" s="22">
        <v>0</v>
      </c>
    </row>
    <row r="53" spans="1:6" ht="15.75">
      <c r="A53" s="36" t="s">
        <v>25</v>
      </c>
      <c r="E53" s="21"/>
      <c r="F53" s="22">
        <f>F50-F54-F51-F52</f>
        <v>0</v>
      </c>
    </row>
    <row r="54" spans="1:6" ht="15.75">
      <c r="A54" s="2" t="s">
        <v>26</v>
      </c>
      <c r="E54" s="21"/>
      <c r="F54" s="38">
        <v>0</v>
      </c>
    </row>
    <row r="55" spans="5:6" ht="15.75">
      <c r="E55" s="21"/>
      <c r="F55" s="22"/>
    </row>
    <row r="56" spans="1:6" ht="15.75">
      <c r="A56" s="2" t="s">
        <v>27</v>
      </c>
      <c r="E56" s="21"/>
      <c r="F56" s="39">
        <v>0</v>
      </c>
    </row>
    <row r="57" spans="1:6" ht="15.75">
      <c r="A57" s="2" t="s">
        <v>15</v>
      </c>
      <c r="E57" s="21"/>
      <c r="F57" s="22">
        <v>0</v>
      </c>
    </row>
    <row r="58" spans="5:6" ht="15.75">
      <c r="E58" s="21"/>
      <c r="F58" s="22"/>
    </row>
    <row r="59" spans="1:6" ht="15.75">
      <c r="A59" s="2" t="s">
        <v>28</v>
      </c>
      <c r="E59" s="21"/>
      <c r="F59" s="39">
        <v>0</v>
      </c>
    </row>
    <row r="60" spans="1:6" ht="15.75">
      <c r="A60" s="2" t="s">
        <v>49</v>
      </c>
      <c r="E60" s="21"/>
      <c r="F60" s="40">
        <v>0</v>
      </c>
    </row>
    <row r="61" spans="5:6" ht="15.75">
      <c r="E61" s="21"/>
      <c r="F61" s="22"/>
    </row>
    <row r="62" ht="15.75">
      <c r="F62" s="20"/>
    </row>
    <row r="63" ht="15.75">
      <c r="F63" s="20"/>
    </row>
    <row r="64" ht="15.75">
      <c r="F64" s="20"/>
    </row>
    <row r="65" spans="1:6" ht="15.75">
      <c r="A65" s="25" t="s">
        <v>16</v>
      </c>
      <c r="B65" s="25"/>
      <c r="C65" s="25"/>
      <c r="F65" s="20"/>
    </row>
    <row r="66" ht="15.75">
      <c r="A66" s="2" t="s">
        <v>54</v>
      </c>
    </row>
  </sheetData>
  <printOptions/>
  <pageMargins left="0.75" right="0.75" top="1" bottom="1" header="0.5" footer="0.5"/>
  <pageSetup horizontalDpi="600" verticalDpi="600" orientation="portrait" paperSize="9" scale="87" r:id="rId2"/>
  <rowBreaks count="1" manualBreakCount="1">
    <brk id="46" max="6" man="1"/>
  </rowBreak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66"/>
  <sheetViews>
    <sheetView workbookViewId="0" topLeftCell="A1">
      <selection activeCell="A1" sqref="A1"/>
    </sheetView>
  </sheetViews>
  <sheetFormatPr defaultColWidth="9.00390625" defaultRowHeight="15.75"/>
  <cols>
    <col min="1" max="1" width="9.00390625" style="2" customWidth="1"/>
    <col min="2" max="2" width="7.625" style="2" customWidth="1"/>
    <col min="3" max="3" width="11.875" style="2" customWidth="1"/>
    <col min="4" max="5" width="15.625" style="2" customWidth="1"/>
    <col min="6" max="6" width="12.375" style="2" customWidth="1"/>
    <col min="7" max="7" width="11.75390625" style="2" customWidth="1"/>
    <col min="8" max="16384" width="9.00390625" style="2" customWidth="1"/>
  </cols>
  <sheetData>
    <row r="1" spans="1:3" ht="18.75">
      <c r="A1" s="1"/>
      <c r="B1" s="1"/>
      <c r="C1" s="1" t="s">
        <v>33</v>
      </c>
    </row>
    <row r="2" ht="15.75"/>
    <row r="4" spans="1:5" ht="15.75">
      <c r="A4" s="2" t="s">
        <v>0</v>
      </c>
      <c r="D4" s="52">
        <v>38716</v>
      </c>
      <c r="E4" s="3"/>
    </row>
    <row r="5" spans="1:5" ht="15.75">
      <c r="A5" s="2" t="s">
        <v>17</v>
      </c>
      <c r="D5" s="53">
        <v>0.046625</v>
      </c>
      <c r="E5" s="3"/>
    </row>
    <row r="7" ht="15.75">
      <c r="A7" s="2" t="s">
        <v>1</v>
      </c>
    </row>
    <row r="8" spans="1:7" s="47" customFormat="1" ht="31.5">
      <c r="A8" s="41" t="s">
        <v>2</v>
      </c>
      <c r="B8" s="42"/>
      <c r="C8" s="43" t="s">
        <v>31</v>
      </c>
      <c r="D8" s="44" t="s">
        <v>3</v>
      </c>
      <c r="E8" s="44" t="s">
        <v>32</v>
      </c>
      <c r="F8" s="44" t="s">
        <v>18</v>
      </c>
      <c r="G8" s="45" t="s">
        <v>4</v>
      </c>
    </row>
    <row r="9" spans="1:7" ht="15.75">
      <c r="A9" s="6" t="s">
        <v>34</v>
      </c>
      <c r="B9" s="7"/>
      <c r="C9" s="8">
        <v>31</v>
      </c>
      <c r="D9" s="54">
        <v>42313944</v>
      </c>
      <c r="E9" s="54">
        <v>2448396</v>
      </c>
      <c r="F9" s="54">
        <v>180448.8</v>
      </c>
      <c r="G9" s="10">
        <f>+D9/276000000</f>
        <v>0.15331139130434782</v>
      </c>
    </row>
    <row r="10" spans="1:7" ht="15.75">
      <c r="A10" s="11" t="s">
        <v>5</v>
      </c>
      <c r="B10" s="12"/>
      <c r="C10" s="13">
        <v>85</v>
      </c>
      <c r="D10" s="14">
        <v>24000000</v>
      </c>
      <c r="E10" s="15">
        <v>0</v>
      </c>
      <c r="F10" s="55">
        <v>107407.2</v>
      </c>
      <c r="G10" s="16">
        <f>+D10/24000000</f>
        <v>1</v>
      </c>
    </row>
    <row r="11" spans="1:7" ht="15.75">
      <c r="A11" s="17"/>
      <c r="B11" s="18"/>
      <c r="C11" s="18"/>
      <c r="D11" s="15">
        <f>SUM(D9:D10)</f>
        <v>66313944</v>
      </c>
      <c r="E11" s="15">
        <f>SUM(E9:E10)</f>
        <v>2448396</v>
      </c>
      <c r="F11" s="15">
        <f>SUM(F9:F10)</f>
        <v>287856</v>
      </c>
      <c r="G11" s="19"/>
    </row>
    <row r="13" spans="1:6" ht="15.75">
      <c r="A13" s="2" t="s">
        <v>35</v>
      </c>
      <c r="F13" s="20">
        <v>9000000</v>
      </c>
    </row>
    <row r="14" spans="1:6" ht="15.75">
      <c r="A14" s="2" t="s">
        <v>6</v>
      </c>
      <c r="F14" s="20">
        <v>0</v>
      </c>
    </row>
    <row r="15" ht="15.75">
      <c r="F15" s="20"/>
    </row>
    <row r="16" spans="1:6" ht="15.75">
      <c r="A16" s="2" t="s">
        <v>7</v>
      </c>
      <c r="F16" s="20">
        <v>6000000</v>
      </c>
    </row>
    <row r="17" spans="1:6" ht="15.75">
      <c r="A17" s="2" t="s">
        <v>52</v>
      </c>
      <c r="F17" s="20">
        <v>0</v>
      </c>
    </row>
    <row r="18" spans="1:6" ht="15.75">
      <c r="A18" s="2" t="s">
        <v>36</v>
      </c>
      <c r="F18" s="20">
        <v>6000000</v>
      </c>
    </row>
    <row r="19" ht="15.75">
      <c r="F19" s="20"/>
    </row>
    <row r="20" spans="1:6" ht="15.75">
      <c r="A20" s="2" t="s">
        <v>37</v>
      </c>
      <c r="F20" s="20">
        <v>500000</v>
      </c>
    </row>
    <row r="21" spans="1:6" ht="15.75">
      <c r="A21" s="2" t="s">
        <v>38</v>
      </c>
      <c r="F21" s="20">
        <v>0</v>
      </c>
    </row>
    <row r="22" spans="1:6" ht="15.75">
      <c r="A22" s="2" t="s">
        <v>39</v>
      </c>
      <c r="F22" s="20">
        <v>500000</v>
      </c>
    </row>
    <row r="23" ht="15.75">
      <c r="F23" s="20"/>
    </row>
    <row r="24" spans="1:6" ht="15.75">
      <c r="A24" s="2" t="s">
        <v>8</v>
      </c>
      <c r="F24" s="20">
        <v>0</v>
      </c>
    </row>
    <row r="25" spans="1:6" ht="15.75">
      <c r="A25" s="2" t="s">
        <v>19</v>
      </c>
      <c r="F25" s="20">
        <v>0</v>
      </c>
    </row>
    <row r="26" ht="15.75">
      <c r="F26" s="20"/>
    </row>
    <row r="27" spans="1:6" ht="15.75">
      <c r="A27" s="2" t="s">
        <v>40</v>
      </c>
      <c r="F27" s="65">
        <v>61202</v>
      </c>
    </row>
    <row r="28" spans="1:6" ht="15.75">
      <c r="A28" s="2" t="s">
        <v>53</v>
      </c>
      <c r="F28" s="20">
        <v>0</v>
      </c>
    </row>
    <row r="29" spans="1:6" ht="15.75">
      <c r="A29" s="2" t="s">
        <v>20</v>
      </c>
      <c r="F29" s="20">
        <f>D46</f>
        <v>66313931.79</v>
      </c>
    </row>
    <row r="30" ht="15.75">
      <c r="F30" s="20"/>
    </row>
    <row r="31" spans="5:6" ht="15.75">
      <c r="E31" s="21" t="s">
        <v>21</v>
      </c>
      <c r="F31" s="22" t="s">
        <v>22</v>
      </c>
    </row>
    <row r="32" spans="1:6" ht="15.75">
      <c r="A32" s="2" t="s">
        <v>41</v>
      </c>
      <c r="E32" s="56">
        <f>+'Dec 05'!E32+E33</f>
        <v>95</v>
      </c>
      <c r="F32" s="57">
        <f>+'Dec 05'!F32+F33</f>
        <v>4316830.109999999</v>
      </c>
    </row>
    <row r="33" spans="1:6" ht="15.75">
      <c r="A33" s="2" t="s">
        <v>9</v>
      </c>
      <c r="E33" s="56">
        <v>0</v>
      </c>
      <c r="F33" s="57">
        <v>0</v>
      </c>
    </row>
    <row r="34" spans="1:6" ht="15.75">
      <c r="A34" s="2" t="s">
        <v>42</v>
      </c>
      <c r="E34" s="21">
        <f>+'Dec 05'!E34</f>
        <v>2530</v>
      </c>
      <c r="F34" s="22">
        <f>+'Dec 05'!F34</f>
        <v>204766491.04</v>
      </c>
    </row>
    <row r="35" spans="5:6" ht="15.75">
      <c r="E35" s="21"/>
      <c r="F35" s="22"/>
    </row>
    <row r="36" spans="1:6" ht="15.75">
      <c r="A36" s="2" t="s">
        <v>50</v>
      </c>
      <c r="E36" s="23"/>
      <c r="F36" s="58">
        <f>((2270493+829950-652034)/68762314.05)*12</f>
        <v>0.4272821298398407</v>
      </c>
    </row>
    <row r="37" spans="5:6" ht="15.75">
      <c r="E37" s="23"/>
      <c r="F37" s="20"/>
    </row>
    <row r="38" spans="1:6" ht="15.75">
      <c r="A38" s="2" t="s">
        <v>43</v>
      </c>
      <c r="F38" s="20"/>
    </row>
    <row r="39" spans="1:6" s="47" customFormat="1" ht="47.25">
      <c r="A39" s="41" t="s">
        <v>10</v>
      </c>
      <c r="B39" s="48"/>
      <c r="C39" s="42"/>
      <c r="D39" s="49" t="s">
        <v>11</v>
      </c>
      <c r="E39" s="50" t="s">
        <v>12</v>
      </c>
      <c r="F39" s="51"/>
    </row>
    <row r="40" spans="1:8" ht="15.75">
      <c r="A40" s="6" t="s">
        <v>13</v>
      </c>
      <c r="B40" s="25"/>
      <c r="C40" s="7"/>
      <c r="D40" s="59">
        <v>64238433.57</v>
      </c>
      <c r="E40" s="60">
        <v>1314</v>
      </c>
      <c r="F40" s="28"/>
      <c r="H40" s="20"/>
    </row>
    <row r="41" spans="1:6" ht="15.75">
      <c r="A41" s="29" t="s">
        <v>44</v>
      </c>
      <c r="B41" s="5"/>
      <c r="C41" s="12"/>
      <c r="D41" s="61">
        <v>850882.23</v>
      </c>
      <c r="E41" s="62">
        <v>11</v>
      </c>
      <c r="F41" s="28"/>
    </row>
    <row r="42" spans="1:6" ht="15.75">
      <c r="A42" s="29" t="s">
        <v>45</v>
      </c>
      <c r="B42" s="5"/>
      <c r="C42" s="12"/>
      <c r="D42" s="61">
        <v>597471.24</v>
      </c>
      <c r="E42" s="62">
        <v>9</v>
      </c>
      <c r="F42" s="28" t="s">
        <v>51</v>
      </c>
    </row>
    <row r="43" spans="1:8" ht="15.75">
      <c r="A43" s="11" t="s">
        <v>46</v>
      </c>
      <c r="B43" s="5"/>
      <c r="C43" s="12"/>
      <c r="D43" s="61">
        <f>2240.5+165876.28+45794.73+4477.86</f>
        <v>218389.37</v>
      </c>
      <c r="E43" s="62">
        <v>7</v>
      </c>
      <c r="F43" s="28"/>
      <c r="H43" s="20"/>
    </row>
    <row r="44" spans="1:6" ht="15.75">
      <c r="A44" s="11" t="s">
        <v>30</v>
      </c>
      <c r="B44" s="5"/>
      <c r="C44" s="12"/>
      <c r="D44" s="61">
        <v>408755.38</v>
      </c>
      <c r="E44" s="62">
        <v>5</v>
      </c>
      <c r="F44" s="28"/>
    </row>
    <row r="45" spans="1:8" ht="15.75">
      <c r="A45" s="11" t="s">
        <v>47</v>
      </c>
      <c r="B45" s="5"/>
      <c r="C45" s="12"/>
      <c r="D45" s="63">
        <v>0</v>
      </c>
      <c r="E45" s="64">
        <v>0</v>
      </c>
      <c r="F45" s="28"/>
      <c r="H45" s="20"/>
    </row>
    <row r="46" spans="1:6" ht="15.75">
      <c r="A46" s="17"/>
      <c r="B46" s="34"/>
      <c r="C46" s="18"/>
      <c r="D46" s="35">
        <f>SUM(D40:D45)</f>
        <v>66313931.79</v>
      </c>
      <c r="E46" s="33">
        <f>SUM(E40:E45)</f>
        <v>1346</v>
      </c>
      <c r="F46" s="28"/>
    </row>
    <row r="47" ht="15.75">
      <c r="F47" s="20"/>
    </row>
    <row r="48" spans="1:6" ht="15.75">
      <c r="A48" s="36" t="s">
        <v>48</v>
      </c>
      <c r="E48" s="21" t="s">
        <v>29</v>
      </c>
      <c r="F48" s="21" t="s">
        <v>22</v>
      </c>
    </row>
    <row r="49" spans="5:6" ht="15.75">
      <c r="E49" s="21"/>
      <c r="F49" s="22"/>
    </row>
    <row r="50" spans="1:6" ht="15.75">
      <c r="A50" s="37" t="s">
        <v>23</v>
      </c>
      <c r="E50" s="21">
        <v>0</v>
      </c>
      <c r="F50" s="22">
        <v>0</v>
      </c>
    </row>
    <row r="51" spans="1:6" ht="15.75">
      <c r="A51" s="36" t="s">
        <v>24</v>
      </c>
      <c r="E51" s="21">
        <v>0</v>
      </c>
      <c r="F51" s="22">
        <v>0</v>
      </c>
    </row>
    <row r="52" spans="1:6" ht="15.75">
      <c r="A52" s="2" t="s">
        <v>14</v>
      </c>
      <c r="E52" s="21">
        <v>0</v>
      </c>
      <c r="F52" s="22">
        <v>0</v>
      </c>
    </row>
    <row r="53" spans="1:6" ht="15.75">
      <c r="A53" s="36" t="s">
        <v>25</v>
      </c>
      <c r="E53" s="21"/>
      <c r="F53" s="22">
        <f>F50-F54-F51-F52</f>
        <v>0</v>
      </c>
    </row>
    <row r="54" spans="1:6" ht="15.75">
      <c r="A54" s="2" t="s">
        <v>26</v>
      </c>
      <c r="E54" s="21"/>
      <c r="F54" s="38">
        <v>0</v>
      </c>
    </row>
    <row r="55" spans="5:6" ht="15.75">
      <c r="E55" s="21"/>
      <c r="F55" s="22"/>
    </row>
    <row r="56" spans="1:6" ht="15.75">
      <c r="A56" s="2" t="s">
        <v>27</v>
      </c>
      <c r="E56" s="21"/>
      <c r="F56" s="39">
        <v>0</v>
      </c>
    </row>
    <row r="57" spans="1:6" ht="15.75">
      <c r="A57" s="2" t="s">
        <v>15</v>
      </c>
      <c r="E57" s="21"/>
      <c r="F57" s="22">
        <v>0</v>
      </c>
    </row>
    <row r="58" spans="5:6" ht="15.75">
      <c r="E58" s="21"/>
      <c r="F58" s="22"/>
    </row>
    <row r="59" spans="1:6" ht="15.75">
      <c r="A59" s="2" t="s">
        <v>28</v>
      </c>
      <c r="E59" s="21"/>
      <c r="F59" s="39">
        <v>0</v>
      </c>
    </row>
    <row r="60" spans="1:6" ht="15.75">
      <c r="A60" s="2" t="s">
        <v>49</v>
      </c>
      <c r="E60" s="21"/>
      <c r="F60" s="40">
        <v>0</v>
      </c>
    </row>
    <row r="61" spans="5:6" ht="15.75">
      <c r="E61" s="21"/>
      <c r="F61" s="22"/>
    </row>
    <row r="62" ht="15.75">
      <c r="F62" s="20"/>
    </row>
    <row r="63" ht="15.75">
      <c r="F63" s="20"/>
    </row>
    <row r="64" ht="15.75">
      <c r="F64" s="20"/>
    </row>
    <row r="65" spans="1:6" ht="15.75">
      <c r="A65" s="25" t="s">
        <v>16</v>
      </c>
      <c r="B65" s="25"/>
      <c r="C65" s="25"/>
      <c r="F65" s="20"/>
    </row>
    <row r="66" ht="15.75">
      <c r="A66" s="2" t="s">
        <v>54</v>
      </c>
    </row>
  </sheetData>
  <printOptions/>
  <pageMargins left="0.75" right="0.75" top="1" bottom="1" header="0.5" footer="0.5"/>
  <pageSetup horizontalDpi="600" verticalDpi="600" orientation="portrait" paperSize="9" scale="87" r:id="rId2"/>
  <rowBreaks count="1" manualBreakCount="1">
    <brk id="46" max="6" man="1"/>
  </rowBreaks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66"/>
  <sheetViews>
    <sheetView workbookViewId="0" topLeftCell="A1">
      <selection activeCell="A1" sqref="A1"/>
    </sheetView>
  </sheetViews>
  <sheetFormatPr defaultColWidth="9.00390625" defaultRowHeight="15.75"/>
  <cols>
    <col min="1" max="1" width="9.00390625" style="2" customWidth="1"/>
    <col min="2" max="2" width="7.625" style="2" customWidth="1"/>
    <col min="3" max="3" width="11.875" style="2" customWidth="1"/>
    <col min="4" max="5" width="15.625" style="2" customWidth="1"/>
    <col min="6" max="6" width="12.375" style="2" customWidth="1"/>
    <col min="7" max="7" width="11.75390625" style="2" customWidth="1"/>
    <col min="8" max="16384" width="9.00390625" style="2" customWidth="1"/>
  </cols>
  <sheetData>
    <row r="1" spans="1:3" ht="18.75">
      <c r="A1" s="1"/>
      <c r="B1" s="1"/>
      <c r="C1" s="1" t="s">
        <v>33</v>
      </c>
    </row>
    <row r="2" ht="15.75"/>
    <row r="4" spans="1:5" ht="15.75">
      <c r="A4" s="2" t="s">
        <v>0</v>
      </c>
      <c r="D4" s="52">
        <v>38748</v>
      </c>
      <c r="E4" s="3"/>
    </row>
    <row r="5" spans="1:5" ht="15.75">
      <c r="A5" s="2" t="s">
        <v>17</v>
      </c>
      <c r="D5" s="53">
        <v>0.0459375</v>
      </c>
      <c r="E5" s="3"/>
    </row>
    <row r="7" ht="15.75">
      <c r="A7" s="2" t="s">
        <v>1</v>
      </c>
    </row>
    <row r="8" spans="1:7" s="47" customFormat="1" ht="31.5">
      <c r="A8" s="41" t="s">
        <v>2</v>
      </c>
      <c r="B8" s="42"/>
      <c r="C8" s="43" t="s">
        <v>31</v>
      </c>
      <c r="D8" s="44" t="s">
        <v>3</v>
      </c>
      <c r="E8" s="44" t="s">
        <v>32</v>
      </c>
      <c r="F8" s="44" t="s">
        <v>18</v>
      </c>
      <c r="G8" s="45" t="s">
        <v>4</v>
      </c>
    </row>
    <row r="9" spans="1:7" ht="15.75">
      <c r="A9" s="6" t="s">
        <v>34</v>
      </c>
      <c r="B9" s="7"/>
      <c r="C9" s="8">
        <v>31</v>
      </c>
      <c r="D9" s="54">
        <v>39822437</v>
      </c>
      <c r="E9" s="54">
        <v>2491507</v>
      </c>
      <c r="F9" s="54">
        <v>184478.4</v>
      </c>
      <c r="G9" s="10">
        <f>+D9/276000000</f>
        <v>0.14428419202898551</v>
      </c>
    </row>
    <row r="10" spans="1:7" ht="15.75">
      <c r="A10" s="11" t="s">
        <v>5</v>
      </c>
      <c r="B10" s="12"/>
      <c r="C10" s="13">
        <v>85</v>
      </c>
      <c r="D10" s="14">
        <v>24000000</v>
      </c>
      <c r="E10" s="15">
        <v>0</v>
      </c>
      <c r="F10" s="55">
        <v>115989.6</v>
      </c>
      <c r="G10" s="16">
        <f>+D10/24000000</f>
        <v>1</v>
      </c>
    </row>
    <row r="11" spans="1:7" ht="15.75">
      <c r="A11" s="17"/>
      <c r="B11" s="18"/>
      <c r="C11" s="18"/>
      <c r="D11" s="15">
        <f>SUM(D9:D10)</f>
        <v>63822437</v>
      </c>
      <c r="E11" s="15">
        <f>SUM(E9:E10)</f>
        <v>2491507</v>
      </c>
      <c r="F11" s="15">
        <f>SUM(F9:F10)</f>
        <v>300468</v>
      </c>
      <c r="G11" s="19"/>
    </row>
    <row r="13" spans="1:6" ht="15.75">
      <c r="A13" s="2" t="s">
        <v>35</v>
      </c>
      <c r="F13" s="20">
        <v>9000000</v>
      </c>
    </row>
    <row r="14" spans="1:6" ht="15.75">
      <c r="A14" s="2" t="s">
        <v>6</v>
      </c>
      <c r="F14" s="20">
        <v>0</v>
      </c>
    </row>
    <row r="15" ht="15.75">
      <c r="F15" s="20"/>
    </row>
    <row r="16" spans="1:6" ht="15.75">
      <c r="A16" s="2" t="s">
        <v>7</v>
      </c>
      <c r="F16" s="20">
        <v>6000000</v>
      </c>
    </row>
    <row r="17" spans="1:6" ht="15.75">
      <c r="A17" s="2" t="s">
        <v>52</v>
      </c>
      <c r="F17" s="20">
        <v>0</v>
      </c>
    </row>
    <row r="18" spans="1:6" ht="15.75">
      <c r="A18" s="2" t="s">
        <v>36</v>
      </c>
      <c r="F18" s="20">
        <v>6000000</v>
      </c>
    </row>
    <row r="19" ht="15.75">
      <c r="F19" s="20"/>
    </row>
    <row r="20" spans="1:6" ht="15.75">
      <c r="A20" s="2" t="s">
        <v>37</v>
      </c>
      <c r="F20" s="20">
        <v>500000</v>
      </c>
    </row>
    <row r="21" spans="1:6" ht="15.75">
      <c r="A21" s="2" t="s">
        <v>38</v>
      </c>
      <c r="F21" s="20">
        <v>0</v>
      </c>
    </row>
    <row r="22" spans="1:6" ht="15.75">
      <c r="A22" s="2" t="s">
        <v>39</v>
      </c>
      <c r="F22" s="20">
        <v>500000</v>
      </c>
    </row>
    <row r="23" ht="15.75">
      <c r="F23" s="20"/>
    </row>
    <row r="24" spans="1:6" ht="15.75">
      <c r="A24" s="2" t="s">
        <v>8</v>
      </c>
      <c r="F24" s="20">
        <v>0</v>
      </c>
    </row>
    <row r="25" spans="1:6" ht="15.75">
      <c r="A25" s="2" t="s">
        <v>19</v>
      </c>
      <c r="F25" s="20">
        <v>0</v>
      </c>
    </row>
    <row r="26" ht="15.75">
      <c r="F26" s="20"/>
    </row>
    <row r="27" spans="1:6" ht="15.75">
      <c r="A27" s="2" t="s">
        <v>40</v>
      </c>
      <c r="F27" s="65">
        <v>55295</v>
      </c>
    </row>
    <row r="28" spans="1:6" ht="15.75">
      <c r="A28" s="2" t="s">
        <v>53</v>
      </c>
      <c r="F28" s="20">
        <v>0</v>
      </c>
    </row>
    <row r="29" spans="1:6" ht="15.75">
      <c r="A29" s="2" t="s">
        <v>20</v>
      </c>
      <c r="F29" s="20">
        <f>D46</f>
        <v>63822415.029999994</v>
      </c>
    </row>
    <row r="30" ht="15.75">
      <c r="F30" s="20"/>
    </row>
    <row r="31" spans="5:6" ht="15.75">
      <c r="E31" s="21" t="s">
        <v>21</v>
      </c>
      <c r="F31" s="22" t="s">
        <v>22</v>
      </c>
    </row>
    <row r="32" spans="1:6" ht="15.75">
      <c r="A32" s="2" t="s">
        <v>41</v>
      </c>
      <c r="E32" s="56">
        <f>+'Jan 06'!E32+E33</f>
        <v>95</v>
      </c>
      <c r="F32" s="57">
        <f>+'Jan 06'!F32+F33</f>
        <v>4316830.109999999</v>
      </c>
    </row>
    <row r="33" spans="1:6" ht="15.75">
      <c r="A33" s="2" t="s">
        <v>9</v>
      </c>
      <c r="E33" s="56">
        <v>0</v>
      </c>
      <c r="F33" s="57">
        <v>0</v>
      </c>
    </row>
    <row r="34" spans="1:6" ht="15.75">
      <c r="A34" s="2" t="s">
        <v>42</v>
      </c>
      <c r="E34" s="21">
        <f>+'Jan 06'!E34</f>
        <v>2530</v>
      </c>
      <c r="F34" s="22">
        <f>+'Jan 06'!F34</f>
        <v>204766491.04</v>
      </c>
    </row>
    <row r="35" spans="5:6" ht="15.75">
      <c r="E35" s="21"/>
      <c r="F35" s="22"/>
    </row>
    <row r="36" spans="1:6" ht="15.75">
      <c r="A36" s="2" t="s">
        <v>50</v>
      </c>
      <c r="E36" s="23"/>
      <c r="F36" s="58">
        <f>((2333642+979992.87-822105.83)/66313932)*12</f>
        <v>0.45086074039464286</v>
      </c>
    </row>
    <row r="37" spans="5:6" ht="15.75">
      <c r="E37" s="23"/>
      <c r="F37" s="20"/>
    </row>
    <row r="38" spans="1:6" ht="15.75">
      <c r="A38" s="2" t="s">
        <v>43</v>
      </c>
      <c r="F38" s="20"/>
    </row>
    <row r="39" spans="1:6" s="47" customFormat="1" ht="47.25">
      <c r="A39" s="41" t="s">
        <v>10</v>
      </c>
      <c r="B39" s="48"/>
      <c r="C39" s="42"/>
      <c r="D39" s="49" t="s">
        <v>11</v>
      </c>
      <c r="E39" s="50" t="s">
        <v>12</v>
      </c>
      <c r="F39" s="51"/>
    </row>
    <row r="40" spans="1:8" ht="15.75">
      <c r="A40" s="6" t="s">
        <v>13</v>
      </c>
      <c r="B40" s="25"/>
      <c r="C40" s="7"/>
      <c r="D40" s="59">
        <v>61183479.15</v>
      </c>
      <c r="E40" s="60">
        <v>1276</v>
      </c>
      <c r="F40" s="28"/>
      <c r="H40" s="20"/>
    </row>
    <row r="41" spans="1:6" ht="15.75">
      <c r="A41" s="29" t="s">
        <v>44</v>
      </c>
      <c r="B41" s="5"/>
      <c r="C41" s="12"/>
      <c r="D41" s="61">
        <v>1310468.37</v>
      </c>
      <c r="E41" s="62">
        <v>14</v>
      </c>
      <c r="F41" s="28"/>
    </row>
    <row r="42" spans="1:6" ht="15.75">
      <c r="A42" s="29" t="s">
        <v>45</v>
      </c>
      <c r="B42" s="5"/>
      <c r="C42" s="12"/>
      <c r="D42" s="61">
        <v>533096.61</v>
      </c>
      <c r="E42" s="62">
        <v>7</v>
      </c>
      <c r="F42" s="28" t="s">
        <v>51</v>
      </c>
    </row>
    <row r="43" spans="1:8" ht="15.75">
      <c r="A43" s="11" t="s">
        <v>46</v>
      </c>
      <c r="B43" s="5"/>
      <c r="C43" s="12"/>
      <c r="D43" s="61">
        <f>282363.93+165899.58+45574.61+31704.48+4641.01</f>
        <v>530183.61</v>
      </c>
      <c r="E43" s="62">
        <f>4+2+2+1+2</f>
        <v>11</v>
      </c>
      <c r="F43" s="28"/>
      <c r="H43" s="20"/>
    </row>
    <row r="44" spans="1:6" ht="15.75">
      <c r="A44" s="11" t="s">
        <v>30</v>
      </c>
      <c r="B44" s="5"/>
      <c r="C44" s="12"/>
      <c r="D44" s="61">
        <v>265187.29</v>
      </c>
      <c r="E44" s="62">
        <v>3</v>
      </c>
      <c r="F44" s="28"/>
    </row>
    <row r="45" spans="1:8" ht="15.75">
      <c r="A45" s="11" t="s">
        <v>47</v>
      </c>
      <c r="B45" s="5"/>
      <c r="C45" s="12"/>
      <c r="D45" s="63">
        <v>0</v>
      </c>
      <c r="E45" s="64">
        <v>0</v>
      </c>
      <c r="F45" s="28"/>
      <c r="H45" s="20"/>
    </row>
    <row r="46" spans="1:6" ht="15.75">
      <c r="A46" s="17"/>
      <c r="B46" s="34"/>
      <c r="C46" s="18"/>
      <c r="D46" s="35">
        <f>SUM(D40:D45)</f>
        <v>63822415.029999994</v>
      </c>
      <c r="E46" s="33">
        <f>SUM(E40:E45)</f>
        <v>1311</v>
      </c>
      <c r="F46" s="28"/>
    </row>
    <row r="47" ht="15.75">
      <c r="F47" s="20"/>
    </row>
    <row r="48" spans="1:6" ht="15.75">
      <c r="A48" s="36" t="s">
        <v>48</v>
      </c>
      <c r="E48" s="21" t="s">
        <v>29</v>
      </c>
      <c r="F48" s="21" t="s">
        <v>22</v>
      </c>
    </row>
    <row r="49" spans="5:6" ht="15.75">
      <c r="E49" s="21"/>
      <c r="F49" s="22"/>
    </row>
    <row r="50" spans="1:6" ht="15.75">
      <c r="A50" s="37" t="s">
        <v>23</v>
      </c>
      <c r="E50" s="21">
        <v>0</v>
      </c>
      <c r="F50" s="22">
        <v>0</v>
      </c>
    </row>
    <row r="51" spans="1:6" ht="15.75">
      <c r="A51" s="36" t="s">
        <v>24</v>
      </c>
      <c r="E51" s="21">
        <v>0</v>
      </c>
      <c r="F51" s="22">
        <v>0</v>
      </c>
    </row>
    <row r="52" spans="1:6" ht="15.75">
      <c r="A52" s="2" t="s">
        <v>14</v>
      </c>
      <c r="E52" s="21">
        <v>0</v>
      </c>
      <c r="F52" s="22">
        <v>0</v>
      </c>
    </row>
    <row r="53" spans="1:6" ht="15.75">
      <c r="A53" s="36" t="s">
        <v>25</v>
      </c>
      <c r="E53" s="21"/>
      <c r="F53" s="22">
        <f>F50-F54-F51-F52</f>
        <v>0</v>
      </c>
    </row>
    <row r="54" spans="1:6" ht="15.75">
      <c r="A54" s="2" t="s">
        <v>26</v>
      </c>
      <c r="E54" s="21"/>
      <c r="F54" s="38">
        <v>0</v>
      </c>
    </row>
    <row r="55" spans="5:6" ht="15.75">
      <c r="E55" s="21"/>
      <c r="F55" s="22"/>
    </row>
    <row r="56" spans="1:6" ht="15.75">
      <c r="A56" s="2" t="s">
        <v>27</v>
      </c>
      <c r="E56" s="21"/>
      <c r="F56" s="39">
        <v>0</v>
      </c>
    </row>
    <row r="57" spans="1:6" ht="15.75">
      <c r="A57" s="2" t="s">
        <v>15</v>
      </c>
      <c r="E57" s="21"/>
      <c r="F57" s="22">
        <v>0</v>
      </c>
    </row>
    <row r="58" spans="5:6" ht="15.75">
      <c r="E58" s="21"/>
      <c r="F58" s="22"/>
    </row>
    <row r="59" spans="1:6" ht="15.75">
      <c r="A59" s="2" t="s">
        <v>28</v>
      </c>
      <c r="E59" s="21"/>
      <c r="F59" s="39">
        <v>0</v>
      </c>
    </row>
    <row r="60" spans="1:6" ht="15.75">
      <c r="A60" s="2" t="s">
        <v>49</v>
      </c>
      <c r="E60" s="21"/>
      <c r="F60" s="40">
        <v>0</v>
      </c>
    </row>
    <row r="61" spans="5:6" ht="15.75">
      <c r="E61" s="21"/>
      <c r="F61" s="22"/>
    </row>
    <row r="62" ht="15.75">
      <c r="F62" s="20"/>
    </row>
    <row r="63" ht="15.75">
      <c r="F63" s="20"/>
    </row>
    <row r="64" ht="15.75">
      <c r="F64" s="20"/>
    </row>
    <row r="65" spans="1:6" ht="15.75">
      <c r="A65" s="25" t="s">
        <v>16</v>
      </c>
      <c r="B65" s="25"/>
      <c r="C65" s="25"/>
      <c r="F65" s="20"/>
    </row>
    <row r="66" ht="15.75">
      <c r="A66" s="2" t="s">
        <v>54</v>
      </c>
    </row>
  </sheetData>
  <printOptions/>
  <pageMargins left="0.75" right="0.75" top="1" bottom="1" header="0.5" footer="0.5"/>
  <pageSetup horizontalDpi="600" verticalDpi="600" orientation="portrait" paperSize="9" scale="87" r:id="rId2"/>
  <rowBreaks count="1" manualBreakCount="1">
    <brk id="47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workbookViewId="0" topLeftCell="A1">
      <selection activeCell="A1" sqref="A1"/>
    </sheetView>
  </sheetViews>
  <sheetFormatPr defaultColWidth="9.00390625" defaultRowHeight="15.75"/>
  <cols>
    <col min="1" max="1" width="9.00390625" style="2" customWidth="1"/>
    <col min="2" max="2" width="7.375" style="2" customWidth="1"/>
    <col min="3" max="3" width="11.875" style="2" customWidth="1"/>
    <col min="4" max="5" width="15.625" style="2" customWidth="1"/>
    <col min="6" max="6" width="12.375" style="2" customWidth="1"/>
    <col min="7" max="7" width="11.75390625" style="2" customWidth="1"/>
    <col min="8" max="16384" width="9.00390625" style="2" customWidth="1"/>
  </cols>
  <sheetData>
    <row r="1" spans="1:3" ht="18.75">
      <c r="A1" s="1"/>
      <c r="C1" s="1" t="s">
        <v>33</v>
      </c>
    </row>
    <row r="2" ht="15.75"/>
    <row r="4" spans="1:5" ht="15.75">
      <c r="A4" s="2" t="s">
        <v>0</v>
      </c>
      <c r="D4" s="3">
        <v>37953</v>
      </c>
      <c r="E4" s="3"/>
    </row>
    <row r="5" spans="1:8" ht="15.75">
      <c r="A5" s="2" t="s">
        <v>17</v>
      </c>
      <c r="D5" s="4">
        <v>0.0380594</v>
      </c>
      <c r="E5" s="3"/>
      <c r="H5" s="5"/>
    </row>
    <row r="6" ht="15.75">
      <c r="H6" s="5"/>
    </row>
    <row r="7" spans="1:8" ht="15.75">
      <c r="A7" s="2" t="s">
        <v>1</v>
      </c>
      <c r="H7" s="5"/>
    </row>
    <row r="8" spans="1:8" s="47" customFormat="1" ht="31.5">
      <c r="A8" s="41" t="s">
        <v>2</v>
      </c>
      <c r="B8" s="42"/>
      <c r="C8" s="43" t="s">
        <v>31</v>
      </c>
      <c r="D8" s="44" t="s">
        <v>3</v>
      </c>
      <c r="E8" s="44" t="s">
        <v>32</v>
      </c>
      <c r="F8" s="44" t="s">
        <v>18</v>
      </c>
      <c r="G8" s="45" t="s">
        <v>4</v>
      </c>
      <c r="H8" s="46"/>
    </row>
    <row r="9" spans="1:8" ht="15.75">
      <c r="A9" s="6" t="s">
        <v>34</v>
      </c>
      <c r="B9" s="7"/>
      <c r="C9" s="8">
        <v>31</v>
      </c>
      <c r="D9" s="9">
        <v>153803014.8</v>
      </c>
      <c r="E9" s="9">
        <v>4781396.4</v>
      </c>
      <c r="F9" s="9">
        <v>493460.4</v>
      </c>
      <c r="G9" s="10">
        <f>+D9/276000000</f>
        <v>0.5572573000000001</v>
      </c>
      <c r="H9" s="5"/>
    </row>
    <row r="10" spans="1:8" ht="15.75">
      <c r="A10" s="11" t="s">
        <v>5</v>
      </c>
      <c r="B10" s="12"/>
      <c r="C10" s="13">
        <v>85</v>
      </c>
      <c r="D10" s="14">
        <v>24000000</v>
      </c>
      <c r="E10" s="15">
        <v>0</v>
      </c>
      <c r="F10" s="15">
        <v>84621.6</v>
      </c>
      <c r="G10" s="16">
        <f>+D10/24000000</f>
        <v>1</v>
      </c>
      <c r="H10" s="5"/>
    </row>
    <row r="11" spans="1:8" ht="15.75">
      <c r="A11" s="17"/>
      <c r="B11" s="18"/>
      <c r="C11" s="18"/>
      <c r="D11" s="15">
        <f>SUM(D9:D10)</f>
        <v>177803014.8</v>
      </c>
      <c r="E11" s="15">
        <f>SUM(E9:E10)</f>
        <v>4781396.4</v>
      </c>
      <c r="F11" s="15">
        <f>SUM(F9:F10)</f>
        <v>578082</v>
      </c>
      <c r="G11" s="19"/>
      <c r="H11" s="5"/>
    </row>
    <row r="12" ht="15.75">
      <c r="H12" s="5"/>
    </row>
    <row r="13" spans="1:6" ht="15.75">
      <c r="A13" s="2" t="s">
        <v>35</v>
      </c>
      <c r="F13" s="20">
        <v>45000000</v>
      </c>
    </row>
    <row r="14" spans="1:6" ht="15.75">
      <c r="A14" s="2" t="s">
        <v>6</v>
      </c>
      <c r="F14" s="20">
        <v>0</v>
      </c>
    </row>
    <row r="15" ht="15.75">
      <c r="F15" s="20"/>
    </row>
    <row r="16" spans="1:6" ht="15.75">
      <c r="A16" s="2" t="s">
        <v>7</v>
      </c>
      <c r="F16" s="20">
        <v>6000000</v>
      </c>
    </row>
    <row r="17" spans="1:6" ht="15.75">
      <c r="A17" s="2" t="s">
        <v>52</v>
      </c>
      <c r="F17" s="20">
        <v>0</v>
      </c>
    </row>
    <row r="18" spans="1:6" ht="15.75">
      <c r="A18" s="2" t="s">
        <v>36</v>
      </c>
      <c r="F18" s="20">
        <v>6000000</v>
      </c>
    </row>
    <row r="19" ht="15.75">
      <c r="F19" s="20"/>
    </row>
    <row r="20" spans="1:6" ht="15.75">
      <c r="A20" s="2" t="s">
        <v>37</v>
      </c>
      <c r="F20" s="20">
        <v>500000</v>
      </c>
    </row>
    <row r="21" spans="1:6" ht="15.75">
      <c r="A21" s="2" t="s">
        <v>38</v>
      </c>
      <c r="F21" s="20">
        <v>0</v>
      </c>
    </row>
    <row r="22" spans="1:6" ht="15.75">
      <c r="A22" s="2" t="s">
        <v>39</v>
      </c>
      <c r="F22" s="20">
        <v>500000</v>
      </c>
    </row>
    <row r="23" ht="15.75">
      <c r="F23" s="20"/>
    </row>
    <row r="24" spans="1:6" ht="15.75">
      <c r="A24" s="2" t="s">
        <v>8</v>
      </c>
      <c r="F24" s="20">
        <v>0</v>
      </c>
    </row>
    <row r="25" spans="1:6" ht="15.75">
      <c r="A25" s="2" t="s">
        <v>19</v>
      </c>
      <c r="F25" s="20">
        <v>0</v>
      </c>
    </row>
    <row r="26" ht="15.75">
      <c r="F26" s="20"/>
    </row>
    <row r="27" spans="1:6" ht="15.75">
      <c r="A27" s="2" t="s">
        <v>40</v>
      </c>
      <c r="F27" s="20">
        <v>161454.66</v>
      </c>
    </row>
    <row r="28" spans="1:6" ht="15.75">
      <c r="A28" s="2" t="s">
        <v>53</v>
      </c>
      <c r="F28" s="20">
        <v>0</v>
      </c>
    </row>
    <row r="29" spans="1:6" ht="15.75">
      <c r="A29" s="2" t="s">
        <v>20</v>
      </c>
      <c r="F29" s="20">
        <f>D46</f>
        <v>173334305</v>
      </c>
    </row>
    <row r="30" ht="15.75">
      <c r="F30" s="20"/>
    </row>
    <row r="31" spans="5:6" ht="15.75">
      <c r="E31" s="21" t="s">
        <v>21</v>
      </c>
      <c r="F31" s="22" t="s">
        <v>22</v>
      </c>
    </row>
    <row r="32" spans="1:6" ht="15.75">
      <c r="A32" s="2" t="s">
        <v>41</v>
      </c>
      <c r="E32" s="21">
        <f>46</f>
        <v>46</v>
      </c>
      <c r="F32" s="22">
        <f>811190+65000+35000+59900+25000+30000+3000+2645813+20000+10000</f>
        <v>3704903</v>
      </c>
    </row>
    <row r="33" spans="1:6" ht="15.75">
      <c r="A33" s="2" t="s">
        <v>9</v>
      </c>
      <c r="E33" s="21">
        <v>0</v>
      </c>
      <c r="F33" s="22">
        <v>0</v>
      </c>
    </row>
    <row r="34" spans="1:6" ht="15.75">
      <c r="A34" s="2" t="s">
        <v>42</v>
      </c>
      <c r="E34" s="21">
        <f>861+44+88+59+95+77+116+82+134+73+113+31+115+83+98+36+42+29+106+54+81+113</f>
        <v>2530</v>
      </c>
      <c r="F34" s="22">
        <f>68606382+5894897.05+5544682.87+5709643+7641954+6749512.84+9802062+8604525+8201934.38+6644331.5+7905047+5727719.86+7143832.27+5703968.66+8164011+3279857.62+3708819+2645813+7667212+4699330.91+7405272.82+7315682.26</f>
        <v>204766491.04</v>
      </c>
    </row>
    <row r="35" spans="5:6" ht="15.75">
      <c r="E35" s="21"/>
      <c r="F35" s="22"/>
    </row>
    <row r="36" spans="1:6" ht="15.75">
      <c r="A36" s="2" t="s">
        <v>50</v>
      </c>
      <c r="E36" s="23"/>
      <c r="F36" s="24">
        <v>0.3042</v>
      </c>
    </row>
    <row r="37" spans="5:6" ht="15.75">
      <c r="E37" s="23"/>
      <c r="F37" s="20"/>
    </row>
    <row r="38" spans="1:6" ht="15.75">
      <c r="A38" s="2" t="s">
        <v>43</v>
      </c>
      <c r="F38" s="20"/>
    </row>
    <row r="39" spans="1:6" s="47" customFormat="1" ht="47.25">
      <c r="A39" s="41" t="s">
        <v>10</v>
      </c>
      <c r="B39" s="48"/>
      <c r="C39" s="42"/>
      <c r="D39" s="49" t="s">
        <v>11</v>
      </c>
      <c r="E39" s="50" t="s">
        <v>12</v>
      </c>
      <c r="F39" s="51"/>
    </row>
    <row r="40" spans="1:6" ht="15.75">
      <c r="A40" s="6" t="s">
        <v>13</v>
      </c>
      <c r="B40" s="25"/>
      <c r="C40" s="7"/>
      <c r="D40" s="26">
        <f>171869412-125173</f>
        <v>171744239</v>
      </c>
      <c r="E40" s="27">
        <v>2908</v>
      </c>
      <c r="F40" s="28"/>
    </row>
    <row r="41" spans="1:6" ht="15.75">
      <c r="A41" s="29" t="s">
        <v>44</v>
      </c>
      <c r="B41" s="5"/>
      <c r="C41" s="12"/>
      <c r="D41" s="30">
        <v>743826</v>
      </c>
      <c r="E41" s="31">
        <v>6</v>
      </c>
      <c r="F41" s="28"/>
    </row>
    <row r="42" spans="1:6" ht="15.75">
      <c r="A42" s="29" t="s">
        <v>45</v>
      </c>
      <c r="B42" s="5"/>
      <c r="C42" s="12"/>
      <c r="D42" s="30">
        <v>62588</v>
      </c>
      <c r="E42" s="31">
        <v>2</v>
      </c>
      <c r="F42" s="28" t="s">
        <v>51</v>
      </c>
    </row>
    <row r="43" spans="1:6" ht="15.75">
      <c r="A43" s="11" t="s">
        <v>46</v>
      </c>
      <c r="B43" s="5"/>
      <c r="C43" s="12"/>
      <c r="D43" s="30">
        <f>372952+143443</f>
        <v>516395</v>
      </c>
      <c r="E43" s="31">
        <f>5+2</f>
        <v>7</v>
      </c>
      <c r="F43" s="28"/>
    </row>
    <row r="44" spans="1:6" ht="15.75">
      <c r="A44" s="11" t="s">
        <v>30</v>
      </c>
      <c r="B44" s="5"/>
      <c r="C44" s="12"/>
      <c r="D44" s="30">
        <v>210762</v>
      </c>
      <c r="E44" s="31">
        <v>3</v>
      </c>
      <c r="F44" s="28"/>
    </row>
    <row r="45" spans="1:6" ht="15.75">
      <c r="A45" s="11" t="s">
        <v>47</v>
      </c>
      <c r="B45" s="5"/>
      <c r="C45" s="12"/>
      <c r="D45" s="32">
        <v>56495</v>
      </c>
      <c r="E45" s="33">
        <v>1</v>
      </c>
      <c r="F45" s="28"/>
    </row>
    <row r="46" spans="1:6" ht="15.75">
      <c r="A46" s="17"/>
      <c r="B46" s="34"/>
      <c r="C46" s="18"/>
      <c r="D46" s="35">
        <f>SUM(D40:D45)</f>
        <v>173334305</v>
      </c>
      <c r="E46" s="33">
        <f>SUM(E40:E45)</f>
        <v>2927</v>
      </c>
      <c r="F46" s="28"/>
    </row>
    <row r="47" ht="15.75">
      <c r="F47" s="20"/>
    </row>
    <row r="48" spans="1:6" ht="15.75">
      <c r="A48" s="36" t="s">
        <v>48</v>
      </c>
      <c r="E48" s="21" t="s">
        <v>29</v>
      </c>
      <c r="F48" s="21" t="s">
        <v>22</v>
      </c>
    </row>
    <row r="49" spans="5:6" ht="15.75">
      <c r="E49" s="21"/>
      <c r="F49" s="22"/>
    </row>
    <row r="50" spans="1:6" ht="15.75">
      <c r="A50" s="37" t="s">
        <v>23</v>
      </c>
      <c r="E50" s="21">
        <v>0</v>
      </c>
      <c r="F50" s="22">
        <v>0</v>
      </c>
    </row>
    <row r="51" spans="1:6" ht="15.75">
      <c r="A51" s="36" t="s">
        <v>24</v>
      </c>
      <c r="E51" s="21">
        <v>0</v>
      </c>
      <c r="F51" s="22">
        <v>0</v>
      </c>
    </row>
    <row r="52" spans="1:6" ht="15.75">
      <c r="A52" s="2" t="s">
        <v>14</v>
      </c>
      <c r="E52" s="21">
        <v>0</v>
      </c>
      <c r="F52" s="22">
        <v>0</v>
      </c>
    </row>
    <row r="53" spans="1:6" ht="15.75">
      <c r="A53" s="36" t="s">
        <v>25</v>
      </c>
      <c r="E53" s="21"/>
      <c r="F53" s="22">
        <f>F50-F54-F51-F52</f>
        <v>0</v>
      </c>
    </row>
    <row r="54" spans="1:6" ht="15.75">
      <c r="A54" s="2" t="s">
        <v>26</v>
      </c>
      <c r="E54" s="21"/>
      <c r="F54" s="38">
        <v>0</v>
      </c>
    </row>
    <row r="55" spans="5:6" ht="15.75">
      <c r="E55" s="21"/>
      <c r="F55" s="22"/>
    </row>
    <row r="56" spans="1:6" ht="15.75">
      <c r="A56" s="2" t="s">
        <v>27</v>
      </c>
      <c r="E56" s="21"/>
      <c r="F56" s="39">
        <v>0</v>
      </c>
    </row>
    <row r="57" spans="1:6" ht="15.75">
      <c r="A57" s="2" t="s">
        <v>15</v>
      </c>
      <c r="E57" s="21"/>
      <c r="F57" s="22">
        <v>0</v>
      </c>
    </row>
    <row r="58" spans="5:6" ht="15.75">
      <c r="E58" s="21"/>
      <c r="F58" s="22"/>
    </row>
    <row r="59" spans="1:6" ht="15.75">
      <c r="A59" s="2" t="s">
        <v>28</v>
      </c>
      <c r="E59" s="21"/>
      <c r="F59" s="39">
        <v>0</v>
      </c>
    </row>
    <row r="60" spans="1:6" ht="15.75">
      <c r="A60" s="2" t="s">
        <v>49</v>
      </c>
      <c r="E60" s="21"/>
      <c r="F60" s="40">
        <v>0</v>
      </c>
    </row>
    <row r="61" spans="5:6" ht="15.75">
      <c r="E61" s="21"/>
      <c r="F61" s="22"/>
    </row>
    <row r="62" ht="15.75">
      <c r="F62" s="20"/>
    </row>
    <row r="63" ht="15.75">
      <c r="F63" s="20"/>
    </row>
    <row r="64" ht="15.75">
      <c r="F64" s="20"/>
    </row>
    <row r="65" spans="1:6" ht="15.75">
      <c r="A65" s="25" t="s">
        <v>16</v>
      </c>
      <c r="B65" s="25"/>
      <c r="C65" s="25"/>
      <c r="F65" s="20"/>
    </row>
    <row r="66" ht="15.75">
      <c r="A66" s="2" t="s">
        <v>55</v>
      </c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6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66"/>
  <sheetViews>
    <sheetView workbookViewId="0" topLeftCell="A1">
      <selection activeCell="A1" sqref="A1"/>
    </sheetView>
  </sheetViews>
  <sheetFormatPr defaultColWidth="9.00390625" defaultRowHeight="15.75"/>
  <cols>
    <col min="1" max="1" width="9.00390625" style="2" customWidth="1"/>
    <col min="2" max="2" width="7.625" style="2" customWidth="1"/>
    <col min="3" max="3" width="11.875" style="2" customWidth="1"/>
    <col min="4" max="5" width="15.625" style="2" customWidth="1"/>
    <col min="6" max="6" width="12.375" style="2" customWidth="1"/>
    <col min="7" max="7" width="11.75390625" style="2" customWidth="1"/>
    <col min="8" max="16384" width="9.00390625" style="2" customWidth="1"/>
  </cols>
  <sheetData>
    <row r="1" spans="1:3" ht="18.75">
      <c r="A1" s="1"/>
      <c r="B1" s="1"/>
      <c r="C1" s="1" t="s">
        <v>33</v>
      </c>
    </row>
    <row r="2" ht="15.75"/>
    <row r="4" spans="1:5" ht="15.75">
      <c r="A4" s="2" t="s">
        <v>0</v>
      </c>
      <c r="D4" s="52">
        <v>38776</v>
      </c>
      <c r="E4" s="3"/>
    </row>
    <row r="5" spans="1:5" ht="15.75">
      <c r="A5" s="2" t="s">
        <v>17</v>
      </c>
      <c r="D5" s="53">
        <v>0.0457125</v>
      </c>
      <c r="E5" s="3"/>
    </row>
    <row r="7" ht="15.75">
      <c r="A7" s="2" t="s">
        <v>1</v>
      </c>
    </row>
    <row r="8" spans="1:7" s="47" customFormat="1" ht="31.5">
      <c r="A8" s="41" t="s">
        <v>2</v>
      </c>
      <c r="B8" s="42"/>
      <c r="C8" s="43" t="s">
        <v>31</v>
      </c>
      <c r="D8" s="44" t="s">
        <v>3</v>
      </c>
      <c r="E8" s="44" t="s">
        <v>32</v>
      </c>
      <c r="F8" s="44" t="s">
        <v>18</v>
      </c>
      <c r="G8" s="45" t="s">
        <v>4</v>
      </c>
    </row>
    <row r="9" spans="1:7" ht="15.75">
      <c r="A9" s="6" t="s">
        <v>34</v>
      </c>
      <c r="B9" s="7"/>
      <c r="C9" s="8">
        <v>31</v>
      </c>
      <c r="D9" s="54">
        <v>38273552.8</v>
      </c>
      <c r="E9" s="54">
        <v>1548884</v>
      </c>
      <c r="F9" s="54">
        <v>149812.8</v>
      </c>
      <c r="G9" s="10">
        <f>+D9/276000000</f>
        <v>0.13867229275362317</v>
      </c>
    </row>
    <row r="10" spans="1:7" ht="15.75">
      <c r="A10" s="11" t="s">
        <v>5</v>
      </c>
      <c r="B10" s="12"/>
      <c r="C10" s="13">
        <v>85</v>
      </c>
      <c r="D10" s="14">
        <v>24000000</v>
      </c>
      <c r="E10" s="15">
        <v>0</v>
      </c>
      <c r="F10" s="55">
        <v>100224</v>
      </c>
      <c r="G10" s="16">
        <f>+D10/24000000</f>
        <v>1</v>
      </c>
    </row>
    <row r="11" spans="1:7" ht="15.75">
      <c r="A11" s="17"/>
      <c r="B11" s="18"/>
      <c r="C11" s="18"/>
      <c r="D11" s="15">
        <f>SUM(D9:D10)</f>
        <v>62273552.8</v>
      </c>
      <c r="E11" s="15">
        <f>SUM(E9:E10)</f>
        <v>1548884</v>
      </c>
      <c r="F11" s="15">
        <f>SUM(F9:F10)</f>
        <v>250036.8</v>
      </c>
      <c r="G11" s="19"/>
    </row>
    <row r="13" spans="1:6" ht="15.75">
      <c r="A13" s="2" t="s">
        <v>35</v>
      </c>
      <c r="F13" s="20">
        <v>9000000</v>
      </c>
    </row>
    <row r="14" spans="1:6" ht="15.75">
      <c r="A14" s="2" t="s">
        <v>6</v>
      </c>
      <c r="F14" s="20">
        <v>0</v>
      </c>
    </row>
    <row r="15" ht="15.75">
      <c r="F15" s="20"/>
    </row>
    <row r="16" spans="1:6" ht="15.75">
      <c r="A16" s="2" t="s">
        <v>7</v>
      </c>
      <c r="F16" s="20">
        <v>6000000</v>
      </c>
    </row>
    <row r="17" spans="1:6" ht="15.75">
      <c r="A17" s="2" t="s">
        <v>52</v>
      </c>
      <c r="F17" s="20">
        <v>0</v>
      </c>
    </row>
    <row r="18" spans="1:6" ht="15.75">
      <c r="A18" s="2" t="s">
        <v>36</v>
      </c>
      <c r="F18" s="20">
        <v>6000000</v>
      </c>
    </row>
    <row r="19" ht="15.75">
      <c r="F19" s="20"/>
    </row>
    <row r="20" spans="1:6" ht="15.75">
      <c r="A20" s="2" t="s">
        <v>37</v>
      </c>
      <c r="F20" s="20">
        <v>500000</v>
      </c>
    </row>
    <row r="21" spans="1:6" ht="15.75">
      <c r="A21" s="2" t="s">
        <v>38</v>
      </c>
      <c r="F21" s="20">
        <v>0</v>
      </c>
    </row>
    <row r="22" spans="1:6" ht="15.75">
      <c r="A22" s="2" t="s">
        <v>39</v>
      </c>
      <c r="F22" s="20">
        <v>500000</v>
      </c>
    </row>
    <row r="23" ht="15.75">
      <c r="F23" s="20"/>
    </row>
    <row r="24" spans="1:6" ht="15.75">
      <c r="A24" s="2" t="s">
        <v>8</v>
      </c>
      <c r="F24" s="20">
        <v>0</v>
      </c>
    </row>
    <row r="25" spans="1:6" ht="15.75">
      <c r="A25" s="2" t="s">
        <v>19</v>
      </c>
      <c r="F25" s="20">
        <v>0</v>
      </c>
    </row>
    <row r="26" ht="15.75">
      <c r="F26" s="20"/>
    </row>
    <row r="27" spans="1:6" ht="15.75">
      <c r="A27" s="2" t="s">
        <v>40</v>
      </c>
      <c r="F27" s="65">
        <v>88245</v>
      </c>
    </row>
    <row r="28" spans="1:6" ht="15.75">
      <c r="A28" s="2" t="s">
        <v>53</v>
      </c>
      <c r="F28" s="20">
        <v>0</v>
      </c>
    </row>
    <row r="29" spans="1:6" ht="15.75">
      <c r="A29" s="2" t="s">
        <v>20</v>
      </c>
      <c r="F29" s="20">
        <f>D46</f>
        <v>62273540.19</v>
      </c>
    </row>
    <row r="30" ht="15.75">
      <c r="F30" s="20"/>
    </row>
    <row r="31" spans="5:6" ht="15.75">
      <c r="E31" s="21" t="s">
        <v>21</v>
      </c>
      <c r="F31" s="22" t="s">
        <v>22</v>
      </c>
    </row>
    <row r="32" spans="1:6" ht="15.75">
      <c r="A32" s="2" t="s">
        <v>41</v>
      </c>
      <c r="E32" s="56">
        <f>+'Feb 06'!E32+E33</f>
        <v>95</v>
      </c>
      <c r="F32" s="57">
        <f>+'Feb 06'!F32+F33</f>
        <v>4316830.109999999</v>
      </c>
    </row>
    <row r="33" spans="1:6" ht="15.75">
      <c r="A33" s="2" t="s">
        <v>9</v>
      </c>
      <c r="E33" s="56">
        <v>0</v>
      </c>
      <c r="F33" s="57">
        <v>0</v>
      </c>
    </row>
    <row r="34" spans="1:6" ht="15.75">
      <c r="A34" s="2" t="s">
        <v>42</v>
      </c>
      <c r="E34" s="21">
        <f>+'Jan 06'!E34</f>
        <v>2530</v>
      </c>
      <c r="F34" s="22">
        <f>+'Jan 06'!F34</f>
        <v>204766491.04</v>
      </c>
    </row>
    <row r="35" spans="5:6" ht="15.75">
      <c r="E35" s="21"/>
      <c r="F35" s="22"/>
    </row>
    <row r="36" spans="1:6" ht="15.75">
      <c r="A36" s="2" t="s">
        <v>50</v>
      </c>
      <c r="E36" s="23"/>
      <c r="F36" s="58">
        <f>((1801516+733823.42-986442.21)/63822415)*12</f>
        <v>0.2912263116336165</v>
      </c>
    </row>
    <row r="37" spans="5:6" ht="15.75">
      <c r="E37" s="23"/>
      <c r="F37" s="20"/>
    </row>
    <row r="38" spans="1:6" ht="15.75">
      <c r="A38" s="2" t="s">
        <v>43</v>
      </c>
      <c r="F38" s="20"/>
    </row>
    <row r="39" spans="1:6" s="47" customFormat="1" ht="47.25">
      <c r="A39" s="41" t="s">
        <v>10</v>
      </c>
      <c r="B39" s="48"/>
      <c r="C39" s="42"/>
      <c r="D39" s="49" t="s">
        <v>11</v>
      </c>
      <c r="E39" s="50" t="s">
        <v>12</v>
      </c>
      <c r="F39" s="51"/>
    </row>
    <row r="40" spans="1:8" ht="15.75">
      <c r="A40" s="6" t="s">
        <v>13</v>
      </c>
      <c r="B40" s="25"/>
      <c r="C40" s="7"/>
      <c r="D40" s="59">
        <v>59994320.5</v>
      </c>
      <c r="E40" s="60">
        <v>1240</v>
      </c>
      <c r="F40" s="28"/>
      <c r="H40" s="20"/>
    </row>
    <row r="41" spans="1:6" ht="15.75">
      <c r="A41" s="29" t="s">
        <v>44</v>
      </c>
      <c r="B41" s="5"/>
      <c r="C41" s="12"/>
      <c r="D41" s="61">
        <v>931318.67</v>
      </c>
      <c r="E41" s="62">
        <v>11</v>
      </c>
      <c r="F41" s="28"/>
    </row>
    <row r="42" spans="1:6" ht="15.75">
      <c r="A42" s="29" t="s">
        <v>45</v>
      </c>
      <c r="B42" s="5"/>
      <c r="C42" s="12"/>
      <c r="D42" s="61">
        <v>694608.92</v>
      </c>
      <c r="E42" s="62">
        <v>5</v>
      </c>
      <c r="F42" s="28" t="s">
        <v>51</v>
      </c>
    </row>
    <row r="43" spans="1:8" ht="15.75">
      <c r="A43" s="11" t="s">
        <v>46</v>
      </c>
      <c r="B43" s="5"/>
      <c r="C43" s="12"/>
      <c r="D43" s="61">
        <f>32073.55+166833.17+45534.25+4702.08</f>
        <v>249143.05</v>
      </c>
      <c r="E43" s="62">
        <f>2+1+2+2</f>
        <v>7</v>
      </c>
      <c r="F43" s="28"/>
      <c r="H43" s="20"/>
    </row>
    <row r="44" spans="1:6" ht="15.75">
      <c r="A44" s="11" t="s">
        <v>30</v>
      </c>
      <c r="B44" s="5"/>
      <c r="C44" s="12"/>
      <c r="D44" s="61">
        <v>404149.05</v>
      </c>
      <c r="E44" s="62">
        <v>4</v>
      </c>
      <c r="F44" s="28"/>
    </row>
    <row r="45" spans="1:8" ht="15.75">
      <c r="A45" s="11" t="s">
        <v>47</v>
      </c>
      <c r="B45" s="5"/>
      <c r="C45" s="12"/>
      <c r="D45" s="63">
        <v>0</v>
      </c>
      <c r="E45" s="64">
        <v>0</v>
      </c>
      <c r="F45" s="28"/>
      <c r="H45" s="20"/>
    </row>
    <row r="46" spans="1:6" ht="15.75">
      <c r="A46" s="17"/>
      <c r="B46" s="34"/>
      <c r="C46" s="18"/>
      <c r="D46" s="35">
        <f>SUM(D40:D45)</f>
        <v>62273540.19</v>
      </c>
      <c r="E46" s="33">
        <f>SUM(E40:E45)</f>
        <v>1267</v>
      </c>
      <c r="F46" s="28"/>
    </row>
    <row r="47" ht="15.75">
      <c r="F47" s="20"/>
    </row>
    <row r="48" spans="1:6" ht="15.75">
      <c r="A48" s="36" t="s">
        <v>48</v>
      </c>
      <c r="E48" s="21" t="s">
        <v>29</v>
      </c>
      <c r="F48" s="21" t="s">
        <v>22</v>
      </c>
    </row>
    <row r="49" spans="5:6" ht="15.75">
      <c r="E49" s="21"/>
      <c r="F49" s="22"/>
    </row>
    <row r="50" spans="1:6" ht="15.75">
      <c r="A50" s="37" t="s">
        <v>23</v>
      </c>
      <c r="E50" s="21">
        <v>0</v>
      </c>
      <c r="F50" s="22">
        <v>0</v>
      </c>
    </row>
    <row r="51" spans="1:6" ht="15.75">
      <c r="A51" s="36" t="s">
        <v>24</v>
      </c>
      <c r="E51" s="21">
        <v>0</v>
      </c>
      <c r="F51" s="22">
        <v>0</v>
      </c>
    </row>
    <row r="52" spans="1:6" ht="15.75">
      <c r="A52" s="2" t="s">
        <v>14</v>
      </c>
      <c r="E52" s="21">
        <v>0</v>
      </c>
      <c r="F52" s="22">
        <v>0</v>
      </c>
    </row>
    <row r="53" spans="1:6" ht="15.75">
      <c r="A53" s="36" t="s">
        <v>25</v>
      </c>
      <c r="E53" s="21"/>
      <c r="F53" s="22">
        <f>F50-F54-F51-F52</f>
        <v>0</v>
      </c>
    </row>
    <row r="54" spans="1:6" ht="15.75">
      <c r="A54" s="2" t="s">
        <v>26</v>
      </c>
      <c r="E54" s="21"/>
      <c r="F54" s="38">
        <v>0</v>
      </c>
    </row>
    <row r="55" spans="5:6" ht="15.75">
      <c r="E55" s="21"/>
      <c r="F55" s="22"/>
    </row>
    <row r="56" spans="1:6" ht="15.75">
      <c r="A56" s="2" t="s">
        <v>27</v>
      </c>
      <c r="E56" s="21"/>
      <c r="F56" s="39">
        <v>0</v>
      </c>
    </row>
    <row r="57" spans="1:6" ht="15.75">
      <c r="A57" s="2" t="s">
        <v>15</v>
      </c>
      <c r="E57" s="21"/>
      <c r="F57" s="22">
        <v>0</v>
      </c>
    </row>
    <row r="58" spans="5:6" ht="15.75">
      <c r="E58" s="21"/>
      <c r="F58" s="22"/>
    </row>
    <row r="59" spans="1:6" ht="15.75">
      <c r="A59" s="2" t="s">
        <v>28</v>
      </c>
      <c r="E59" s="21"/>
      <c r="F59" s="39">
        <v>0</v>
      </c>
    </row>
    <row r="60" spans="1:6" ht="15.75">
      <c r="A60" s="2" t="s">
        <v>49</v>
      </c>
      <c r="E60" s="21"/>
      <c r="F60" s="40">
        <v>0</v>
      </c>
    </row>
    <row r="61" spans="5:6" ht="15.75">
      <c r="E61" s="21"/>
      <c r="F61" s="22"/>
    </row>
    <row r="62" ht="15.75">
      <c r="F62" s="20"/>
    </row>
    <row r="63" ht="15.75">
      <c r="F63" s="20"/>
    </row>
    <row r="64" ht="15.75">
      <c r="F64" s="20"/>
    </row>
    <row r="65" spans="1:6" ht="15.75">
      <c r="A65" s="25" t="s">
        <v>16</v>
      </c>
      <c r="B65" s="25"/>
      <c r="C65" s="25"/>
      <c r="F65" s="20"/>
    </row>
    <row r="66" ht="15.75">
      <c r="A66" s="2" t="s">
        <v>54</v>
      </c>
    </row>
  </sheetData>
  <printOptions/>
  <pageMargins left="0.75" right="0.75" top="1" bottom="1" header="0.5" footer="0.5"/>
  <pageSetup horizontalDpi="600" verticalDpi="600" orientation="portrait" paperSize="9" scale="87" r:id="rId2"/>
  <rowBreaks count="1" manualBreakCount="1">
    <brk id="46" max="255" man="1"/>
  </rowBreaks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66"/>
  <sheetViews>
    <sheetView workbookViewId="0" topLeftCell="A1">
      <selection activeCell="A1" sqref="A1"/>
    </sheetView>
  </sheetViews>
  <sheetFormatPr defaultColWidth="9.00390625" defaultRowHeight="15.75"/>
  <cols>
    <col min="1" max="1" width="9.00390625" style="2" customWidth="1"/>
    <col min="2" max="2" width="7.625" style="2" customWidth="1"/>
    <col min="3" max="3" width="11.875" style="2" customWidth="1"/>
    <col min="4" max="5" width="15.625" style="2" customWidth="1"/>
    <col min="6" max="6" width="12.375" style="2" customWidth="1"/>
    <col min="7" max="7" width="11.75390625" style="2" customWidth="1"/>
    <col min="8" max="16384" width="9.00390625" style="2" customWidth="1"/>
  </cols>
  <sheetData>
    <row r="1" spans="1:3" ht="18.75">
      <c r="A1" s="1"/>
      <c r="B1" s="1"/>
      <c r="C1" s="1" t="s">
        <v>33</v>
      </c>
    </row>
    <row r="2" ht="15.75"/>
    <row r="4" spans="1:5" ht="15.75">
      <c r="A4" s="2" t="s">
        <v>0</v>
      </c>
      <c r="D4" s="52">
        <v>38807</v>
      </c>
      <c r="E4" s="3"/>
    </row>
    <row r="5" spans="1:5" ht="15.75">
      <c r="A5" s="2" t="s">
        <v>17</v>
      </c>
      <c r="D5" s="53">
        <v>0.0459188</v>
      </c>
      <c r="E5" s="3"/>
    </row>
    <row r="7" ht="15.75">
      <c r="A7" s="2" t="s">
        <v>1</v>
      </c>
    </row>
    <row r="8" spans="1:7" s="47" customFormat="1" ht="31.5">
      <c r="A8" s="41" t="s">
        <v>2</v>
      </c>
      <c r="B8" s="42"/>
      <c r="C8" s="43" t="s">
        <v>31</v>
      </c>
      <c r="D8" s="44" t="s">
        <v>3</v>
      </c>
      <c r="E8" s="44" t="s">
        <v>32</v>
      </c>
      <c r="F8" s="44" t="s">
        <v>18</v>
      </c>
      <c r="G8" s="45" t="s">
        <v>4</v>
      </c>
    </row>
    <row r="9" spans="1:7" ht="15.75">
      <c r="A9" s="6" t="s">
        <v>34</v>
      </c>
      <c r="B9" s="7"/>
      <c r="C9" s="8">
        <v>31</v>
      </c>
      <c r="D9" s="54">
        <v>35496855</v>
      </c>
      <c r="E9" s="54">
        <v>2776698</v>
      </c>
      <c r="F9" s="54">
        <v>158672.4</v>
      </c>
      <c r="G9" s="10">
        <f>+D9/276000000</f>
        <v>0.12861179347826088</v>
      </c>
    </row>
    <row r="10" spans="1:7" ht="15.75">
      <c r="A10" s="11" t="s">
        <v>5</v>
      </c>
      <c r="B10" s="12"/>
      <c r="C10" s="13">
        <v>85</v>
      </c>
      <c r="D10" s="14">
        <v>24000000</v>
      </c>
      <c r="E10" s="15">
        <v>0</v>
      </c>
      <c r="F10" s="55">
        <v>110503.2</v>
      </c>
      <c r="G10" s="16">
        <f>+D10/24000000</f>
        <v>1</v>
      </c>
    </row>
    <row r="11" spans="1:7" ht="15.75">
      <c r="A11" s="17"/>
      <c r="B11" s="18"/>
      <c r="C11" s="18"/>
      <c r="D11" s="15">
        <f>SUM(D9:D10)</f>
        <v>59496855</v>
      </c>
      <c r="E11" s="15">
        <f>SUM(E9:E10)</f>
        <v>2776698</v>
      </c>
      <c r="F11" s="15">
        <f>SUM(F9:F10)</f>
        <v>269175.6</v>
      </c>
      <c r="G11" s="19"/>
    </row>
    <row r="13" spans="1:6" ht="15.75">
      <c r="A13" s="2" t="s">
        <v>35</v>
      </c>
      <c r="F13" s="20">
        <v>9000000</v>
      </c>
    </row>
    <row r="14" spans="1:6" ht="15.75">
      <c r="A14" s="2" t="s">
        <v>6</v>
      </c>
      <c r="F14" s="20">
        <v>0</v>
      </c>
    </row>
    <row r="15" ht="15.75">
      <c r="F15" s="20"/>
    </row>
    <row r="16" spans="1:6" ht="15.75">
      <c r="A16" s="2" t="s">
        <v>7</v>
      </c>
      <c r="F16" s="20">
        <v>6000000</v>
      </c>
    </row>
    <row r="17" spans="1:6" ht="15.75">
      <c r="A17" s="2" t="s">
        <v>52</v>
      </c>
      <c r="F17" s="20">
        <v>0</v>
      </c>
    </row>
    <row r="18" spans="1:6" ht="15.75">
      <c r="A18" s="2" t="s">
        <v>36</v>
      </c>
      <c r="F18" s="20">
        <v>6000000</v>
      </c>
    </row>
    <row r="19" ht="15.75">
      <c r="F19" s="20"/>
    </row>
    <row r="20" spans="1:6" ht="15.75">
      <c r="A20" s="2" t="s">
        <v>37</v>
      </c>
      <c r="F20" s="20">
        <v>500000</v>
      </c>
    </row>
    <row r="21" spans="1:6" ht="15.75">
      <c r="A21" s="2" t="s">
        <v>38</v>
      </c>
      <c r="F21" s="20">
        <v>0</v>
      </c>
    </row>
    <row r="22" spans="1:6" ht="15.75">
      <c r="A22" s="2" t="s">
        <v>39</v>
      </c>
      <c r="F22" s="20">
        <v>500000</v>
      </c>
    </row>
    <row r="23" ht="15.75">
      <c r="F23" s="20"/>
    </row>
    <row r="24" spans="1:6" ht="15.75">
      <c r="A24" s="2" t="s">
        <v>8</v>
      </c>
      <c r="F24" s="20">
        <v>0</v>
      </c>
    </row>
    <row r="25" spans="1:6" ht="15.75">
      <c r="A25" s="2" t="s">
        <v>19</v>
      </c>
      <c r="F25" s="20">
        <v>0</v>
      </c>
    </row>
    <row r="26" ht="15.75">
      <c r="F26" s="20"/>
    </row>
    <row r="27" spans="1:6" ht="15.75">
      <c r="A27" s="2" t="s">
        <v>40</v>
      </c>
      <c r="F27" s="65">
        <v>56721</v>
      </c>
    </row>
    <row r="28" spans="1:6" ht="15.75">
      <c r="A28" s="2" t="s">
        <v>53</v>
      </c>
      <c r="F28" s="20">
        <v>0</v>
      </c>
    </row>
    <row r="29" spans="1:6" ht="15.75">
      <c r="A29" s="2" t="s">
        <v>20</v>
      </c>
      <c r="F29" s="20">
        <f>D46</f>
        <v>59496831.81000001</v>
      </c>
    </row>
    <row r="30" ht="15.75">
      <c r="F30" s="20"/>
    </row>
    <row r="31" spans="5:6" ht="15.75">
      <c r="E31" s="21" t="s">
        <v>21</v>
      </c>
      <c r="F31" s="22" t="s">
        <v>22</v>
      </c>
    </row>
    <row r="32" spans="1:6" ht="15.75">
      <c r="A32" s="2" t="s">
        <v>41</v>
      </c>
      <c r="E32" s="56">
        <f>+'Mar 06'!E32+E33</f>
        <v>95</v>
      </c>
      <c r="F32" s="57">
        <f>+'Mar 06'!F32+F33</f>
        <v>4316830.109999999</v>
      </c>
    </row>
    <row r="33" spans="1:6" ht="15.75">
      <c r="A33" s="2" t="s">
        <v>9</v>
      </c>
      <c r="E33" s="56">
        <v>0</v>
      </c>
      <c r="F33" s="57">
        <v>0</v>
      </c>
    </row>
    <row r="34" spans="1:6" ht="15.75">
      <c r="A34" s="2" t="s">
        <v>42</v>
      </c>
      <c r="E34" s="21">
        <f>+'Mar 06'!E34</f>
        <v>2530</v>
      </c>
      <c r="F34" s="22">
        <f>+'Mar 06'!F34</f>
        <v>204766491.04</v>
      </c>
    </row>
    <row r="35" spans="5:6" ht="15.75">
      <c r="E35" s="21"/>
      <c r="F35" s="22"/>
    </row>
    <row r="36" spans="1:6" ht="15.75">
      <c r="A36" s="2" t="s">
        <v>50</v>
      </c>
      <c r="E36" s="23"/>
      <c r="F36" s="58">
        <f>((2048036+1384773.49-656088.07)/62273540)*12</f>
        <v>0.5350692611982554</v>
      </c>
    </row>
    <row r="37" spans="5:6" ht="15.75">
      <c r="E37" s="23"/>
      <c r="F37" s="20"/>
    </row>
    <row r="38" spans="1:6" ht="15.75">
      <c r="A38" s="2" t="s">
        <v>43</v>
      </c>
      <c r="F38" s="20"/>
    </row>
    <row r="39" spans="1:6" s="47" customFormat="1" ht="47.25">
      <c r="A39" s="41" t="s">
        <v>10</v>
      </c>
      <c r="B39" s="48"/>
      <c r="C39" s="42"/>
      <c r="D39" s="49" t="s">
        <v>11</v>
      </c>
      <c r="E39" s="50" t="s">
        <v>12</v>
      </c>
      <c r="F39" s="51"/>
    </row>
    <row r="40" spans="1:8" ht="15.75">
      <c r="A40" s="6" t="s">
        <v>13</v>
      </c>
      <c r="B40" s="25"/>
      <c r="C40" s="7"/>
      <c r="D40" s="59">
        <v>57524453.95</v>
      </c>
      <c r="E40" s="60">
        <v>1193</v>
      </c>
      <c r="F40" s="28"/>
      <c r="H40" s="20"/>
    </row>
    <row r="41" spans="1:6" ht="15.75">
      <c r="A41" s="29" t="s">
        <v>44</v>
      </c>
      <c r="B41" s="5"/>
      <c r="C41" s="12"/>
      <c r="D41" s="61">
        <v>1465820.49</v>
      </c>
      <c r="E41" s="62">
        <v>14</v>
      </c>
      <c r="F41" s="28"/>
    </row>
    <row r="42" spans="1:6" ht="15.75">
      <c r="A42" s="29" t="s">
        <v>45</v>
      </c>
      <c r="B42" s="5"/>
      <c r="C42" s="12"/>
      <c r="D42" s="61">
        <v>142080.09</v>
      </c>
      <c r="E42" s="62">
        <v>1</v>
      </c>
      <c r="F42" s="28" t="s">
        <v>51</v>
      </c>
    </row>
    <row r="43" spans="1:8" ht="15.75">
      <c r="A43" s="11" t="s">
        <v>46</v>
      </c>
      <c r="B43" s="5"/>
      <c r="C43" s="12"/>
      <c r="D43" s="61">
        <f>8017.96+45494.7+4761.85</f>
        <v>58274.509999999995</v>
      </c>
      <c r="E43" s="62">
        <f>2+2+2</f>
        <v>6</v>
      </c>
      <c r="F43" s="28"/>
      <c r="H43" s="20"/>
    </row>
    <row r="44" spans="1:6" ht="15.75">
      <c r="A44" s="11" t="s">
        <v>30</v>
      </c>
      <c r="B44" s="5"/>
      <c r="C44" s="12"/>
      <c r="D44" s="61">
        <v>306202.77</v>
      </c>
      <c r="E44" s="62">
        <v>5</v>
      </c>
      <c r="F44" s="28"/>
    </row>
    <row r="45" spans="1:8" ht="15.75">
      <c r="A45" s="11" t="s">
        <v>47</v>
      </c>
      <c r="B45" s="5"/>
      <c r="C45" s="12"/>
      <c r="D45" s="63">
        <v>0</v>
      </c>
      <c r="E45" s="64">
        <v>0</v>
      </c>
      <c r="F45" s="28"/>
      <c r="H45" s="20"/>
    </row>
    <row r="46" spans="1:6" ht="15.75">
      <c r="A46" s="17"/>
      <c r="B46" s="34"/>
      <c r="C46" s="18"/>
      <c r="D46" s="35">
        <f>SUM(D40:D45)</f>
        <v>59496831.81000001</v>
      </c>
      <c r="E46" s="33">
        <f>SUM(E40:E45)</f>
        <v>1219</v>
      </c>
      <c r="F46" s="28"/>
    </row>
    <row r="47" ht="15.75">
      <c r="F47" s="20"/>
    </row>
    <row r="48" spans="1:6" ht="15.75">
      <c r="A48" s="36" t="s">
        <v>48</v>
      </c>
      <c r="E48" s="21" t="s">
        <v>29</v>
      </c>
      <c r="F48" s="21" t="s">
        <v>22</v>
      </c>
    </row>
    <row r="49" spans="5:6" ht="15.75">
      <c r="E49" s="21"/>
      <c r="F49" s="22"/>
    </row>
    <row r="50" spans="1:6" ht="15.75">
      <c r="A50" s="37" t="s">
        <v>23</v>
      </c>
      <c r="E50" s="21">
        <v>0</v>
      </c>
      <c r="F50" s="22">
        <v>0</v>
      </c>
    </row>
    <row r="51" spans="1:6" ht="15.75">
      <c r="A51" s="36" t="s">
        <v>24</v>
      </c>
      <c r="E51" s="21">
        <v>0</v>
      </c>
      <c r="F51" s="22">
        <v>0</v>
      </c>
    </row>
    <row r="52" spans="1:6" ht="15.75">
      <c r="A52" s="2" t="s">
        <v>14</v>
      </c>
      <c r="E52" s="21">
        <v>0</v>
      </c>
      <c r="F52" s="22">
        <v>0</v>
      </c>
    </row>
    <row r="53" spans="1:6" ht="15.75">
      <c r="A53" s="36" t="s">
        <v>25</v>
      </c>
      <c r="E53" s="21"/>
      <c r="F53" s="22">
        <f>F50-F54-F51-F52</f>
        <v>0</v>
      </c>
    </row>
    <row r="54" spans="1:6" ht="15.75">
      <c r="A54" s="2" t="s">
        <v>26</v>
      </c>
      <c r="E54" s="21"/>
      <c r="F54" s="38">
        <v>0</v>
      </c>
    </row>
    <row r="55" spans="5:6" ht="15.75">
      <c r="E55" s="21"/>
      <c r="F55" s="22"/>
    </row>
    <row r="56" spans="1:6" ht="15.75">
      <c r="A56" s="2" t="s">
        <v>27</v>
      </c>
      <c r="E56" s="21"/>
      <c r="F56" s="39">
        <v>0</v>
      </c>
    </row>
    <row r="57" spans="1:6" ht="15.75">
      <c r="A57" s="2" t="s">
        <v>15</v>
      </c>
      <c r="E57" s="21"/>
      <c r="F57" s="22">
        <v>0</v>
      </c>
    </row>
    <row r="58" spans="5:6" ht="15.75">
      <c r="E58" s="21"/>
      <c r="F58" s="22"/>
    </row>
    <row r="59" spans="1:6" ht="15.75">
      <c r="A59" s="2" t="s">
        <v>28</v>
      </c>
      <c r="E59" s="21"/>
      <c r="F59" s="39">
        <v>0</v>
      </c>
    </row>
    <row r="60" spans="1:6" ht="15.75">
      <c r="A60" s="2" t="s">
        <v>49</v>
      </c>
      <c r="E60" s="21"/>
      <c r="F60" s="40">
        <v>0</v>
      </c>
    </row>
    <row r="61" spans="5:6" ht="15.75">
      <c r="E61" s="21"/>
      <c r="F61" s="22"/>
    </row>
    <row r="62" ht="15.75">
      <c r="F62" s="20"/>
    </row>
    <row r="63" ht="15.75">
      <c r="F63" s="20"/>
    </row>
    <row r="64" ht="15.75">
      <c r="F64" s="20"/>
    </row>
    <row r="65" spans="1:6" ht="15.75">
      <c r="A65" s="25" t="s">
        <v>16</v>
      </c>
      <c r="B65" s="25"/>
      <c r="C65" s="25"/>
      <c r="F65" s="20"/>
    </row>
    <row r="66" ht="15.75">
      <c r="A66" s="2" t="s">
        <v>54</v>
      </c>
    </row>
  </sheetData>
  <printOptions/>
  <pageMargins left="0.75" right="0.75" top="1" bottom="1" header="0.5" footer="0.5"/>
  <pageSetup horizontalDpi="600" verticalDpi="600" orientation="portrait" paperSize="9" scale="80" r:id="rId2"/>
  <rowBreaks count="1" manualBreakCount="1">
    <brk id="46" max="7" man="1"/>
  </rowBreaks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66"/>
  <sheetViews>
    <sheetView workbookViewId="0" topLeftCell="A1">
      <selection activeCell="A1" sqref="A1"/>
    </sheetView>
  </sheetViews>
  <sheetFormatPr defaultColWidth="9.00390625" defaultRowHeight="15.75"/>
  <cols>
    <col min="1" max="1" width="9.00390625" style="2" customWidth="1"/>
    <col min="2" max="2" width="7.625" style="2" customWidth="1"/>
    <col min="3" max="3" width="11.875" style="2" customWidth="1"/>
    <col min="4" max="5" width="15.625" style="2" customWidth="1"/>
    <col min="6" max="6" width="12.375" style="2" customWidth="1"/>
    <col min="7" max="7" width="11.75390625" style="2" customWidth="1"/>
    <col min="8" max="16384" width="9.00390625" style="2" customWidth="1"/>
  </cols>
  <sheetData>
    <row r="1" spans="1:3" ht="18.75">
      <c r="A1" s="1"/>
      <c r="B1" s="1"/>
      <c r="C1" s="1" t="s">
        <v>33</v>
      </c>
    </row>
    <row r="2" ht="15.75"/>
    <row r="4" spans="1:5" ht="15.75">
      <c r="A4" s="2" t="s">
        <v>0</v>
      </c>
      <c r="D4" s="52">
        <v>38835</v>
      </c>
      <c r="E4" s="3"/>
    </row>
    <row r="5" spans="1:5" ht="15.75">
      <c r="A5" s="2" t="s">
        <v>17</v>
      </c>
      <c r="D5" s="53">
        <v>0.0462531</v>
      </c>
      <c r="E5" s="3"/>
    </row>
    <row r="7" ht="15.75">
      <c r="A7" s="2" t="s">
        <v>1</v>
      </c>
    </row>
    <row r="8" spans="1:7" s="47" customFormat="1" ht="31.5">
      <c r="A8" s="41" t="s">
        <v>2</v>
      </c>
      <c r="B8" s="42"/>
      <c r="C8" s="43" t="s">
        <v>31</v>
      </c>
      <c r="D8" s="44" t="s">
        <v>3</v>
      </c>
      <c r="E8" s="44" t="s">
        <v>32</v>
      </c>
      <c r="F8" s="44" t="s">
        <v>18</v>
      </c>
      <c r="G8" s="45" t="s">
        <v>4</v>
      </c>
    </row>
    <row r="9" spans="1:7" ht="15.75">
      <c r="A9" s="6" t="s">
        <v>34</v>
      </c>
      <c r="B9" s="7"/>
      <c r="C9" s="8">
        <v>31</v>
      </c>
      <c r="D9" s="54">
        <v>34275030</v>
      </c>
      <c r="E9" s="54">
        <v>1221824</v>
      </c>
      <c r="F9" s="54">
        <v>133473.6</v>
      </c>
      <c r="G9" s="10">
        <f>+D9/276000000</f>
        <v>0.12418489130434783</v>
      </c>
    </row>
    <row r="10" spans="1:7" ht="15.75">
      <c r="A10" s="11" t="s">
        <v>5</v>
      </c>
      <c r="B10" s="12"/>
      <c r="C10" s="13">
        <v>85</v>
      </c>
      <c r="D10" s="14">
        <v>24000000</v>
      </c>
      <c r="E10" s="15">
        <v>0</v>
      </c>
      <c r="F10" s="55">
        <v>100190.4</v>
      </c>
      <c r="G10" s="16">
        <f>+D10/24000000</f>
        <v>1</v>
      </c>
    </row>
    <row r="11" spans="1:7" ht="15.75">
      <c r="A11" s="17"/>
      <c r="B11" s="18"/>
      <c r="C11" s="18"/>
      <c r="D11" s="15">
        <f>SUM(D9:D10)</f>
        <v>58275030</v>
      </c>
      <c r="E11" s="15">
        <f>SUM(E9:E10)</f>
        <v>1221824</v>
      </c>
      <c r="F11" s="15">
        <f>SUM(F9:F10)</f>
        <v>233664</v>
      </c>
      <c r="G11" s="19"/>
    </row>
    <row r="13" spans="1:6" ht="15.75">
      <c r="A13" s="2" t="s">
        <v>35</v>
      </c>
      <c r="F13" s="20">
        <v>9000000</v>
      </c>
    </row>
    <row r="14" spans="1:6" ht="15.75">
      <c r="A14" s="2" t="s">
        <v>6</v>
      </c>
      <c r="F14" s="20">
        <v>0</v>
      </c>
    </row>
    <row r="15" ht="15.75">
      <c r="F15" s="20"/>
    </row>
    <row r="16" spans="1:6" ht="15.75">
      <c r="A16" s="2" t="s">
        <v>7</v>
      </c>
      <c r="F16" s="20">
        <v>6000000</v>
      </c>
    </row>
    <row r="17" spans="1:6" ht="15.75">
      <c r="A17" s="2" t="s">
        <v>52</v>
      </c>
      <c r="F17" s="20">
        <v>0</v>
      </c>
    </row>
    <row r="18" spans="1:6" ht="15.75">
      <c r="A18" s="2" t="s">
        <v>36</v>
      </c>
      <c r="F18" s="20">
        <v>6000000</v>
      </c>
    </row>
    <row r="19" ht="15.75">
      <c r="F19" s="20"/>
    </row>
    <row r="20" spans="1:6" ht="15.75">
      <c r="A20" s="2" t="s">
        <v>37</v>
      </c>
      <c r="F20" s="20">
        <v>500000</v>
      </c>
    </row>
    <row r="21" spans="1:6" ht="15.75">
      <c r="A21" s="2" t="s">
        <v>38</v>
      </c>
      <c r="F21" s="20">
        <v>0</v>
      </c>
    </row>
    <row r="22" spans="1:6" ht="15.75">
      <c r="A22" s="2" t="s">
        <v>39</v>
      </c>
      <c r="F22" s="20">
        <v>500000</v>
      </c>
    </row>
    <row r="23" ht="15.75">
      <c r="F23" s="20"/>
    </row>
    <row r="24" spans="1:6" ht="15.75">
      <c r="A24" s="2" t="s">
        <v>8</v>
      </c>
      <c r="F24" s="20">
        <v>0</v>
      </c>
    </row>
    <row r="25" spans="1:6" ht="15.75">
      <c r="A25" s="2" t="s">
        <v>19</v>
      </c>
      <c r="F25" s="20">
        <v>0</v>
      </c>
    </row>
    <row r="26" ht="15.75">
      <c r="F26" s="20"/>
    </row>
    <row r="27" spans="1:6" ht="15.75">
      <c r="A27" s="2" t="s">
        <v>40</v>
      </c>
      <c r="F27" s="65">
        <v>64185</v>
      </c>
    </row>
    <row r="28" spans="1:6" ht="15.75">
      <c r="A28" s="2" t="s">
        <v>53</v>
      </c>
      <c r="F28" s="20">
        <v>0</v>
      </c>
    </row>
    <row r="29" spans="1:6" ht="15.75">
      <c r="A29" s="2" t="s">
        <v>20</v>
      </c>
      <c r="F29" s="20">
        <f>D46</f>
        <v>58275012.18000001</v>
      </c>
    </row>
    <row r="30" ht="15.75">
      <c r="F30" s="20"/>
    </row>
    <row r="31" spans="5:6" ht="15.75">
      <c r="E31" s="21" t="s">
        <v>21</v>
      </c>
      <c r="F31" s="22" t="s">
        <v>22</v>
      </c>
    </row>
    <row r="32" spans="1:6" ht="15.75">
      <c r="A32" s="2" t="s">
        <v>41</v>
      </c>
      <c r="E32" s="56">
        <f>+'Apr 06'!E32+E33</f>
        <v>95</v>
      </c>
      <c r="F32" s="57">
        <f>+'Apr 06'!F32+F33</f>
        <v>4316830.109999999</v>
      </c>
    </row>
    <row r="33" spans="1:6" ht="15.75">
      <c r="A33" s="2" t="s">
        <v>9</v>
      </c>
      <c r="E33" s="56">
        <v>0</v>
      </c>
      <c r="F33" s="57">
        <v>0</v>
      </c>
    </row>
    <row r="34" spans="1:6" ht="15.75">
      <c r="A34" s="2" t="s">
        <v>42</v>
      </c>
      <c r="E34" s="21">
        <f>+'Apr 06'!E34</f>
        <v>2530</v>
      </c>
      <c r="F34" s="22">
        <f>+'Apr 06'!F34</f>
        <v>204766491.04</v>
      </c>
    </row>
    <row r="35" spans="5:6" ht="15.75">
      <c r="E35" s="21"/>
      <c r="F35" s="22"/>
    </row>
    <row r="36" spans="1:6" ht="15.75">
      <c r="A36" s="2" t="s">
        <v>50</v>
      </c>
      <c r="E36" s="23"/>
      <c r="F36" s="58">
        <f>((680050.71+939375.51-419535.6)/59496832)*12</f>
        <v>0.24200763227191663</v>
      </c>
    </row>
    <row r="37" spans="5:6" ht="15.75">
      <c r="E37" s="23"/>
      <c r="F37" s="20"/>
    </row>
    <row r="38" spans="1:6" ht="15.75">
      <c r="A38" s="2" t="s">
        <v>43</v>
      </c>
      <c r="F38" s="20"/>
    </row>
    <row r="39" spans="1:6" s="47" customFormat="1" ht="47.25">
      <c r="A39" s="41" t="s">
        <v>10</v>
      </c>
      <c r="B39" s="48"/>
      <c r="C39" s="42"/>
      <c r="D39" s="49" t="s">
        <v>11</v>
      </c>
      <c r="E39" s="50" t="s">
        <v>12</v>
      </c>
      <c r="F39" s="51"/>
    </row>
    <row r="40" spans="1:8" ht="15.75">
      <c r="A40" s="6" t="s">
        <v>13</v>
      </c>
      <c r="B40" s="25"/>
      <c r="C40" s="7"/>
      <c r="D40" s="59">
        <f>56299947.58-21952</f>
        <v>56277995.58</v>
      </c>
      <c r="E40" s="60">
        <v>1193</v>
      </c>
      <c r="F40" s="28"/>
      <c r="H40" s="20"/>
    </row>
    <row r="41" spans="1:6" ht="15.75">
      <c r="A41" s="29" t="s">
        <v>44</v>
      </c>
      <c r="B41" s="5"/>
      <c r="C41" s="12"/>
      <c r="D41" s="61">
        <v>1053182.63</v>
      </c>
      <c r="E41" s="62">
        <v>8</v>
      </c>
      <c r="F41" s="28"/>
    </row>
    <row r="42" spans="1:6" ht="15.75">
      <c r="A42" s="29" t="s">
        <v>45</v>
      </c>
      <c r="B42" s="5"/>
      <c r="C42" s="12"/>
      <c r="D42" s="61">
        <v>517275.77</v>
      </c>
      <c r="E42" s="62">
        <v>4</v>
      </c>
      <c r="F42" s="28" t="s">
        <v>51</v>
      </c>
    </row>
    <row r="43" spans="1:8" ht="15.75">
      <c r="A43" s="11" t="s">
        <v>46</v>
      </c>
      <c r="B43" s="5"/>
      <c r="C43" s="12"/>
      <c r="D43" s="61">
        <f>5926.58+39825.55+72603.11</f>
        <v>118355.24</v>
      </c>
      <c r="E43" s="62">
        <f>1+1+2</f>
        <v>4</v>
      </c>
      <c r="F43" s="28"/>
      <c r="H43" s="20"/>
    </row>
    <row r="44" spans="1:6" ht="15.75">
      <c r="A44" s="11" t="s">
        <v>30</v>
      </c>
      <c r="B44" s="5"/>
      <c r="C44" s="12"/>
      <c r="D44" s="61">
        <v>308202.96</v>
      </c>
      <c r="E44" s="62">
        <v>5</v>
      </c>
      <c r="F44" s="28"/>
    </row>
    <row r="45" spans="1:8" ht="15.75">
      <c r="A45" s="11" t="s">
        <v>47</v>
      </c>
      <c r="B45" s="5"/>
      <c r="C45" s="12"/>
      <c r="D45" s="63">
        <v>0</v>
      </c>
      <c r="E45" s="64">
        <v>0</v>
      </c>
      <c r="F45" s="28"/>
      <c r="H45" s="20"/>
    </row>
    <row r="46" spans="1:6" ht="15.75">
      <c r="A46" s="17"/>
      <c r="B46" s="34"/>
      <c r="C46" s="18"/>
      <c r="D46" s="35">
        <f>SUM(D40:D45)</f>
        <v>58275012.18000001</v>
      </c>
      <c r="E46" s="33">
        <f>SUM(E40:E45)</f>
        <v>1214</v>
      </c>
      <c r="F46" s="28"/>
    </row>
    <row r="47" ht="15.75">
      <c r="F47" s="20"/>
    </row>
    <row r="48" spans="1:6" ht="15.75">
      <c r="A48" s="36" t="s">
        <v>48</v>
      </c>
      <c r="E48" s="21" t="s">
        <v>29</v>
      </c>
      <c r="F48" s="21" t="s">
        <v>22</v>
      </c>
    </row>
    <row r="49" spans="5:6" ht="15.75">
      <c r="E49" s="21"/>
      <c r="F49" s="22"/>
    </row>
    <row r="50" spans="1:6" ht="15.75">
      <c r="A50" s="37" t="s">
        <v>23</v>
      </c>
      <c r="E50" s="21">
        <v>0</v>
      </c>
      <c r="F50" s="22">
        <v>0</v>
      </c>
    </row>
    <row r="51" spans="1:6" ht="15.75">
      <c r="A51" s="36" t="s">
        <v>24</v>
      </c>
      <c r="E51" s="21">
        <v>0</v>
      </c>
      <c r="F51" s="22">
        <v>0</v>
      </c>
    </row>
    <row r="52" spans="1:6" ht="15.75">
      <c r="A52" s="2" t="s">
        <v>14</v>
      </c>
      <c r="E52" s="21">
        <v>0</v>
      </c>
      <c r="F52" s="22">
        <v>0</v>
      </c>
    </row>
    <row r="53" spans="1:6" ht="15.75">
      <c r="A53" s="36" t="s">
        <v>25</v>
      </c>
      <c r="E53" s="21"/>
      <c r="F53" s="22">
        <f>F50-F54-F51-F52</f>
        <v>0</v>
      </c>
    </row>
    <row r="54" spans="1:6" ht="15.75">
      <c r="A54" s="2" t="s">
        <v>26</v>
      </c>
      <c r="E54" s="21"/>
      <c r="F54" s="38">
        <v>0</v>
      </c>
    </row>
    <row r="55" spans="5:6" ht="15.75">
      <c r="E55" s="21"/>
      <c r="F55" s="22"/>
    </row>
    <row r="56" spans="1:6" ht="15.75">
      <c r="A56" s="2" t="s">
        <v>27</v>
      </c>
      <c r="E56" s="21"/>
      <c r="F56" s="39">
        <v>0</v>
      </c>
    </row>
    <row r="57" spans="1:6" ht="15.75">
      <c r="A57" s="2" t="s">
        <v>15</v>
      </c>
      <c r="E57" s="21"/>
      <c r="F57" s="22">
        <v>0</v>
      </c>
    </row>
    <row r="58" spans="5:6" ht="15.75">
      <c r="E58" s="21"/>
      <c r="F58" s="22"/>
    </row>
    <row r="59" spans="1:6" ht="15.75">
      <c r="A59" s="2" t="s">
        <v>28</v>
      </c>
      <c r="E59" s="21"/>
      <c r="F59" s="39">
        <v>0</v>
      </c>
    </row>
    <row r="60" spans="1:6" ht="15.75">
      <c r="A60" s="2" t="s">
        <v>49</v>
      </c>
      <c r="E60" s="21"/>
      <c r="F60" s="40">
        <v>0</v>
      </c>
    </row>
    <row r="61" spans="5:6" ht="15.75">
      <c r="E61" s="21"/>
      <c r="F61" s="22"/>
    </row>
    <row r="62" ht="15.75">
      <c r="F62" s="20"/>
    </row>
    <row r="63" ht="15.75">
      <c r="F63" s="20"/>
    </row>
    <row r="64" ht="15.75">
      <c r="F64" s="20"/>
    </row>
    <row r="65" spans="1:6" ht="15.75">
      <c r="A65" s="25" t="s">
        <v>16</v>
      </c>
      <c r="B65" s="25"/>
      <c r="C65" s="25"/>
      <c r="F65" s="20"/>
    </row>
    <row r="66" ht="15.75">
      <c r="A66" s="2" t="s">
        <v>54</v>
      </c>
    </row>
  </sheetData>
  <printOptions/>
  <pageMargins left="0.75" right="0.75" top="1" bottom="1" header="0.5" footer="0.5"/>
  <pageSetup horizontalDpi="600" verticalDpi="600" orientation="portrait" paperSize="9" scale="87" r:id="rId2"/>
  <rowBreaks count="1" manualBreakCount="1">
    <brk id="46" max="255" man="1"/>
  </rowBreaks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66"/>
  <sheetViews>
    <sheetView workbookViewId="0" topLeftCell="A1">
      <selection activeCell="A1" sqref="A1"/>
    </sheetView>
  </sheetViews>
  <sheetFormatPr defaultColWidth="9.00390625" defaultRowHeight="15.75"/>
  <cols>
    <col min="1" max="1" width="9.00390625" style="2" customWidth="1"/>
    <col min="2" max="2" width="7.625" style="2" customWidth="1"/>
    <col min="3" max="3" width="11.875" style="2" customWidth="1"/>
    <col min="4" max="5" width="15.625" style="2" customWidth="1"/>
    <col min="6" max="6" width="12.375" style="2" customWidth="1"/>
    <col min="7" max="7" width="11.75390625" style="2" customWidth="1"/>
    <col min="8" max="16384" width="9.00390625" style="2" customWidth="1"/>
  </cols>
  <sheetData>
    <row r="1" spans="1:3" ht="18.75">
      <c r="A1" s="1"/>
      <c r="B1" s="1"/>
      <c r="C1" s="1" t="s">
        <v>33</v>
      </c>
    </row>
    <row r="2" ht="15.75"/>
    <row r="4" spans="1:5" ht="15.75">
      <c r="A4" s="2" t="s">
        <v>0</v>
      </c>
      <c r="D4" s="52">
        <v>38868</v>
      </c>
      <c r="E4" s="3"/>
    </row>
    <row r="5" spans="1:5" ht="15.75">
      <c r="A5" s="2" t="s">
        <v>17</v>
      </c>
      <c r="D5" s="53">
        <v>0.0465688</v>
      </c>
      <c r="E5" s="3"/>
    </row>
    <row r="7" ht="15.75">
      <c r="A7" s="2" t="s">
        <v>1</v>
      </c>
    </row>
    <row r="8" spans="1:7" s="47" customFormat="1" ht="31.5">
      <c r="A8" s="41" t="s">
        <v>2</v>
      </c>
      <c r="B8" s="42"/>
      <c r="C8" s="43" t="s">
        <v>31</v>
      </c>
      <c r="D8" s="44" t="s">
        <v>3</v>
      </c>
      <c r="E8" s="44" t="s">
        <v>32</v>
      </c>
      <c r="F8" s="44" t="s">
        <v>18</v>
      </c>
      <c r="G8" s="45" t="s">
        <v>4</v>
      </c>
    </row>
    <row r="9" spans="1:7" ht="15.75">
      <c r="A9" s="6" t="s">
        <v>34</v>
      </c>
      <c r="B9" s="7"/>
      <c r="C9" s="8">
        <v>31</v>
      </c>
      <c r="D9" s="54">
        <v>31436150</v>
      </c>
      <c r="E9" s="54">
        <v>2838881</v>
      </c>
      <c r="F9" s="54">
        <v>152931.6</v>
      </c>
      <c r="G9" s="10">
        <f>+D9/276000000</f>
        <v>0.11389909420289855</v>
      </c>
    </row>
    <row r="10" spans="1:7" ht="15.75">
      <c r="A10" s="11" t="s">
        <v>5</v>
      </c>
      <c r="B10" s="12"/>
      <c r="C10" s="13">
        <v>85</v>
      </c>
      <c r="D10" s="14">
        <v>24000000</v>
      </c>
      <c r="E10" s="15">
        <v>0</v>
      </c>
      <c r="F10" s="55">
        <v>118807.2</v>
      </c>
      <c r="G10" s="16">
        <f>+D10/24000000</f>
        <v>1</v>
      </c>
    </row>
    <row r="11" spans="1:7" ht="15.75">
      <c r="A11" s="17"/>
      <c r="B11" s="18"/>
      <c r="C11" s="18"/>
      <c r="D11" s="15">
        <f>SUM(D9:D10)</f>
        <v>55436150</v>
      </c>
      <c r="E11" s="15">
        <f>SUM(E9:E10)</f>
        <v>2838881</v>
      </c>
      <c r="F11" s="15">
        <f>SUM(F9:F10)</f>
        <v>271738.8</v>
      </c>
      <c r="G11" s="19"/>
    </row>
    <row r="13" spans="1:6" ht="15.75">
      <c r="A13" s="2" t="s">
        <v>35</v>
      </c>
      <c r="F13" s="20">
        <v>9000000</v>
      </c>
    </row>
    <row r="14" spans="1:6" ht="15.75">
      <c r="A14" s="2" t="s">
        <v>6</v>
      </c>
      <c r="F14" s="20">
        <v>0</v>
      </c>
    </row>
    <row r="15" ht="15.75">
      <c r="F15" s="20"/>
    </row>
    <row r="16" spans="1:6" ht="15.75">
      <c r="A16" s="2" t="s">
        <v>7</v>
      </c>
      <c r="F16" s="20">
        <v>6000000</v>
      </c>
    </row>
    <row r="17" spans="1:6" ht="15.75">
      <c r="A17" s="2" t="s">
        <v>52</v>
      </c>
      <c r="F17" s="20">
        <v>0</v>
      </c>
    </row>
    <row r="18" spans="1:6" ht="15.75">
      <c r="A18" s="2" t="s">
        <v>36</v>
      </c>
      <c r="F18" s="20">
        <v>6000000</v>
      </c>
    </row>
    <row r="19" ht="15.75">
      <c r="F19" s="20"/>
    </row>
    <row r="20" spans="1:6" ht="15.75">
      <c r="A20" s="2" t="s">
        <v>37</v>
      </c>
      <c r="F20" s="20">
        <v>500000</v>
      </c>
    </row>
    <row r="21" spans="1:6" ht="15.75">
      <c r="A21" s="2" t="s">
        <v>38</v>
      </c>
      <c r="F21" s="20">
        <v>0</v>
      </c>
    </row>
    <row r="22" spans="1:6" ht="15.75">
      <c r="A22" s="2" t="s">
        <v>39</v>
      </c>
      <c r="F22" s="20">
        <v>500000</v>
      </c>
    </row>
    <row r="23" ht="15.75">
      <c r="F23" s="20"/>
    </row>
    <row r="24" spans="1:6" ht="15.75">
      <c r="A24" s="2" t="s">
        <v>8</v>
      </c>
      <c r="F24" s="20">
        <v>0</v>
      </c>
    </row>
    <row r="25" spans="1:6" ht="15.75">
      <c r="A25" s="2" t="s">
        <v>19</v>
      </c>
      <c r="F25" s="20">
        <v>0</v>
      </c>
    </row>
    <row r="26" ht="15.75">
      <c r="F26" s="20"/>
    </row>
    <row r="27" spans="1:6" ht="15.75">
      <c r="A27" s="2" t="s">
        <v>40</v>
      </c>
      <c r="F27" s="65">
        <v>46792</v>
      </c>
    </row>
    <row r="28" spans="1:6" ht="15.75">
      <c r="A28" s="2" t="s">
        <v>53</v>
      </c>
      <c r="F28" s="20">
        <v>0</v>
      </c>
    </row>
    <row r="29" spans="1:6" ht="15.75">
      <c r="A29" s="2" t="s">
        <v>20</v>
      </c>
      <c r="F29" s="20">
        <f>D46</f>
        <v>55436148.470000006</v>
      </c>
    </row>
    <row r="30" ht="15.75">
      <c r="F30" s="20"/>
    </row>
    <row r="31" spans="5:6" ht="15.75">
      <c r="E31" s="21" t="s">
        <v>21</v>
      </c>
      <c r="F31" s="22" t="s">
        <v>22</v>
      </c>
    </row>
    <row r="32" spans="1:6" ht="15.75">
      <c r="A32" s="2" t="s">
        <v>41</v>
      </c>
      <c r="E32" s="56">
        <f>+'May 06'!E32+E33</f>
        <v>95</v>
      </c>
      <c r="F32" s="57">
        <f>+'May 06'!F32+F33</f>
        <v>4316830.109999999</v>
      </c>
    </row>
    <row r="33" spans="1:6" ht="15.75">
      <c r="A33" s="2" t="s">
        <v>9</v>
      </c>
      <c r="E33" s="56">
        <v>0</v>
      </c>
      <c r="F33" s="57">
        <v>0</v>
      </c>
    </row>
    <row r="34" spans="1:6" ht="15.75">
      <c r="A34" s="2" t="s">
        <v>42</v>
      </c>
      <c r="E34" s="21">
        <f>+'May 06'!E34</f>
        <v>2530</v>
      </c>
      <c r="F34" s="22">
        <f>+'May 06'!F34</f>
        <v>204766491.04</v>
      </c>
    </row>
    <row r="35" spans="5:6" ht="15.75">
      <c r="E35" s="21"/>
      <c r="F35" s="22"/>
    </row>
    <row r="36" spans="1:6" ht="15.75">
      <c r="A36" s="2" t="s">
        <v>50</v>
      </c>
      <c r="E36" s="23"/>
      <c r="F36" s="58">
        <f>((3066757.65+1119179.92-1347055.64)/58275012)*12</f>
        <v>0.5845830312312934</v>
      </c>
    </row>
    <row r="37" spans="5:6" ht="15.75">
      <c r="E37" s="23"/>
      <c r="F37" s="20"/>
    </row>
    <row r="38" spans="1:6" ht="15.75">
      <c r="A38" s="2" t="s">
        <v>43</v>
      </c>
      <c r="F38" s="20"/>
    </row>
    <row r="39" spans="1:6" s="47" customFormat="1" ht="47.25">
      <c r="A39" s="41" t="s">
        <v>10</v>
      </c>
      <c r="B39" s="48"/>
      <c r="C39" s="42"/>
      <c r="D39" s="49" t="s">
        <v>11</v>
      </c>
      <c r="E39" s="50" t="s">
        <v>12</v>
      </c>
      <c r="F39" s="51"/>
    </row>
    <row r="40" spans="1:8" ht="15.75">
      <c r="A40" s="6" t="s">
        <v>13</v>
      </c>
      <c r="B40" s="25"/>
      <c r="C40" s="7"/>
      <c r="D40" s="59">
        <v>54065635.06</v>
      </c>
      <c r="E40" s="60">
        <v>1134</v>
      </c>
      <c r="F40" s="28"/>
      <c r="H40" s="20"/>
    </row>
    <row r="41" spans="1:6" ht="15.75">
      <c r="A41" s="29" t="s">
        <v>44</v>
      </c>
      <c r="B41" s="5"/>
      <c r="C41" s="12"/>
      <c r="D41" s="61">
        <v>658643.75</v>
      </c>
      <c r="E41" s="62">
        <v>6</v>
      </c>
      <c r="F41" s="28"/>
    </row>
    <row r="42" spans="1:6" ht="15.75">
      <c r="A42" s="29" t="s">
        <v>45</v>
      </c>
      <c r="B42" s="5"/>
      <c r="C42" s="12"/>
      <c r="D42" s="61">
        <v>287612.82</v>
      </c>
      <c r="E42" s="62">
        <v>3</v>
      </c>
      <c r="F42" s="28" t="s">
        <v>51</v>
      </c>
    </row>
    <row r="43" spans="1:8" ht="15.75">
      <c r="A43" s="11" t="s">
        <v>46</v>
      </c>
      <c r="B43" s="5"/>
      <c r="C43" s="12"/>
      <c r="D43" s="61">
        <f>214637.98+6016.2+39497.34+4754.83</f>
        <v>264906.35000000003</v>
      </c>
      <c r="E43" s="62">
        <f>2+1+1+1</f>
        <v>5</v>
      </c>
      <c r="F43" s="28"/>
      <c r="H43" s="20"/>
    </row>
    <row r="44" spans="1:6" ht="15.75">
      <c r="A44" s="11" t="s">
        <v>30</v>
      </c>
      <c r="B44" s="5"/>
      <c r="C44" s="12"/>
      <c r="D44" s="61">
        <v>159350.49</v>
      </c>
      <c r="E44" s="62">
        <v>4</v>
      </c>
      <c r="F44" s="28"/>
    </row>
    <row r="45" spans="1:8" ht="15.75">
      <c r="A45" s="11" t="s">
        <v>47</v>
      </c>
      <c r="B45" s="5"/>
      <c r="C45" s="12"/>
      <c r="D45" s="63">
        <v>0</v>
      </c>
      <c r="E45" s="64">
        <v>0</v>
      </c>
      <c r="F45" s="28"/>
      <c r="H45" s="20"/>
    </row>
    <row r="46" spans="1:6" ht="15.75">
      <c r="A46" s="17"/>
      <c r="B46" s="34"/>
      <c r="C46" s="18"/>
      <c r="D46" s="35">
        <f>SUM(D40:D45)</f>
        <v>55436148.470000006</v>
      </c>
      <c r="E46" s="33">
        <f>SUM(E40:E45)</f>
        <v>1152</v>
      </c>
      <c r="F46" s="28"/>
    </row>
    <row r="47" ht="15.75">
      <c r="F47" s="20"/>
    </row>
    <row r="48" spans="1:6" ht="15.75">
      <c r="A48" s="36" t="s">
        <v>48</v>
      </c>
      <c r="E48" s="21" t="s">
        <v>29</v>
      </c>
      <c r="F48" s="21" t="s">
        <v>22</v>
      </c>
    </row>
    <row r="49" spans="5:6" ht="15.75">
      <c r="E49" s="21"/>
      <c r="F49" s="22"/>
    </row>
    <row r="50" spans="1:6" ht="15.75">
      <c r="A50" s="37" t="s">
        <v>23</v>
      </c>
      <c r="E50" s="21">
        <v>0</v>
      </c>
      <c r="F50" s="22">
        <v>0</v>
      </c>
    </row>
    <row r="51" spans="1:6" ht="15.75">
      <c r="A51" s="36" t="s">
        <v>24</v>
      </c>
      <c r="E51" s="21">
        <v>0</v>
      </c>
      <c r="F51" s="22">
        <v>0</v>
      </c>
    </row>
    <row r="52" spans="1:6" ht="15.75">
      <c r="A52" s="2" t="s">
        <v>14</v>
      </c>
      <c r="E52" s="21">
        <v>0</v>
      </c>
      <c r="F52" s="22">
        <v>0</v>
      </c>
    </row>
    <row r="53" spans="1:6" ht="15.75">
      <c r="A53" s="36" t="s">
        <v>25</v>
      </c>
      <c r="E53" s="21"/>
      <c r="F53" s="22">
        <f>F50-F54-F51-F52</f>
        <v>0</v>
      </c>
    </row>
    <row r="54" spans="1:6" ht="15.75">
      <c r="A54" s="2" t="s">
        <v>26</v>
      </c>
      <c r="E54" s="21"/>
      <c r="F54" s="38">
        <v>0</v>
      </c>
    </row>
    <row r="55" spans="5:6" ht="15.75">
      <c r="E55" s="21"/>
      <c r="F55" s="22"/>
    </row>
    <row r="56" spans="1:6" ht="15.75">
      <c r="A56" s="2" t="s">
        <v>27</v>
      </c>
      <c r="E56" s="21"/>
      <c r="F56" s="39">
        <v>0</v>
      </c>
    </row>
    <row r="57" spans="1:6" ht="15.75">
      <c r="A57" s="2" t="s">
        <v>15</v>
      </c>
      <c r="E57" s="21"/>
      <c r="F57" s="22">
        <v>0</v>
      </c>
    </row>
    <row r="58" spans="5:6" ht="15.75">
      <c r="E58" s="21"/>
      <c r="F58" s="22"/>
    </row>
    <row r="59" spans="1:6" ht="15.75">
      <c r="A59" s="2" t="s">
        <v>28</v>
      </c>
      <c r="E59" s="21"/>
      <c r="F59" s="39">
        <v>0</v>
      </c>
    </row>
    <row r="60" spans="1:6" ht="15.75">
      <c r="A60" s="2" t="s">
        <v>49</v>
      </c>
      <c r="E60" s="21"/>
      <c r="F60" s="40">
        <v>0</v>
      </c>
    </row>
    <row r="61" spans="5:6" ht="15.75">
      <c r="E61" s="21"/>
      <c r="F61" s="22"/>
    </row>
    <row r="62" ht="15.75">
      <c r="F62" s="20"/>
    </row>
    <row r="63" ht="15.75">
      <c r="F63" s="20"/>
    </row>
    <row r="64" ht="15.75">
      <c r="F64" s="20"/>
    </row>
    <row r="65" spans="1:6" ht="15.75">
      <c r="A65" s="25" t="s">
        <v>16</v>
      </c>
      <c r="B65" s="25"/>
      <c r="C65" s="25"/>
      <c r="F65" s="20"/>
    </row>
    <row r="66" ht="15.75">
      <c r="A66" s="2" t="s">
        <v>54</v>
      </c>
    </row>
  </sheetData>
  <printOptions/>
  <pageMargins left="0.75" right="0.75" top="1" bottom="1" header="0.5" footer="0.5"/>
  <pageSetup horizontalDpi="600" verticalDpi="600" orientation="portrait" paperSize="9" scale="87" r:id="rId2"/>
  <rowBreaks count="1" manualBreakCount="1">
    <brk id="46" max="255" man="1"/>
  </rowBreaks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66"/>
  <sheetViews>
    <sheetView workbookViewId="0" topLeftCell="A1">
      <selection activeCell="A1" sqref="A1"/>
    </sheetView>
  </sheetViews>
  <sheetFormatPr defaultColWidth="9.00390625" defaultRowHeight="15.75"/>
  <cols>
    <col min="1" max="1" width="9.00390625" style="2" customWidth="1"/>
    <col min="2" max="2" width="7.625" style="2" customWidth="1"/>
    <col min="3" max="3" width="11.875" style="2" customWidth="1"/>
    <col min="4" max="5" width="15.625" style="2" customWidth="1"/>
    <col min="6" max="6" width="12.375" style="2" customWidth="1"/>
    <col min="7" max="7" width="11.75390625" style="2" customWidth="1"/>
    <col min="8" max="16384" width="9.00390625" style="2" customWidth="1"/>
  </cols>
  <sheetData>
    <row r="1" spans="1:3" ht="18.75">
      <c r="A1" s="1"/>
      <c r="B1" s="1"/>
      <c r="C1" s="1" t="s">
        <v>33</v>
      </c>
    </row>
    <row r="2" ht="15.75">
      <c r="A2" s="2">
        <v>4</v>
      </c>
    </row>
    <row r="4" spans="1:5" ht="15.75">
      <c r="A4" s="2" t="s">
        <v>0</v>
      </c>
      <c r="D4" s="52">
        <v>38898</v>
      </c>
      <c r="E4" s="3"/>
    </row>
    <row r="5" spans="1:5" ht="15.75">
      <c r="A5" s="2" t="s">
        <v>17</v>
      </c>
      <c r="D5" s="53">
        <v>0.046835</v>
      </c>
      <c r="E5" s="3"/>
    </row>
    <row r="7" ht="15.75">
      <c r="A7" s="2" t="s">
        <v>1</v>
      </c>
    </row>
    <row r="8" spans="1:7" s="47" customFormat="1" ht="31.5">
      <c r="A8" s="41" t="s">
        <v>2</v>
      </c>
      <c r="B8" s="42"/>
      <c r="C8" s="43" t="s">
        <v>31</v>
      </c>
      <c r="D8" s="44" t="s">
        <v>3</v>
      </c>
      <c r="E8" s="44" t="s">
        <v>32</v>
      </c>
      <c r="F8" s="44" t="s">
        <v>18</v>
      </c>
      <c r="G8" s="45" t="s">
        <v>4</v>
      </c>
    </row>
    <row r="9" spans="1:7" ht="15.75">
      <c r="A9" s="6" t="s">
        <v>34</v>
      </c>
      <c r="B9" s="7"/>
      <c r="C9" s="8">
        <v>31</v>
      </c>
      <c r="D9" s="54">
        <v>29504232.4</v>
      </c>
      <c r="E9" s="54">
        <v>1931917.2</v>
      </c>
      <c r="F9" s="54">
        <v>128340</v>
      </c>
      <c r="G9" s="10">
        <f>+D9/276000000</f>
        <v>0.10689939275362319</v>
      </c>
    </row>
    <row r="10" spans="1:7" ht="15.75">
      <c r="A10" s="11" t="s">
        <v>5</v>
      </c>
      <c r="B10" s="12"/>
      <c r="C10" s="13">
        <v>85</v>
      </c>
      <c r="D10" s="14">
        <v>24000000</v>
      </c>
      <c r="E10" s="15">
        <v>0</v>
      </c>
      <c r="F10" s="55">
        <v>108628.8</v>
      </c>
      <c r="G10" s="16">
        <f>+D10/24000000</f>
        <v>1</v>
      </c>
    </row>
    <row r="11" spans="1:7" ht="15.75">
      <c r="A11" s="17"/>
      <c r="B11" s="18"/>
      <c r="C11" s="18"/>
      <c r="D11" s="15">
        <f>SUM(D9:D10)</f>
        <v>53504232.4</v>
      </c>
      <c r="E11" s="15">
        <f>SUM(E9:E10)</f>
        <v>1931917.2</v>
      </c>
      <c r="F11" s="15">
        <f>SUM(F9:F10)</f>
        <v>236968.8</v>
      </c>
      <c r="G11" s="19"/>
    </row>
    <row r="13" spans="1:6" ht="15.75">
      <c r="A13" s="2" t="s">
        <v>35</v>
      </c>
      <c r="F13" s="20">
        <v>9000000</v>
      </c>
    </row>
    <row r="14" spans="1:6" ht="15.75">
      <c r="A14" s="2" t="s">
        <v>6</v>
      </c>
      <c r="F14" s="20">
        <v>0</v>
      </c>
    </row>
    <row r="15" ht="15.75">
      <c r="F15" s="20"/>
    </row>
    <row r="16" spans="1:6" ht="15.75">
      <c r="A16" s="2" t="s">
        <v>7</v>
      </c>
      <c r="F16" s="20">
        <v>6000000</v>
      </c>
    </row>
    <row r="17" spans="1:6" ht="15.75">
      <c r="A17" s="2" t="s">
        <v>52</v>
      </c>
      <c r="F17" s="20">
        <v>0</v>
      </c>
    </row>
    <row r="18" spans="1:6" ht="15.75">
      <c r="A18" s="2" t="s">
        <v>36</v>
      </c>
      <c r="F18" s="20">
        <v>6000000</v>
      </c>
    </row>
    <row r="19" ht="15.75">
      <c r="F19" s="20"/>
    </row>
    <row r="20" spans="1:6" ht="15.75">
      <c r="A20" s="2" t="s">
        <v>37</v>
      </c>
      <c r="F20" s="20">
        <v>500000</v>
      </c>
    </row>
    <row r="21" spans="1:6" ht="15.75">
      <c r="A21" s="2" t="s">
        <v>38</v>
      </c>
      <c r="F21" s="20">
        <v>0</v>
      </c>
    </row>
    <row r="22" spans="1:6" ht="15.75">
      <c r="A22" s="2" t="s">
        <v>39</v>
      </c>
      <c r="F22" s="20">
        <v>500000</v>
      </c>
    </row>
    <row r="23" ht="15.75">
      <c r="F23" s="20"/>
    </row>
    <row r="24" spans="1:6" ht="15.75">
      <c r="A24" s="2" t="s">
        <v>8</v>
      </c>
      <c r="F24" s="20">
        <v>0</v>
      </c>
    </row>
    <row r="25" spans="1:6" ht="15.75">
      <c r="A25" s="2" t="s">
        <v>19</v>
      </c>
      <c r="F25" s="20">
        <v>0</v>
      </c>
    </row>
    <row r="26" ht="15.75">
      <c r="F26" s="20"/>
    </row>
    <row r="27" spans="1:6" ht="15.75">
      <c r="A27" s="2" t="s">
        <v>40</v>
      </c>
      <c r="F27" s="65">
        <v>55605</v>
      </c>
    </row>
    <row r="28" spans="1:6" ht="15.75">
      <c r="A28" s="2" t="s">
        <v>53</v>
      </c>
      <c r="F28" s="20">
        <v>0</v>
      </c>
    </row>
    <row r="29" spans="1:6" ht="15.75">
      <c r="A29" s="2" t="s">
        <v>20</v>
      </c>
      <c r="F29" s="20">
        <f>D46</f>
        <v>53504211.38</v>
      </c>
    </row>
    <row r="30" ht="15.75">
      <c r="F30" s="20"/>
    </row>
    <row r="31" spans="5:6" ht="15.75">
      <c r="E31" s="21" t="s">
        <v>21</v>
      </c>
      <c r="F31" s="22" t="s">
        <v>22</v>
      </c>
    </row>
    <row r="32" spans="1:6" ht="15.75">
      <c r="A32" s="2" t="s">
        <v>41</v>
      </c>
      <c r="E32" s="56">
        <f>+'Jun 06'!E32+E33</f>
        <v>95</v>
      </c>
      <c r="F32" s="57">
        <f>+'Jun 06'!F32+F33</f>
        <v>4316830.109999999</v>
      </c>
    </row>
    <row r="33" spans="1:6" ht="15.75">
      <c r="A33" s="2" t="s">
        <v>9</v>
      </c>
      <c r="E33" s="56">
        <v>0</v>
      </c>
      <c r="F33" s="57">
        <v>0</v>
      </c>
    </row>
    <row r="34" spans="1:6" ht="15.75">
      <c r="A34" s="2" t="s">
        <v>42</v>
      </c>
      <c r="E34" s="21">
        <f>+'May 06'!E34</f>
        <v>2530</v>
      </c>
      <c r="F34" s="22">
        <f>+'Jun 06'!F34</f>
        <v>204766491.04</v>
      </c>
    </row>
    <row r="35" spans="5:6" ht="15.75">
      <c r="E35" s="21"/>
      <c r="F35" s="22"/>
    </row>
    <row r="36" spans="1:6" ht="15.75">
      <c r="A36" s="2" t="s">
        <v>50</v>
      </c>
      <c r="E36" s="23"/>
      <c r="F36" s="58">
        <f>((1483123.23+1068285-619470)/55436148)*12</f>
        <v>0.4181975046318153</v>
      </c>
    </row>
    <row r="37" spans="5:6" ht="15.75">
      <c r="E37" s="23"/>
      <c r="F37" s="20"/>
    </row>
    <row r="38" spans="1:6" ht="15.75">
      <c r="A38" s="2" t="s">
        <v>43</v>
      </c>
      <c r="F38" s="20"/>
    </row>
    <row r="39" spans="1:6" s="47" customFormat="1" ht="47.25">
      <c r="A39" s="41" t="s">
        <v>10</v>
      </c>
      <c r="B39" s="48"/>
      <c r="C39" s="42"/>
      <c r="D39" s="49" t="s">
        <v>11</v>
      </c>
      <c r="E39" s="50" t="s">
        <v>12</v>
      </c>
      <c r="F39" s="51"/>
    </row>
    <row r="40" spans="1:8" ht="15.75">
      <c r="A40" s="6" t="s">
        <v>13</v>
      </c>
      <c r="B40" s="25"/>
      <c r="C40" s="7"/>
      <c r="D40" s="59">
        <v>51871855.59</v>
      </c>
      <c r="E40" s="60">
        <v>1106</v>
      </c>
      <c r="F40" s="28"/>
      <c r="H40" s="20"/>
    </row>
    <row r="41" spans="1:6" ht="15.75">
      <c r="A41" s="29" t="s">
        <v>44</v>
      </c>
      <c r="B41" s="5"/>
      <c r="C41" s="12"/>
      <c r="D41" s="61">
        <v>1062785.55</v>
      </c>
      <c r="E41" s="62">
        <v>8</v>
      </c>
      <c r="F41" s="28"/>
    </row>
    <row r="42" spans="1:6" ht="15.75">
      <c r="A42" s="29" t="s">
        <v>45</v>
      </c>
      <c r="B42" s="5"/>
      <c r="C42" s="12"/>
      <c r="D42" s="61">
        <v>306399.08</v>
      </c>
      <c r="E42" s="62">
        <v>2</v>
      </c>
      <c r="F42" s="28" t="s">
        <v>51</v>
      </c>
    </row>
    <row r="43" spans="1:8" ht="15.75">
      <c r="A43" s="11" t="s">
        <v>46</v>
      </c>
      <c r="B43" s="5"/>
      <c r="C43" s="12"/>
      <c r="D43" s="61">
        <f>72807.15+39450.44</f>
        <v>112257.59</v>
      </c>
      <c r="E43" s="62">
        <f>1+1</f>
        <v>2</v>
      </c>
      <c r="F43" s="28"/>
      <c r="H43" s="20"/>
    </row>
    <row r="44" spans="1:6" ht="15.75">
      <c r="A44" s="11" t="s">
        <v>30</v>
      </c>
      <c r="B44" s="5"/>
      <c r="C44" s="12"/>
      <c r="D44" s="61">
        <v>150913.57</v>
      </c>
      <c r="E44" s="62">
        <v>5</v>
      </c>
      <c r="F44" s="28"/>
    </row>
    <row r="45" spans="1:8" ht="15.75">
      <c r="A45" s="11" t="s">
        <v>47</v>
      </c>
      <c r="B45" s="5"/>
      <c r="C45" s="12"/>
      <c r="D45" s="63">
        <v>0</v>
      </c>
      <c r="E45" s="64">
        <v>0</v>
      </c>
      <c r="F45" s="28"/>
      <c r="H45" s="20"/>
    </row>
    <row r="46" spans="1:6" ht="15.75">
      <c r="A46" s="17"/>
      <c r="B46" s="34"/>
      <c r="C46" s="18"/>
      <c r="D46" s="35">
        <f>SUM(D40:D45)</f>
        <v>53504211.38</v>
      </c>
      <c r="E46" s="33">
        <f>SUM(E40:E45)</f>
        <v>1123</v>
      </c>
      <c r="F46" s="28"/>
    </row>
    <row r="47" ht="15.75">
      <c r="F47" s="20"/>
    </row>
    <row r="48" spans="1:6" ht="15.75">
      <c r="A48" s="36" t="s">
        <v>48</v>
      </c>
      <c r="E48" s="21" t="s">
        <v>29</v>
      </c>
      <c r="F48" s="21" t="s">
        <v>22</v>
      </c>
    </row>
    <row r="49" spans="5:6" ht="15.75">
      <c r="E49" s="21"/>
      <c r="F49" s="22"/>
    </row>
    <row r="50" spans="1:6" ht="15.75">
      <c r="A50" s="37" t="s">
        <v>23</v>
      </c>
      <c r="E50" s="21">
        <v>0</v>
      </c>
      <c r="F50" s="22">
        <v>0</v>
      </c>
    </row>
    <row r="51" spans="1:6" ht="15.75">
      <c r="A51" s="36" t="s">
        <v>24</v>
      </c>
      <c r="E51" s="21">
        <v>0</v>
      </c>
      <c r="F51" s="22">
        <v>0</v>
      </c>
    </row>
    <row r="52" spans="1:6" ht="15.75">
      <c r="A52" s="2" t="s">
        <v>14</v>
      </c>
      <c r="E52" s="21">
        <v>0</v>
      </c>
      <c r="F52" s="22">
        <v>0</v>
      </c>
    </row>
    <row r="53" spans="1:6" ht="15.75">
      <c r="A53" s="36" t="s">
        <v>25</v>
      </c>
      <c r="E53" s="21"/>
      <c r="F53" s="22">
        <f>F50-F54-F51-F52</f>
        <v>0</v>
      </c>
    </row>
    <row r="54" spans="1:6" ht="15.75">
      <c r="A54" s="2" t="s">
        <v>26</v>
      </c>
      <c r="E54" s="21"/>
      <c r="F54" s="38">
        <v>0</v>
      </c>
    </row>
    <row r="55" spans="5:6" ht="15.75">
      <c r="E55" s="21"/>
      <c r="F55" s="22"/>
    </row>
    <row r="56" spans="1:6" ht="15.75">
      <c r="A56" s="2" t="s">
        <v>27</v>
      </c>
      <c r="E56" s="21"/>
      <c r="F56" s="39">
        <v>0</v>
      </c>
    </row>
    <row r="57" spans="1:6" ht="15.75">
      <c r="A57" s="2" t="s">
        <v>15</v>
      </c>
      <c r="E57" s="21"/>
      <c r="F57" s="22">
        <v>0</v>
      </c>
    </row>
    <row r="58" spans="5:6" ht="15.75">
      <c r="E58" s="21"/>
      <c r="F58" s="22"/>
    </row>
    <row r="59" spans="1:6" ht="15.75">
      <c r="A59" s="2" t="s">
        <v>28</v>
      </c>
      <c r="E59" s="21"/>
      <c r="F59" s="39">
        <v>0</v>
      </c>
    </row>
    <row r="60" spans="1:6" ht="15.75">
      <c r="A60" s="2" t="s">
        <v>49</v>
      </c>
      <c r="E60" s="21"/>
      <c r="F60" s="40">
        <v>0</v>
      </c>
    </row>
    <row r="61" spans="5:6" ht="15.75">
      <c r="E61" s="21"/>
      <c r="F61" s="22"/>
    </row>
    <row r="62" ht="15.75">
      <c r="F62" s="20"/>
    </row>
    <row r="63" ht="15.75">
      <c r="F63" s="20"/>
    </row>
    <row r="64" ht="15.75">
      <c r="F64" s="20"/>
    </row>
    <row r="65" spans="1:6" ht="15.75">
      <c r="A65" s="25" t="s">
        <v>16</v>
      </c>
      <c r="B65" s="25"/>
      <c r="C65" s="25"/>
      <c r="F65" s="20"/>
    </row>
    <row r="66" ht="15.75">
      <c r="A66" s="2" t="s">
        <v>54</v>
      </c>
    </row>
  </sheetData>
  <printOptions/>
  <pageMargins left="0.75" right="0.75" top="1" bottom="1" header="0.5" footer="0.5"/>
  <pageSetup horizontalDpi="600" verticalDpi="600" orientation="portrait" paperSize="9" scale="87" r:id="rId2"/>
  <rowBreaks count="1" manualBreakCount="1">
    <brk id="46" max="255" man="1"/>
  </rowBreaks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H66"/>
  <sheetViews>
    <sheetView workbookViewId="0" topLeftCell="A1">
      <selection activeCell="A1" sqref="A1"/>
    </sheetView>
  </sheetViews>
  <sheetFormatPr defaultColWidth="9.00390625" defaultRowHeight="15.75"/>
  <cols>
    <col min="1" max="1" width="9.00390625" style="2" customWidth="1"/>
    <col min="2" max="2" width="7.625" style="2" customWidth="1"/>
    <col min="3" max="3" width="11.875" style="2" customWidth="1"/>
    <col min="4" max="5" width="15.625" style="2" customWidth="1"/>
    <col min="6" max="6" width="12.375" style="2" customWidth="1"/>
    <col min="7" max="7" width="11.75390625" style="2" customWidth="1"/>
    <col min="8" max="16384" width="9.00390625" style="2" customWidth="1"/>
  </cols>
  <sheetData>
    <row r="1" spans="1:3" ht="18.75">
      <c r="A1" s="1"/>
      <c r="B1" s="1"/>
      <c r="C1" s="1" t="s">
        <v>33</v>
      </c>
    </row>
    <row r="2" ht="15.75">
      <c r="A2" s="2">
        <v>4</v>
      </c>
    </row>
    <row r="4" spans="1:5" ht="15.75">
      <c r="A4" s="2" t="s">
        <v>0</v>
      </c>
      <c r="D4" s="52">
        <v>38929</v>
      </c>
      <c r="E4" s="3"/>
    </row>
    <row r="5" spans="1:5" ht="15.75">
      <c r="A5" s="2" t="s">
        <v>17</v>
      </c>
      <c r="D5" s="53">
        <v>0.0468688</v>
      </c>
      <c r="E5" s="3"/>
    </row>
    <row r="7" ht="15.75">
      <c r="A7" s="2" t="s">
        <v>1</v>
      </c>
    </row>
    <row r="8" spans="1:7" s="47" customFormat="1" ht="31.5">
      <c r="A8" s="41" t="s">
        <v>2</v>
      </c>
      <c r="B8" s="42"/>
      <c r="C8" s="43" t="s">
        <v>31</v>
      </c>
      <c r="D8" s="44" t="s">
        <v>3</v>
      </c>
      <c r="E8" s="44" t="s">
        <v>32</v>
      </c>
      <c r="F8" s="44" t="s">
        <v>18</v>
      </c>
      <c r="G8" s="45" t="s">
        <v>4</v>
      </c>
    </row>
    <row r="9" spans="1:7" ht="15.75">
      <c r="A9" s="6" t="s">
        <v>34</v>
      </c>
      <c r="B9" s="7"/>
      <c r="C9" s="8">
        <v>31</v>
      </c>
      <c r="D9" s="54">
        <v>27389934.4</v>
      </c>
      <c r="E9" s="54">
        <v>2114298</v>
      </c>
      <c r="F9" s="54">
        <v>125138.4</v>
      </c>
      <c r="G9" s="10">
        <f>+D9/276000000</f>
        <v>0.09923889275362319</v>
      </c>
    </row>
    <row r="10" spans="1:7" ht="15.75">
      <c r="A10" s="11" t="s">
        <v>5</v>
      </c>
      <c r="B10" s="12"/>
      <c r="C10" s="13">
        <v>85</v>
      </c>
      <c r="D10" s="14">
        <v>24000000</v>
      </c>
      <c r="E10" s="15">
        <v>0</v>
      </c>
      <c r="F10" s="55">
        <v>112792.8</v>
      </c>
      <c r="G10" s="16">
        <f>+D10/24000000</f>
        <v>1</v>
      </c>
    </row>
    <row r="11" spans="1:7" ht="15.75">
      <c r="A11" s="17"/>
      <c r="B11" s="18"/>
      <c r="C11" s="18"/>
      <c r="D11" s="15">
        <f>SUM(D9:D10)</f>
        <v>51389934.4</v>
      </c>
      <c r="E11" s="15">
        <f>SUM(E9:E10)</f>
        <v>2114298</v>
      </c>
      <c r="F11" s="15">
        <f>SUM(F9:F10)</f>
        <v>237931.2</v>
      </c>
      <c r="G11" s="19"/>
    </row>
    <row r="13" spans="1:6" ht="15.75">
      <c r="A13" s="2" t="s">
        <v>35</v>
      </c>
      <c r="F13" s="20">
        <v>9000000</v>
      </c>
    </row>
    <row r="14" spans="1:6" ht="15.75">
      <c r="A14" s="2" t="s">
        <v>6</v>
      </c>
      <c r="F14" s="20">
        <v>0</v>
      </c>
    </row>
    <row r="15" ht="15.75">
      <c r="F15" s="20"/>
    </row>
    <row r="16" spans="1:6" ht="15.75">
      <c r="A16" s="2" t="s">
        <v>7</v>
      </c>
      <c r="F16" s="20">
        <v>6000000</v>
      </c>
    </row>
    <row r="17" spans="1:6" ht="15.75">
      <c r="A17" s="2" t="s">
        <v>52</v>
      </c>
      <c r="F17" s="20">
        <v>0</v>
      </c>
    </row>
    <row r="18" spans="1:6" ht="15.75">
      <c r="A18" s="2" t="s">
        <v>36</v>
      </c>
      <c r="F18" s="20">
        <v>6000000</v>
      </c>
    </row>
    <row r="19" ht="15.75">
      <c r="F19" s="20"/>
    </row>
    <row r="20" spans="1:6" ht="15.75">
      <c r="A20" s="2" t="s">
        <v>37</v>
      </c>
      <c r="F20" s="20">
        <v>500000</v>
      </c>
    </row>
    <row r="21" spans="1:6" ht="15.75">
      <c r="A21" s="2" t="s">
        <v>38</v>
      </c>
      <c r="F21" s="20">
        <v>0</v>
      </c>
    </row>
    <row r="22" spans="1:6" ht="15.75">
      <c r="A22" s="2" t="s">
        <v>39</v>
      </c>
      <c r="F22" s="20">
        <v>500000</v>
      </c>
    </row>
    <row r="23" ht="15.75">
      <c r="F23" s="20"/>
    </row>
    <row r="24" spans="1:6" ht="15.75">
      <c r="A24" s="2" t="s">
        <v>8</v>
      </c>
      <c r="F24" s="20">
        <v>0</v>
      </c>
    </row>
    <row r="25" spans="1:6" ht="15.75">
      <c r="A25" s="2" t="s">
        <v>19</v>
      </c>
      <c r="F25" s="20">
        <v>0</v>
      </c>
    </row>
    <row r="26" ht="15.75">
      <c r="F26" s="20"/>
    </row>
    <row r="27" spans="1:6" ht="15.75">
      <c r="A27" s="2" t="s">
        <v>40</v>
      </c>
      <c r="F27" s="65">
        <v>40375</v>
      </c>
    </row>
    <row r="28" spans="1:6" ht="15.75">
      <c r="A28" s="2" t="s">
        <v>53</v>
      </c>
      <c r="F28" s="20">
        <v>0</v>
      </c>
    </row>
    <row r="29" spans="1:6" ht="15.75">
      <c r="A29" s="2" t="s">
        <v>20</v>
      </c>
      <c r="F29" s="20">
        <f>D46</f>
        <v>51389916.42</v>
      </c>
    </row>
    <row r="30" ht="15.75">
      <c r="F30" s="20"/>
    </row>
    <row r="31" spans="5:6" ht="15.75">
      <c r="E31" s="21" t="s">
        <v>21</v>
      </c>
      <c r="F31" s="22" t="s">
        <v>22</v>
      </c>
    </row>
    <row r="32" spans="1:6" ht="15.75">
      <c r="A32" s="2" t="s">
        <v>41</v>
      </c>
      <c r="E32" s="56">
        <f>+'Jul 06'!E32+E33</f>
        <v>95</v>
      </c>
      <c r="F32" s="57">
        <f>+'Jul 06'!F32+F33</f>
        <v>4316830.109999999</v>
      </c>
    </row>
    <row r="33" spans="1:6" ht="15.75">
      <c r="A33" s="2" t="s">
        <v>9</v>
      </c>
      <c r="E33" s="56">
        <v>0</v>
      </c>
      <c r="F33" s="57">
        <v>0</v>
      </c>
    </row>
    <row r="34" spans="1:6" ht="15.75">
      <c r="A34" s="2" t="s">
        <v>42</v>
      </c>
      <c r="E34" s="21">
        <f>+'Jun 06'!E34</f>
        <v>2530</v>
      </c>
      <c r="F34" s="22">
        <f>+'Jun 06'!F34</f>
        <v>204766491.04</v>
      </c>
    </row>
    <row r="35" spans="5:6" ht="15.75">
      <c r="E35" s="21"/>
      <c r="F35" s="22"/>
    </row>
    <row r="36" spans="1:6" ht="15.75">
      <c r="A36" s="2" t="s">
        <v>50</v>
      </c>
      <c r="E36" s="23"/>
      <c r="F36" s="58">
        <f>((1585939+1065450.11-537072.7)/53504211)*12</f>
        <v>0.4742018702041976</v>
      </c>
    </row>
    <row r="37" spans="5:6" ht="15.75">
      <c r="E37" s="23"/>
      <c r="F37" s="20"/>
    </row>
    <row r="38" spans="1:6" ht="15.75">
      <c r="A38" s="2" t="s">
        <v>43</v>
      </c>
      <c r="F38" s="20"/>
    </row>
    <row r="39" spans="1:6" s="47" customFormat="1" ht="47.25">
      <c r="A39" s="41" t="s">
        <v>10</v>
      </c>
      <c r="B39" s="48"/>
      <c r="C39" s="42"/>
      <c r="D39" s="49" t="s">
        <v>11</v>
      </c>
      <c r="E39" s="50" t="s">
        <v>12</v>
      </c>
      <c r="F39" s="51"/>
    </row>
    <row r="40" spans="1:8" ht="15.75">
      <c r="A40" s="6" t="s">
        <v>13</v>
      </c>
      <c r="B40" s="25"/>
      <c r="C40" s="7"/>
      <c r="D40" s="59">
        <v>49507183.78</v>
      </c>
      <c r="E40" s="60">
        <v>1091</v>
      </c>
      <c r="F40" s="28"/>
      <c r="H40" s="20"/>
    </row>
    <row r="41" spans="1:6" ht="15.75">
      <c r="A41" s="29" t="s">
        <v>44</v>
      </c>
      <c r="B41" s="5"/>
      <c r="C41" s="12"/>
      <c r="D41" s="61">
        <v>695309.36</v>
      </c>
      <c r="E41" s="62">
        <v>6</v>
      </c>
      <c r="F41" s="28"/>
    </row>
    <row r="42" spans="1:6" ht="15.75">
      <c r="A42" s="29" t="s">
        <v>45</v>
      </c>
      <c r="B42" s="5"/>
      <c r="C42" s="12"/>
      <c r="D42" s="61">
        <v>641791.24</v>
      </c>
      <c r="E42" s="62">
        <v>6</v>
      </c>
      <c r="F42" s="28" t="s">
        <v>51</v>
      </c>
    </row>
    <row r="43" spans="1:8" ht="15.75">
      <c r="A43" s="11" t="s">
        <v>46</v>
      </c>
      <c r="B43" s="5"/>
      <c r="C43" s="12"/>
      <c r="D43" s="61">
        <f>356704.55+39403.18</f>
        <v>396107.73</v>
      </c>
      <c r="E43" s="62">
        <f>3+1</f>
        <v>4</v>
      </c>
      <c r="F43" s="28"/>
      <c r="H43" s="20"/>
    </row>
    <row r="44" spans="1:6" ht="15.75">
      <c r="A44" s="11" t="s">
        <v>30</v>
      </c>
      <c r="B44" s="5"/>
      <c r="C44" s="12"/>
      <c r="D44" s="61">
        <v>149524.31</v>
      </c>
      <c r="E44" s="62">
        <v>5</v>
      </c>
      <c r="F44" s="28"/>
    </row>
    <row r="45" spans="1:8" ht="15.75">
      <c r="A45" s="11" t="s">
        <v>47</v>
      </c>
      <c r="B45" s="5"/>
      <c r="C45" s="12"/>
      <c r="D45" s="63">
        <v>0</v>
      </c>
      <c r="E45" s="64">
        <v>0</v>
      </c>
      <c r="F45" s="28"/>
      <c r="H45" s="20"/>
    </row>
    <row r="46" spans="1:6" ht="15.75">
      <c r="A46" s="17"/>
      <c r="B46" s="34"/>
      <c r="C46" s="18"/>
      <c r="D46" s="35">
        <f>SUM(D40:D45)</f>
        <v>51389916.42</v>
      </c>
      <c r="E46" s="33">
        <f>SUM(E40:E45)</f>
        <v>1112</v>
      </c>
      <c r="F46" s="28"/>
    </row>
    <row r="47" ht="15.75">
      <c r="F47" s="20"/>
    </row>
    <row r="48" spans="1:6" ht="15.75">
      <c r="A48" s="36" t="s">
        <v>48</v>
      </c>
      <c r="E48" s="21" t="s">
        <v>29</v>
      </c>
      <c r="F48" s="21" t="s">
        <v>22</v>
      </c>
    </row>
    <row r="49" spans="5:6" ht="15.75">
      <c r="E49" s="21"/>
      <c r="F49" s="22"/>
    </row>
    <row r="50" spans="1:6" ht="15.75">
      <c r="A50" s="37" t="s">
        <v>23</v>
      </c>
      <c r="E50" s="21">
        <v>0</v>
      </c>
      <c r="F50" s="22">
        <v>0</v>
      </c>
    </row>
    <row r="51" spans="1:6" ht="15.75">
      <c r="A51" s="36" t="s">
        <v>24</v>
      </c>
      <c r="E51" s="21">
        <v>0</v>
      </c>
      <c r="F51" s="22">
        <v>0</v>
      </c>
    </row>
    <row r="52" spans="1:6" ht="15.75">
      <c r="A52" s="2" t="s">
        <v>14</v>
      </c>
      <c r="E52" s="21">
        <v>0</v>
      </c>
      <c r="F52" s="22">
        <v>0</v>
      </c>
    </row>
    <row r="53" spans="1:6" ht="15.75">
      <c r="A53" s="36" t="s">
        <v>25</v>
      </c>
      <c r="E53" s="21"/>
      <c r="F53" s="22">
        <f>F50-F54-F51-F52</f>
        <v>0</v>
      </c>
    </row>
    <row r="54" spans="1:6" ht="15.75">
      <c r="A54" s="2" t="s">
        <v>26</v>
      </c>
      <c r="E54" s="21"/>
      <c r="F54" s="38">
        <v>0</v>
      </c>
    </row>
    <row r="55" spans="5:6" ht="15.75">
      <c r="E55" s="21"/>
      <c r="F55" s="22"/>
    </row>
    <row r="56" spans="1:6" ht="15.75">
      <c r="A56" s="2" t="s">
        <v>27</v>
      </c>
      <c r="E56" s="21"/>
      <c r="F56" s="39">
        <v>0</v>
      </c>
    </row>
    <row r="57" spans="1:6" ht="15.75">
      <c r="A57" s="2" t="s">
        <v>15</v>
      </c>
      <c r="E57" s="21"/>
      <c r="F57" s="22">
        <v>0</v>
      </c>
    </row>
    <row r="58" spans="5:6" ht="15.75">
      <c r="E58" s="21"/>
      <c r="F58" s="22"/>
    </row>
    <row r="59" spans="1:6" ht="15.75">
      <c r="A59" s="2" t="s">
        <v>28</v>
      </c>
      <c r="E59" s="21"/>
      <c r="F59" s="39">
        <v>0</v>
      </c>
    </row>
    <row r="60" spans="1:6" ht="15.75">
      <c r="A60" s="2" t="s">
        <v>49</v>
      </c>
      <c r="E60" s="21"/>
      <c r="F60" s="40">
        <v>0</v>
      </c>
    </row>
    <row r="61" spans="5:6" ht="15.75">
      <c r="E61" s="21"/>
      <c r="F61" s="22"/>
    </row>
    <row r="62" ht="15.75">
      <c r="F62" s="20"/>
    </row>
    <row r="63" ht="15.75">
      <c r="F63" s="20"/>
    </row>
    <row r="64" ht="15.75">
      <c r="F64" s="20"/>
    </row>
    <row r="65" spans="1:6" ht="15.75">
      <c r="A65" s="25" t="s">
        <v>16</v>
      </c>
      <c r="B65" s="25"/>
      <c r="C65" s="25"/>
      <c r="F65" s="20"/>
    </row>
    <row r="66" ht="15.75">
      <c r="A66" s="2" t="s">
        <v>54</v>
      </c>
    </row>
  </sheetData>
  <printOptions/>
  <pageMargins left="0.75" right="0.75" top="1" bottom="1" header="0.5" footer="0.5"/>
  <pageSetup horizontalDpi="600" verticalDpi="600" orientation="portrait" paperSize="9" scale="87" r:id="rId2"/>
  <rowBreaks count="1" manualBreakCount="1">
    <brk id="47" max="255" man="1"/>
  </rowBreaks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H66"/>
  <sheetViews>
    <sheetView workbookViewId="0" topLeftCell="A1">
      <selection activeCell="A1" sqref="A1"/>
    </sheetView>
  </sheetViews>
  <sheetFormatPr defaultColWidth="9.00390625" defaultRowHeight="15.75"/>
  <cols>
    <col min="1" max="1" width="9.00390625" style="2" customWidth="1"/>
    <col min="2" max="2" width="7.625" style="2" customWidth="1"/>
    <col min="3" max="3" width="11.875" style="2" customWidth="1"/>
    <col min="4" max="5" width="15.625" style="2" customWidth="1"/>
    <col min="6" max="6" width="12.375" style="2" customWidth="1"/>
    <col min="7" max="7" width="11.75390625" style="2" customWidth="1"/>
    <col min="8" max="16384" width="9.00390625" style="2" customWidth="1"/>
  </cols>
  <sheetData>
    <row r="1" spans="1:3" ht="18.75">
      <c r="A1" s="1"/>
      <c r="B1" s="1"/>
      <c r="C1" s="1" t="s">
        <v>33</v>
      </c>
    </row>
    <row r="2" ht="15.75">
      <c r="A2" s="2">
        <v>4</v>
      </c>
    </row>
    <row r="4" spans="1:5" ht="15.75">
      <c r="A4" s="2" t="s">
        <v>0</v>
      </c>
      <c r="D4" s="52">
        <v>38960</v>
      </c>
      <c r="E4" s="3"/>
    </row>
    <row r="5" spans="1:5" ht="15.75">
      <c r="A5" s="2" t="s">
        <v>17</v>
      </c>
      <c r="D5" s="53">
        <v>0.0492125</v>
      </c>
      <c r="E5" s="3"/>
    </row>
    <row r="7" ht="15.75">
      <c r="A7" s="2" t="s">
        <v>1</v>
      </c>
    </row>
    <row r="8" spans="1:7" s="47" customFormat="1" ht="31.5">
      <c r="A8" s="41" t="s">
        <v>2</v>
      </c>
      <c r="B8" s="42"/>
      <c r="C8" s="43" t="s">
        <v>31</v>
      </c>
      <c r="D8" s="44" t="s">
        <v>3</v>
      </c>
      <c r="E8" s="44" t="s">
        <v>32</v>
      </c>
      <c r="F8" s="44" t="s">
        <v>18</v>
      </c>
      <c r="G8" s="45" t="s">
        <v>4</v>
      </c>
    </row>
    <row r="9" spans="1:7" ht="15.75">
      <c r="A9" s="6" t="s">
        <v>34</v>
      </c>
      <c r="B9" s="7"/>
      <c r="C9" s="8">
        <v>31</v>
      </c>
      <c r="D9" s="54">
        <v>25873040</v>
      </c>
      <c r="E9" s="54">
        <v>1516896</v>
      </c>
      <c r="F9" s="54">
        <v>116251</v>
      </c>
      <c r="G9" s="10">
        <f>+D9/276000000</f>
        <v>0.09374289855072464</v>
      </c>
    </row>
    <row r="10" spans="1:7" ht="15.75">
      <c r="A10" s="11" t="s">
        <v>5</v>
      </c>
      <c r="B10" s="12"/>
      <c r="C10" s="13">
        <v>85</v>
      </c>
      <c r="D10" s="14">
        <v>24000000</v>
      </c>
      <c r="E10" s="15">
        <v>0</v>
      </c>
      <c r="F10" s="55">
        <v>112862</v>
      </c>
      <c r="G10" s="16">
        <f>+D10/24000000</f>
        <v>1</v>
      </c>
    </row>
    <row r="11" spans="1:7" ht="15.75">
      <c r="A11" s="17"/>
      <c r="B11" s="18"/>
      <c r="C11" s="18"/>
      <c r="D11" s="15">
        <f>SUM(D9:D10)</f>
        <v>49873040</v>
      </c>
      <c r="E11" s="15">
        <f>SUM(E9:E10)</f>
        <v>1516896</v>
      </c>
      <c r="F11" s="15">
        <f>SUM(F9:F10)</f>
        <v>229113</v>
      </c>
      <c r="G11" s="19"/>
    </row>
    <row r="13" spans="1:6" ht="15.75">
      <c r="A13" s="2" t="s">
        <v>35</v>
      </c>
      <c r="F13" s="20">
        <v>9000000</v>
      </c>
    </row>
    <row r="14" spans="1:6" ht="15.75">
      <c r="A14" s="2" t="s">
        <v>6</v>
      </c>
      <c r="F14" s="20">
        <v>0</v>
      </c>
    </row>
    <row r="15" ht="15.75">
      <c r="F15" s="20"/>
    </row>
    <row r="16" spans="1:6" ht="15.75">
      <c r="A16" s="2" t="s">
        <v>7</v>
      </c>
      <c r="F16" s="20">
        <v>6000000</v>
      </c>
    </row>
    <row r="17" spans="1:6" ht="15.75">
      <c r="A17" s="2" t="s">
        <v>52</v>
      </c>
      <c r="F17" s="20">
        <v>0</v>
      </c>
    </row>
    <row r="18" spans="1:6" ht="15.75">
      <c r="A18" s="2" t="s">
        <v>36</v>
      </c>
      <c r="F18" s="20">
        <v>6000000</v>
      </c>
    </row>
    <row r="19" ht="15.75">
      <c r="F19" s="20"/>
    </row>
    <row r="20" spans="1:6" ht="15.75">
      <c r="A20" s="2" t="s">
        <v>37</v>
      </c>
      <c r="F20" s="20">
        <v>500000</v>
      </c>
    </row>
    <row r="21" spans="1:6" ht="15.75">
      <c r="A21" s="2" t="s">
        <v>38</v>
      </c>
      <c r="F21" s="20">
        <v>0</v>
      </c>
    </row>
    <row r="22" spans="1:6" ht="15.75">
      <c r="A22" s="2" t="s">
        <v>39</v>
      </c>
      <c r="F22" s="20">
        <v>500000</v>
      </c>
    </row>
    <row r="23" ht="15.75">
      <c r="F23" s="20"/>
    </row>
    <row r="24" spans="1:6" ht="15.75">
      <c r="A24" s="2" t="s">
        <v>8</v>
      </c>
      <c r="F24" s="20">
        <v>0</v>
      </c>
    </row>
    <row r="25" spans="1:6" ht="15.75">
      <c r="A25" s="2" t="s">
        <v>19</v>
      </c>
      <c r="F25" s="20">
        <v>0</v>
      </c>
    </row>
    <row r="26" ht="15.75">
      <c r="F26" s="20"/>
    </row>
    <row r="27" spans="1:6" ht="15.75">
      <c r="A27" s="2" t="s">
        <v>40</v>
      </c>
      <c r="F27" s="65">
        <v>41476</v>
      </c>
    </row>
    <row r="28" spans="1:6" ht="15.75">
      <c r="A28" s="2" t="s">
        <v>53</v>
      </c>
      <c r="F28" s="67">
        <v>0</v>
      </c>
    </row>
    <row r="29" spans="1:6" ht="15.75">
      <c r="A29" s="2" t="s">
        <v>20</v>
      </c>
      <c r="F29" s="20">
        <f>D46</f>
        <v>49873028</v>
      </c>
    </row>
    <row r="30" ht="15.75">
      <c r="F30" s="20"/>
    </row>
    <row r="31" spans="5:6" ht="15.75">
      <c r="E31" s="21" t="s">
        <v>21</v>
      </c>
      <c r="F31" s="22" t="s">
        <v>22</v>
      </c>
    </row>
    <row r="32" spans="1:6" ht="15.75">
      <c r="A32" s="2" t="s">
        <v>41</v>
      </c>
      <c r="E32" s="56">
        <f>+'Aug 06'!E32+E33</f>
        <v>95</v>
      </c>
      <c r="F32" s="57">
        <f>+'Aug 06'!F32+F33</f>
        <v>4316830.109999999</v>
      </c>
    </row>
    <row r="33" spans="1:6" ht="15.75">
      <c r="A33" s="2" t="s">
        <v>9</v>
      </c>
      <c r="E33" s="56">
        <v>0</v>
      </c>
      <c r="F33" s="57">
        <v>0</v>
      </c>
    </row>
    <row r="34" spans="1:6" ht="15.75">
      <c r="A34" s="2" t="s">
        <v>42</v>
      </c>
      <c r="E34" s="21">
        <f>+'Jun 06'!E34</f>
        <v>2530</v>
      </c>
      <c r="F34" s="22">
        <f>+'Aug 06'!F34</f>
        <v>204766491.04</v>
      </c>
    </row>
    <row r="35" spans="5:6" ht="15.75">
      <c r="E35" s="21"/>
      <c r="F35" s="22"/>
    </row>
    <row r="36" spans="1:6" ht="15.75">
      <c r="A36" s="2" t="s">
        <v>50</v>
      </c>
      <c r="E36" s="23"/>
      <c r="F36" s="66">
        <f>((1345389+845150-673833)/51389916)*12</f>
        <v>0.3541642683362238</v>
      </c>
    </row>
    <row r="37" spans="5:6" ht="15.75">
      <c r="E37" s="23"/>
      <c r="F37" s="20"/>
    </row>
    <row r="38" spans="1:6" ht="15.75">
      <c r="A38" s="2" t="s">
        <v>43</v>
      </c>
      <c r="F38" s="20"/>
    </row>
    <row r="39" spans="1:6" s="47" customFormat="1" ht="47.25">
      <c r="A39" s="41" t="s">
        <v>10</v>
      </c>
      <c r="B39" s="48"/>
      <c r="C39" s="42"/>
      <c r="D39" s="49" t="s">
        <v>11</v>
      </c>
      <c r="E39" s="50" t="s">
        <v>12</v>
      </c>
      <c r="F39" s="51"/>
    </row>
    <row r="40" spans="1:8" ht="15.75">
      <c r="A40" s="6" t="s">
        <v>13</v>
      </c>
      <c r="B40" s="25"/>
      <c r="C40" s="7"/>
      <c r="D40" s="59">
        <v>48073918</v>
      </c>
      <c r="E40" s="60">
        <v>1066</v>
      </c>
      <c r="F40" s="28"/>
      <c r="H40" s="20"/>
    </row>
    <row r="41" spans="1:6" ht="15.75">
      <c r="A41" s="29" t="s">
        <v>44</v>
      </c>
      <c r="B41" s="5"/>
      <c r="C41" s="12"/>
      <c r="D41" s="61">
        <v>1036752</v>
      </c>
      <c r="E41" s="62">
        <v>7</v>
      </c>
      <c r="F41" s="28"/>
    </row>
    <row r="42" spans="1:6" ht="15.75">
      <c r="A42" s="29" t="s">
        <v>45</v>
      </c>
      <c r="B42" s="5"/>
      <c r="C42" s="12"/>
      <c r="D42" s="61">
        <v>211912</v>
      </c>
      <c r="E42" s="62">
        <v>2</v>
      </c>
      <c r="F42" s="28" t="s">
        <v>51</v>
      </c>
    </row>
    <row r="43" spans="1:8" ht="15.75">
      <c r="A43" s="11" t="s">
        <v>46</v>
      </c>
      <c r="B43" s="5"/>
      <c r="C43" s="12"/>
      <c r="D43" s="61">
        <v>274186</v>
      </c>
      <c r="E43" s="62">
        <v>3</v>
      </c>
      <c r="F43" s="28"/>
      <c r="H43" s="20"/>
    </row>
    <row r="44" spans="1:6" ht="15.75">
      <c r="A44" s="11" t="s">
        <v>30</v>
      </c>
      <c r="B44" s="5"/>
      <c r="C44" s="12"/>
      <c r="D44" s="61">
        <v>276260</v>
      </c>
      <c r="E44" s="62">
        <v>5</v>
      </c>
      <c r="F44" s="28"/>
    </row>
    <row r="45" spans="1:8" ht="15.75">
      <c r="A45" s="11" t="s">
        <v>47</v>
      </c>
      <c r="B45" s="5"/>
      <c r="C45" s="12"/>
      <c r="D45" s="63">
        <v>0</v>
      </c>
      <c r="E45" s="64">
        <v>0</v>
      </c>
      <c r="F45" s="28"/>
      <c r="H45" s="20"/>
    </row>
    <row r="46" spans="1:6" ht="15.75">
      <c r="A46" s="17"/>
      <c r="B46" s="34"/>
      <c r="C46" s="18"/>
      <c r="D46" s="35">
        <f>SUM(D40:D45)</f>
        <v>49873028</v>
      </c>
      <c r="E46" s="33">
        <f>SUM(E40:E45)</f>
        <v>1083</v>
      </c>
      <c r="F46" s="28"/>
    </row>
    <row r="47" ht="15.75">
      <c r="F47" s="20"/>
    </row>
    <row r="48" spans="1:6" ht="15.75">
      <c r="A48" s="36" t="s">
        <v>48</v>
      </c>
      <c r="E48" s="21" t="s">
        <v>29</v>
      </c>
      <c r="F48" s="21" t="s">
        <v>22</v>
      </c>
    </row>
    <row r="49" spans="5:6" ht="15.75">
      <c r="E49" s="21"/>
      <c r="F49" s="22"/>
    </row>
    <row r="50" spans="1:6" ht="15.75">
      <c r="A50" s="37" t="s">
        <v>23</v>
      </c>
      <c r="E50" s="21">
        <v>0</v>
      </c>
      <c r="F50" s="22">
        <v>0</v>
      </c>
    </row>
    <row r="51" spans="1:6" ht="15.75">
      <c r="A51" s="36" t="s">
        <v>24</v>
      </c>
      <c r="E51" s="21">
        <v>0</v>
      </c>
      <c r="F51" s="22">
        <v>0</v>
      </c>
    </row>
    <row r="52" spans="1:6" ht="15.75">
      <c r="A52" s="2" t="s">
        <v>14</v>
      </c>
      <c r="E52" s="21">
        <v>0</v>
      </c>
      <c r="F52" s="22">
        <v>0</v>
      </c>
    </row>
    <row r="53" spans="1:6" ht="15.75">
      <c r="A53" s="36" t="s">
        <v>25</v>
      </c>
      <c r="E53" s="21"/>
      <c r="F53" s="22">
        <f>F50-F54-F51-F52</f>
        <v>0</v>
      </c>
    </row>
    <row r="54" spans="1:6" ht="15.75">
      <c r="A54" s="2" t="s">
        <v>26</v>
      </c>
      <c r="E54" s="21"/>
      <c r="F54" s="38">
        <v>0</v>
      </c>
    </row>
    <row r="55" spans="5:6" ht="15.75">
      <c r="E55" s="21"/>
      <c r="F55" s="22"/>
    </row>
    <row r="56" spans="1:6" ht="15.75">
      <c r="A56" s="2" t="s">
        <v>27</v>
      </c>
      <c r="E56" s="21"/>
      <c r="F56" s="39">
        <v>0</v>
      </c>
    </row>
    <row r="57" spans="1:6" ht="15.75">
      <c r="A57" s="2" t="s">
        <v>15</v>
      </c>
      <c r="E57" s="21"/>
      <c r="F57" s="22">
        <v>0</v>
      </c>
    </row>
    <row r="58" spans="5:6" ht="15.75">
      <c r="E58" s="21"/>
      <c r="F58" s="22"/>
    </row>
    <row r="59" spans="1:6" ht="15.75">
      <c r="A59" s="2" t="s">
        <v>28</v>
      </c>
      <c r="E59" s="21"/>
      <c r="F59" s="39">
        <v>0</v>
      </c>
    </row>
    <row r="60" spans="1:6" ht="15.75">
      <c r="A60" s="2" t="s">
        <v>49</v>
      </c>
      <c r="E60" s="21"/>
      <c r="F60" s="40">
        <v>0</v>
      </c>
    </row>
    <row r="61" spans="5:6" ht="15.75">
      <c r="E61" s="21"/>
      <c r="F61" s="22"/>
    </row>
    <row r="62" ht="15.75">
      <c r="F62" s="20"/>
    </row>
    <row r="63" ht="15.75">
      <c r="F63" s="20"/>
    </row>
    <row r="64" ht="15.75">
      <c r="F64" s="20"/>
    </row>
    <row r="65" spans="1:6" ht="15.75">
      <c r="A65" s="25" t="s">
        <v>16</v>
      </c>
      <c r="B65" s="25"/>
      <c r="C65" s="25"/>
      <c r="F65" s="20"/>
    </row>
    <row r="66" ht="15.75">
      <c r="A66" s="2" t="s">
        <v>54</v>
      </c>
    </row>
  </sheetData>
  <printOptions/>
  <pageMargins left="0.75" right="0.75" top="1" bottom="1" header="0.5" footer="0.5"/>
  <pageSetup horizontalDpi="600" verticalDpi="600" orientation="portrait" paperSize="9" scale="92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H66"/>
  <sheetViews>
    <sheetView workbookViewId="0" topLeftCell="A1">
      <selection activeCell="A1" sqref="A1"/>
    </sheetView>
  </sheetViews>
  <sheetFormatPr defaultColWidth="9.00390625" defaultRowHeight="15.75"/>
  <cols>
    <col min="1" max="1" width="9.00390625" style="2" customWidth="1"/>
    <col min="2" max="2" width="7.625" style="2" customWidth="1"/>
    <col min="3" max="3" width="11.875" style="2" customWidth="1"/>
    <col min="4" max="5" width="15.625" style="2" customWidth="1"/>
    <col min="6" max="6" width="12.375" style="2" customWidth="1"/>
    <col min="7" max="7" width="11.75390625" style="2" customWidth="1"/>
    <col min="8" max="16384" width="9.00390625" style="2" customWidth="1"/>
  </cols>
  <sheetData>
    <row r="1" spans="1:3" ht="18.75">
      <c r="A1" s="1"/>
      <c r="B1" s="1"/>
      <c r="C1" s="1" t="s">
        <v>33</v>
      </c>
    </row>
    <row r="2" ht="15.75">
      <c r="A2" s="2">
        <v>4</v>
      </c>
    </row>
    <row r="4" spans="1:5" ht="15.75">
      <c r="A4" s="2" t="s">
        <v>0</v>
      </c>
      <c r="D4" s="52">
        <v>38990</v>
      </c>
      <c r="E4" s="3"/>
    </row>
    <row r="5" spans="1:5" ht="15.75">
      <c r="A5" s="2" t="s">
        <v>17</v>
      </c>
      <c r="D5" s="53">
        <v>0.0495813</v>
      </c>
      <c r="E5" s="3"/>
    </row>
    <row r="7" ht="15.75">
      <c r="A7" s="2" t="s">
        <v>1</v>
      </c>
    </row>
    <row r="8" spans="1:7" s="47" customFormat="1" ht="31.5">
      <c r="A8" s="41" t="s">
        <v>2</v>
      </c>
      <c r="B8" s="42"/>
      <c r="C8" s="43" t="s">
        <v>31</v>
      </c>
      <c r="D8" s="44" t="s">
        <v>3</v>
      </c>
      <c r="E8" s="44" t="s">
        <v>32</v>
      </c>
      <c r="F8" s="44" t="s">
        <v>18</v>
      </c>
      <c r="G8" s="45" t="s">
        <v>4</v>
      </c>
    </row>
    <row r="9" spans="1:7" ht="15.75">
      <c r="A9" s="6" t="s">
        <v>34</v>
      </c>
      <c r="B9" s="7"/>
      <c r="C9" s="8">
        <v>31</v>
      </c>
      <c r="D9" s="54">
        <v>24350815.6</v>
      </c>
      <c r="E9" s="54">
        <v>1522222.8</v>
      </c>
      <c r="F9" s="54">
        <v>107529.6</v>
      </c>
      <c r="G9" s="10">
        <f>+D9/276000000</f>
        <v>0.0882275927536232</v>
      </c>
    </row>
    <row r="10" spans="1:7" ht="15.75">
      <c r="A10" s="11" t="s">
        <v>5</v>
      </c>
      <c r="B10" s="12"/>
      <c r="C10" s="13">
        <v>85</v>
      </c>
      <c r="D10" s="14">
        <v>24000000</v>
      </c>
      <c r="E10" s="15">
        <v>0</v>
      </c>
      <c r="F10" s="55">
        <v>110049.6</v>
      </c>
      <c r="G10" s="16">
        <f>+D10/24000000</f>
        <v>1</v>
      </c>
    </row>
    <row r="11" spans="1:7" ht="15.75">
      <c r="A11" s="17"/>
      <c r="B11" s="18"/>
      <c r="C11" s="18"/>
      <c r="D11" s="15">
        <f>SUM(D9:D10)</f>
        <v>48350815.6</v>
      </c>
      <c r="E11" s="15">
        <f>SUM(E9:E10)</f>
        <v>1522222.8</v>
      </c>
      <c r="F11" s="15">
        <f>SUM(F9:F10)</f>
        <v>217579.2</v>
      </c>
      <c r="G11" s="19"/>
    </row>
    <row r="13" spans="1:6" ht="15.75">
      <c r="A13" s="2" t="s">
        <v>35</v>
      </c>
      <c r="F13" s="20">
        <v>9000000</v>
      </c>
    </row>
    <row r="14" spans="1:6" ht="15.75">
      <c r="A14" s="2" t="s">
        <v>6</v>
      </c>
      <c r="F14" s="20">
        <v>0</v>
      </c>
    </row>
    <row r="15" ht="15.75">
      <c r="F15" s="20"/>
    </row>
    <row r="16" spans="1:6" ht="15.75">
      <c r="A16" s="2" t="s">
        <v>7</v>
      </c>
      <c r="F16" s="20">
        <v>6000000</v>
      </c>
    </row>
    <row r="17" spans="1:6" ht="15.75">
      <c r="A17" s="2" t="s">
        <v>52</v>
      </c>
      <c r="F17" s="20">
        <v>0</v>
      </c>
    </row>
    <row r="18" spans="1:6" ht="15.75">
      <c r="A18" s="2" t="s">
        <v>36</v>
      </c>
      <c r="F18" s="20">
        <v>6000000</v>
      </c>
    </row>
    <row r="19" ht="15.75">
      <c r="F19" s="20"/>
    </row>
    <row r="20" spans="1:6" ht="15.75">
      <c r="A20" s="2" t="s">
        <v>37</v>
      </c>
      <c r="F20" s="20">
        <v>500000</v>
      </c>
    </row>
    <row r="21" spans="1:6" ht="15.75">
      <c r="A21" s="2" t="s">
        <v>38</v>
      </c>
      <c r="F21" s="20">
        <v>0</v>
      </c>
    </row>
    <row r="22" spans="1:6" ht="15.75">
      <c r="A22" s="2" t="s">
        <v>39</v>
      </c>
      <c r="F22" s="20">
        <v>500000</v>
      </c>
    </row>
    <row r="23" ht="15.75">
      <c r="F23" s="20"/>
    </row>
    <row r="24" spans="1:6" ht="15.75">
      <c r="A24" s="2" t="s">
        <v>8</v>
      </c>
      <c r="F24" s="20">
        <v>0</v>
      </c>
    </row>
    <row r="25" spans="1:6" ht="15.75">
      <c r="A25" s="2" t="s">
        <v>19</v>
      </c>
      <c r="F25" s="20">
        <v>0</v>
      </c>
    </row>
    <row r="26" ht="15.75">
      <c r="F26" s="20"/>
    </row>
    <row r="27" spans="1:6" ht="15.75">
      <c r="A27" s="2" t="s">
        <v>40</v>
      </c>
      <c r="F27" s="65">
        <v>58282</v>
      </c>
    </row>
    <row r="28" spans="1:6" ht="15.75">
      <c r="A28" s="2" t="s">
        <v>53</v>
      </c>
      <c r="F28" s="67">
        <v>0</v>
      </c>
    </row>
    <row r="29" spans="1:6" ht="15.75">
      <c r="A29" s="2" t="s">
        <v>20</v>
      </c>
      <c r="F29" s="20">
        <f>D46</f>
        <v>48350813.76</v>
      </c>
    </row>
    <row r="30" ht="15.75">
      <c r="F30" s="20"/>
    </row>
    <row r="31" spans="5:6" ht="15.75">
      <c r="E31" s="21" t="s">
        <v>21</v>
      </c>
      <c r="F31" s="22" t="s">
        <v>22</v>
      </c>
    </row>
    <row r="32" spans="1:6" ht="15.75">
      <c r="A32" s="2" t="s">
        <v>41</v>
      </c>
      <c r="E32" s="56">
        <f>+'Aug 06'!E32+E33</f>
        <v>95</v>
      </c>
      <c r="F32" s="57">
        <f>+'Aug 06'!F32+F33</f>
        <v>4316830.109999999</v>
      </c>
    </row>
    <row r="33" spans="1:6" ht="15.75">
      <c r="A33" s="2" t="s">
        <v>9</v>
      </c>
      <c r="E33" s="56">
        <v>0</v>
      </c>
      <c r="F33" s="57">
        <v>0</v>
      </c>
    </row>
    <row r="34" spans="1:6" ht="15.75">
      <c r="A34" s="2" t="s">
        <v>42</v>
      </c>
      <c r="E34" s="21">
        <f>+'Jun 06'!E34</f>
        <v>2530</v>
      </c>
      <c r="F34" s="22">
        <f>+'Aug 06'!F34</f>
        <v>204766491.04</v>
      </c>
    </row>
    <row r="35" spans="5:6" ht="15.75">
      <c r="E35" s="21"/>
      <c r="F35" s="22"/>
    </row>
    <row r="36" spans="1:6" ht="15.75">
      <c r="A36" s="2" t="s">
        <v>50</v>
      </c>
      <c r="E36" s="23"/>
      <c r="F36" s="66">
        <f>((1389464.1+662550.45-529789.91)/49873027.68)*12</f>
        <v>0.36626402145072257</v>
      </c>
    </row>
    <row r="37" spans="5:6" ht="15.75">
      <c r="E37" s="23"/>
      <c r="F37" s="20"/>
    </row>
    <row r="38" spans="1:6" ht="15.75">
      <c r="A38" s="2" t="s">
        <v>43</v>
      </c>
      <c r="F38" s="20"/>
    </row>
    <row r="39" spans="1:6" s="47" customFormat="1" ht="47.25">
      <c r="A39" s="41" t="s">
        <v>10</v>
      </c>
      <c r="B39" s="48"/>
      <c r="C39" s="42"/>
      <c r="D39" s="49" t="s">
        <v>11</v>
      </c>
      <c r="E39" s="50" t="s">
        <v>12</v>
      </c>
      <c r="F39" s="51"/>
    </row>
    <row r="40" spans="1:8" ht="15.75">
      <c r="A40" s="6" t="s">
        <v>13</v>
      </c>
      <c r="B40" s="25"/>
      <c r="C40" s="7"/>
      <c r="D40" s="59">
        <v>46627569.72</v>
      </c>
      <c r="E40" s="60">
        <v>1028</v>
      </c>
      <c r="F40" s="28"/>
      <c r="H40" s="20"/>
    </row>
    <row r="41" spans="1:6" ht="15.75">
      <c r="A41" s="29" t="s">
        <v>44</v>
      </c>
      <c r="B41" s="5"/>
      <c r="C41" s="12"/>
      <c r="D41" s="61">
        <v>902496.68</v>
      </c>
      <c r="E41" s="62">
        <v>8</v>
      </c>
      <c r="F41" s="28"/>
    </row>
    <row r="42" spans="1:6" ht="15.75">
      <c r="A42" s="29" t="s">
        <v>45</v>
      </c>
      <c r="B42" s="5"/>
      <c r="C42" s="12"/>
      <c r="D42" s="61">
        <v>341493.04</v>
      </c>
      <c r="E42" s="62">
        <v>2</v>
      </c>
      <c r="F42" s="28" t="s">
        <v>51</v>
      </c>
    </row>
    <row r="43" spans="1:8" ht="15.75">
      <c r="A43" s="11" t="s">
        <v>46</v>
      </c>
      <c r="B43" s="5"/>
      <c r="C43" s="12"/>
      <c r="D43" s="61">
        <f>161620.37+39307.7</f>
        <v>200928.07</v>
      </c>
      <c r="E43" s="62">
        <v>2</v>
      </c>
      <c r="F43" s="28"/>
      <c r="H43" s="20"/>
    </row>
    <row r="44" spans="1:6" ht="15.75">
      <c r="A44" s="11" t="s">
        <v>30</v>
      </c>
      <c r="B44" s="5"/>
      <c r="C44" s="12"/>
      <c r="D44" s="61">
        <v>278326.25</v>
      </c>
      <c r="E44" s="62">
        <v>5</v>
      </c>
      <c r="F44" s="28"/>
    </row>
    <row r="45" spans="1:8" ht="15.75">
      <c r="A45" s="11" t="s">
        <v>47</v>
      </c>
      <c r="B45" s="5"/>
      <c r="C45" s="12"/>
      <c r="D45" s="63">
        <v>0</v>
      </c>
      <c r="E45" s="64">
        <v>0</v>
      </c>
      <c r="F45" s="28"/>
      <c r="H45" s="20"/>
    </row>
    <row r="46" spans="1:6" ht="15.75">
      <c r="A46" s="17"/>
      <c r="B46" s="34"/>
      <c r="C46" s="18"/>
      <c r="D46" s="35">
        <f>SUM(D40:D45)</f>
        <v>48350813.76</v>
      </c>
      <c r="E46" s="33">
        <f>SUM(E40:E45)</f>
        <v>1045</v>
      </c>
      <c r="F46" s="28"/>
    </row>
    <row r="47" ht="15.75">
      <c r="F47" s="20"/>
    </row>
    <row r="48" spans="1:6" ht="15.75">
      <c r="A48" s="36" t="s">
        <v>48</v>
      </c>
      <c r="E48" s="21" t="s">
        <v>29</v>
      </c>
      <c r="F48" s="21" t="s">
        <v>22</v>
      </c>
    </row>
    <row r="49" spans="5:6" ht="15.75">
      <c r="E49" s="21"/>
      <c r="F49" s="22"/>
    </row>
    <row r="50" spans="1:6" ht="15.75">
      <c r="A50" s="37" t="s">
        <v>23</v>
      </c>
      <c r="E50" s="21">
        <v>0</v>
      </c>
      <c r="F50" s="22">
        <v>0</v>
      </c>
    </row>
    <row r="51" spans="1:6" ht="15.75">
      <c r="A51" s="36" t="s">
        <v>24</v>
      </c>
      <c r="E51" s="21">
        <v>0</v>
      </c>
      <c r="F51" s="22">
        <v>0</v>
      </c>
    </row>
    <row r="52" spans="1:6" ht="15.75">
      <c r="A52" s="2" t="s">
        <v>14</v>
      </c>
      <c r="E52" s="21">
        <v>0</v>
      </c>
      <c r="F52" s="22">
        <v>0</v>
      </c>
    </row>
    <row r="53" spans="1:6" ht="15.75">
      <c r="A53" s="36" t="s">
        <v>25</v>
      </c>
      <c r="E53" s="21"/>
      <c r="F53" s="22">
        <f>F50-F54-F51-F52</f>
        <v>0</v>
      </c>
    </row>
    <row r="54" spans="1:6" ht="15.75">
      <c r="A54" s="2" t="s">
        <v>26</v>
      </c>
      <c r="E54" s="21"/>
      <c r="F54" s="38">
        <v>0</v>
      </c>
    </row>
    <row r="55" spans="5:6" ht="15.75">
      <c r="E55" s="21"/>
      <c r="F55" s="22"/>
    </row>
    <row r="56" spans="1:6" ht="15.75">
      <c r="A56" s="2" t="s">
        <v>27</v>
      </c>
      <c r="E56" s="21"/>
      <c r="F56" s="39">
        <v>0</v>
      </c>
    </row>
    <row r="57" spans="1:6" ht="15.75">
      <c r="A57" s="2" t="s">
        <v>15</v>
      </c>
      <c r="E57" s="21"/>
      <c r="F57" s="22">
        <v>0</v>
      </c>
    </row>
    <row r="58" spans="5:6" ht="15.75">
      <c r="E58" s="21"/>
      <c r="F58" s="22"/>
    </row>
    <row r="59" spans="1:6" ht="15.75">
      <c r="A59" s="2" t="s">
        <v>28</v>
      </c>
      <c r="E59" s="21"/>
      <c r="F59" s="39">
        <v>0</v>
      </c>
    </row>
    <row r="60" spans="1:6" ht="15.75">
      <c r="A60" s="2" t="s">
        <v>49</v>
      </c>
      <c r="E60" s="21"/>
      <c r="F60" s="40">
        <v>0</v>
      </c>
    </row>
    <row r="61" spans="5:6" ht="15.75">
      <c r="E61" s="21"/>
      <c r="F61" s="22"/>
    </row>
    <row r="62" ht="15.75">
      <c r="F62" s="20"/>
    </row>
    <row r="63" ht="15.75">
      <c r="F63" s="20"/>
    </row>
    <row r="64" ht="15.75">
      <c r="F64" s="20"/>
    </row>
    <row r="65" spans="1:6" ht="15.75">
      <c r="A65" s="25" t="s">
        <v>16</v>
      </c>
      <c r="B65" s="25"/>
      <c r="C65" s="25"/>
      <c r="F65" s="20"/>
    </row>
    <row r="66" ht="15.75">
      <c r="A66" s="2" t="s">
        <v>54</v>
      </c>
    </row>
  </sheetData>
  <printOptions/>
  <pageMargins left="0.75" right="0.75" top="1" bottom="1" header="0.5" footer="0.5"/>
  <pageSetup horizontalDpi="600" verticalDpi="600" orientation="portrait" paperSize="9" scale="92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H66"/>
  <sheetViews>
    <sheetView tabSelected="1" workbookViewId="0" topLeftCell="A1">
      <selection activeCell="A1" sqref="A1"/>
    </sheetView>
  </sheetViews>
  <sheetFormatPr defaultColWidth="9.00390625" defaultRowHeight="15.75"/>
  <cols>
    <col min="1" max="1" width="9.00390625" style="2" customWidth="1"/>
    <col min="2" max="2" width="7.625" style="2" customWidth="1"/>
    <col min="3" max="3" width="11.875" style="2" customWidth="1"/>
    <col min="4" max="5" width="15.625" style="2" customWidth="1"/>
    <col min="6" max="6" width="12.375" style="2" customWidth="1"/>
    <col min="7" max="7" width="11.75390625" style="2" customWidth="1"/>
    <col min="8" max="16384" width="9.00390625" style="2" customWidth="1"/>
  </cols>
  <sheetData>
    <row r="1" spans="1:3" ht="18.75">
      <c r="A1" s="1"/>
      <c r="B1" s="1"/>
      <c r="C1" s="1" t="s">
        <v>33</v>
      </c>
    </row>
    <row r="2" ht="15.75">
      <c r="A2" s="2">
        <v>4</v>
      </c>
    </row>
    <row r="4" spans="1:5" ht="15.75">
      <c r="A4" s="2" t="s">
        <v>0</v>
      </c>
      <c r="D4" s="52">
        <v>39021</v>
      </c>
      <c r="E4" s="3"/>
    </row>
    <row r="5" spans="1:5" ht="15.75">
      <c r="A5" s="2" t="s">
        <v>17</v>
      </c>
      <c r="D5" s="53">
        <v>0</v>
      </c>
      <c r="E5" s="3"/>
    </row>
    <row r="7" ht="15.75">
      <c r="A7" s="2" t="s">
        <v>1</v>
      </c>
    </row>
    <row r="8" spans="1:7" s="47" customFormat="1" ht="31.5">
      <c r="A8" s="41" t="s">
        <v>2</v>
      </c>
      <c r="B8" s="42"/>
      <c r="C8" s="43" t="s">
        <v>31</v>
      </c>
      <c r="D8" s="44" t="s">
        <v>3</v>
      </c>
      <c r="E8" s="44" t="s">
        <v>32</v>
      </c>
      <c r="F8" s="44" t="s">
        <v>18</v>
      </c>
      <c r="G8" s="45" t="s">
        <v>4</v>
      </c>
    </row>
    <row r="9" spans="1:7" ht="15.75">
      <c r="A9" s="6" t="s">
        <v>34</v>
      </c>
      <c r="B9" s="7"/>
      <c r="C9" s="8">
        <v>31</v>
      </c>
      <c r="D9" s="54">
        <v>0</v>
      </c>
      <c r="E9" s="54">
        <v>24350816</v>
      </c>
      <c r="F9" s="54">
        <v>112470</v>
      </c>
      <c r="G9" s="10">
        <f>+D9/276000000</f>
        <v>0</v>
      </c>
    </row>
    <row r="10" spans="1:7" ht="15.75">
      <c r="A10" s="11" t="s">
        <v>5</v>
      </c>
      <c r="B10" s="12"/>
      <c r="C10" s="13">
        <v>85</v>
      </c>
      <c r="D10" s="14">
        <v>0</v>
      </c>
      <c r="E10" s="15">
        <v>24000000</v>
      </c>
      <c r="F10" s="55">
        <v>122210.4</v>
      </c>
      <c r="G10" s="16">
        <f>+D10/24000000</f>
        <v>0</v>
      </c>
    </row>
    <row r="11" spans="1:7" ht="15.75">
      <c r="A11" s="17"/>
      <c r="B11" s="18"/>
      <c r="C11" s="18"/>
      <c r="D11" s="15">
        <f>SUM(D9:D10)</f>
        <v>0</v>
      </c>
      <c r="E11" s="15">
        <f>SUM(E9:E10)</f>
        <v>48350816</v>
      </c>
      <c r="F11" s="15">
        <f>SUM(F9:F10)</f>
        <v>234680.4</v>
      </c>
      <c r="G11" s="19"/>
    </row>
    <row r="13" spans="1:6" ht="15.75">
      <c r="A13" s="2" t="s">
        <v>35</v>
      </c>
      <c r="F13" s="20">
        <v>9000000</v>
      </c>
    </row>
    <row r="14" spans="1:6" ht="15.75">
      <c r="A14" s="2" t="s">
        <v>6</v>
      </c>
      <c r="F14" s="20">
        <v>-9000000</v>
      </c>
    </row>
    <row r="15" ht="15.75">
      <c r="F15" s="20"/>
    </row>
    <row r="16" spans="1:6" ht="15.75">
      <c r="A16" s="2" t="s">
        <v>7</v>
      </c>
      <c r="F16" s="20">
        <v>6000000</v>
      </c>
    </row>
    <row r="17" spans="1:6" ht="15.75">
      <c r="A17" s="2" t="s">
        <v>52</v>
      </c>
      <c r="F17" s="20">
        <v>-6000000</v>
      </c>
    </row>
    <row r="18" spans="1:6" ht="15.75">
      <c r="A18" s="2" t="s">
        <v>36</v>
      </c>
      <c r="F18" s="20">
        <v>0</v>
      </c>
    </row>
    <row r="19" ht="15.75">
      <c r="F19" s="20"/>
    </row>
    <row r="20" spans="1:6" ht="15.75">
      <c r="A20" s="2" t="s">
        <v>37</v>
      </c>
      <c r="F20" s="20">
        <v>500000</v>
      </c>
    </row>
    <row r="21" spans="1:6" ht="15.75">
      <c r="A21" s="2" t="s">
        <v>38</v>
      </c>
      <c r="F21" s="20">
        <v>-500000</v>
      </c>
    </row>
    <row r="22" spans="1:6" ht="15.75">
      <c r="A22" s="2" t="s">
        <v>39</v>
      </c>
      <c r="F22" s="20">
        <v>0</v>
      </c>
    </row>
    <row r="23" ht="15.75">
      <c r="F23" s="20"/>
    </row>
    <row r="24" spans="1:6" ht="15.75">
      <c r="A24" s="2" t="s">
        <v>8</v>
      </c>
      <c r="F24" s="20">
        <v>0</v>
      </c>
    </row>
    <row r="25" spans="1:6" ht="15.75">
      <c r="A25" s="2" t="s">
        <v>19</v>
      </c>
      <c r="F25" s="20">
        <v>0</v>
      </c>
    </row>
    <row r="26" ht="15.75">
      <c r="F26" s="20"/>
    </row>
    <row r="27" spans="1:6" ht="15.75">
      <c r="A27" s="2" t="s">
        <v>40</v>
      </c>
      <c r="F27" s="68">
        <v>58282</v>
      </c>
    </row>
    <row r="28" spans="1:6" ht="15.75">
      <c r="A28" s="2" t="s">
        <v>53</v>
      </c>
      <c r="F28" s="67">
        <v>0</v>
      </c>
    </row>
    <row r="29" spans="1:6" ht="15.75">
      <c r="A29" s="2" t="s">
        <v>20</v>
      </c>
      <c r="F29" s="20">
        <f>D46</f>
        <v>0</v>
      </c>
    </row>
    <row r="30" ht="15.75">
      <c r="F30" s="20"/>
    </row>
    <row r="31" spans="5:6" ht="15.75">
      <c r="E31" s="21" t="s">
        <v>21</v>
      </c>
      <c r="F31" s="22" t="s">
        <v>22</v>
      </c>
    </row>
    <row r="32" spans="1:6" ht="15.75">
      <c r="A32" s="2" t="s">
        <v>41</v>
      </c>
      <c r="E32" s="56">
        <f>+'Oct 06'!E32+E33</f>
        <v>95</v>
      </c>
      <c r="F32" s="57">
        <f>+'Oct 06'!F32+F33</f>
        <v>4316830.109999999</v>
      </c>
    </row>
    <row r="33" spans="1:6" ht="15.75">
      <c r="A33" s="2" t="s">
        <v>9</v>
      </c>
      <c r="E33" s="56">
        <v>0</v>
      </c>
      <c r="F33" s="57">
        <v>0</v>
      </c>
    </row>
    <row r="34" spans="1:6" ht="15.75">
      <c r="A34" s="2" t="s">
        <v>42</v>
      </c>
      <c r="E34" s="21">
        <f>+'Oct 06'!E34</f>
        <v>2530</v>
      </c>
      <c r="F34" s="22">
        <f>+'Oct 06'!F34</f>
        <v>204766491.04</v>
      </c>
    </row>
    <row r="35" spans="5:6" ht="15.75">
      <c r="E35" s="21"/>
      <c r="F35" s="22"/>
    </row>
    <row r="36" spans="1:6" ht="15.75">
      <c r="A36" s="2" t="s">
        <v>50</v>
      </c>
      <c r="E36" s="23"/>
      <c r="F36" s="66">
        <v>1</v>
      </c>
    </row>
    <row r="37" spans="5:6" ht="15.75">
      <c r="E37" s="23"/>
      <c r="F37" s="20"/>
    </row>
    <row r="38" spans="1:6" ht="15.75">
      <c r="A38" s="2" t="s">
        <v>43</v>
      </c>
      <c r="F38" s="20"/>
    </row>
    <row r="39" spans="1:6" s="47" customFormat="1" ht="47.25">
      <c r="A39" s="41" t="s">
        <v>10</v>
      </c>
      <c r="B39" s="48"/>
      <c r="C39" s="42"/>
      <c r="D39" s="49" t="s">
        <v>11</v>
      </c>
      <c r="E39" s="50" t="s">
        <v>12</v>
      </c>
      <c r="F39" s="51"/>
    </row>
    <row r="40" spans="1:8" ht="15.75">
      <c r="A40" s="6" t="s">
        <v>13</v>
      </c>
      <c r="B40" s="25"/>
      <c r="C40" s="7"/>
      <c r="D40" s="59">
        <v>0</v>
      </c>
      <c r="E40" s="60">
        <v>0</v>
      </c>
      <c r="F40" s="28"/>
      <c r="H40" s="20"/>
    </row>
    <row r="41" spans="1:6" ht="15.75">
      <c r="A41" s="29" t="s">
        <v>44</v>
      </c>
      <c r="B41" s="5"/>
      <c r="C41" s="12"/>
      <c r="D41" s="61">
        <v>0</v>
      </c>
      <c r="E41" s="62">
        <v>0</v>
      </c>
      <c r="F41" s="28"/>
    </row>
    <row r="42" spans="1:6" ht="15.75">
      <c r="A42" s="29" t="s">
        <v>45</v>
      </c>
      <c r="B42" s="5"/>
      <c r="C42" s="12"/>
      <c r="D42" s="61">
        <v>0</v>
      </c>
      <c r="E42" s="62">
        <v>0</v>
      </c>
      <c r="F42" s="28" t="s">
        <v>51</v>
      </c>
    </row>
    <row r="43" spans="1:8" ht="15.75">
      <c r="A43" s="11" t="s">
        <v>46</v>
      </c>
      <c r="B43" s="5"/>
      <c r="C43" s="12"/>
      <c r="D43" s="61">
        <v>0</v>
      </c>
      <c r="E43" s="62">
        <v>0</v>
      </c>
      <c r="F43" s="28"/>
      <c r="H43" s="20"/>
    </row>
    <row r="44" spans="1:6" ht="15.75">
      <c r="A44" s="11" t="s">
        <v>30</v>
      </c>
      <c r="B44" s="5"/>
      <c r="C44" s="12"/>
      <c r="D44" s="61">
        <v>0</v>
      </c>
      <c r="E44" s="62">
        <v>0</v>
      </c>
      <c r="F44" s="28"/>
    </row>
    <row r="45" spans="1:8" ht="15.75">
      <c r="A45" s="11" t="s">
        <v>47</v>
      </c>
      <c r="B45" s="5"/>
      <c r="C45" s="12"/>
      <c r="D45" s="63">
        <v>0</v>
      </c>
      <c r="E45" s="64">
        <v>0</v>
      </c>
      <c r="F45" s="28"/>
      <c r="H45" s="20"/>
    </row>
    <row r="46" spans="1:6" ht="15.75">
      <c r="A46" s="17"/>
      <c r="B46" s="34"/>
      <c r="C46" s="18"/>
      <c r="D46" s="35">
        <f>SUM(D40:D45)</f>
        <v>0</v>
      </c>
      <c r="E46" s="33">
        <f>SUM(E40:E45)</f>
        <v>0</v>
      </c>
      <c r="F46" s="28"/>
    </row>
    <row r="47" ht="15.75">
      <c r="F47" s="20"/>
    </row>
    <row r="48" spans="1:6" ht="15.75">
      <c r="A48" s="36" t="s">
        <v>48</v>
      </c>
      <c r="E48" s="21" t="s">
        <v>29</v>
      </c>
      <c r="F48" s="21" t="s">
        <v>22</v>
      </c>
    </row>
    <row r="49" spans="5:6" ht="15.75">
      <c r="E49" s="21"/>
      <c r="F49" s="22"/>
    </row>
    <row r="50" spans="1:6" ht="15.75">
      <c r="A50" s="37" t="s">
        <v>23</v>
      </c>
      <c r="E50" s="21">
        <v>0</v>
      </c>
      <c r="F50" s="22">
        <v>0</v>
      </c>
    </row>
    <row r="51" spans="1:6" ht="15.75">
      <c r="A51" s="36" t="s">
        <v>24</v>
      </c>
      <c r="E51" s="21">
        <v>0</v>
      </c>
      <c r="F51" s="22">
        <v>0</v>
      </c>
    </row>
    <row r="52" spans="1:6" ht="15.75">
      <c r="A52" s="2" t="s">
        <v>14</v>
      </c>
      <c r="E52" s="21">
        <v>0</v>
      </c>
      <c r="F52" s="22">
        <v>0</v>
      </c>
    </row>
    <row r="53" spans="1:6" ht="15.75">
      <c r="A53" s="36" t="s">
        <v>25</v>
      </c>
      <c r="E53" s="21"/>
      <c r="F53" s="22">
        <f>F50-F54-F51-F52</f>
        <v>0</v>
      </c>
    </row>
    <row r="54" spans="1:6" ht="15.75">
      <c r="A54" s="2" t="s">
        <v>26</v>
      </c>
      <c r="E54" s="21"/>
      <c r="F54" s="38">
        <v>0</v>
      </c>
    </row>
    <row r="55" spans="5:6" ht="15.75">
      <c r="E55" s="21"/>
      <c r="F55" s="22"/>
    </row>
    <row r="56" spans="1:6" ht="15.75">
      <c r="A56" s="2" t="s">
        <v>27</v>
      </c>
      <c r="E56" s="21"/>
      <c r="F56" s="39">
        <v>0</v>
      </c>
    </row>
    <row r="57" spans="1:6" ht="15.75">
      <c r="A57" s="2" t="s">
        <v>15</v>
      </c>
      <c r="E57" s="21"/>
      <c r="F57" s="22">
        <v>0</v>
      </c>
    </row>
    <row r="58" spans="5:6" ht="15.75">
      <c r="E58" s="21"/>
      <c r="F58" s="22"/>
    </row>
    <row r="59" spans="1:6" ht="15.75">
      <c r="A59" s="2" t="s">
        <v>28</v>
      </c>
      <c r="E59" s="21"/>
      <c r="F59" s="39">
        <v>0</v>
      </c>
    </row>
    <row r="60" spans="1:6" ht="15.75">
      <c r="A60" s="2" t="s">
        <v>49</v>
      </c>
      <c r="E60" s="21"/>
      <c r="F60" s="40">
        <v>0</v>
      </c>
    </row>
    <row r="61" spans="5:6" ht="15.75">
      <c r="E61" s="21"/>
      <c r="F61" s="22"/>
    </row>
    <row r="62" ht="15.75">
      <c r="F62" s="20"/>
    </row>
    <row r="63" ht="15.75">
      <c r="F63" s="20"/>
    </row>
    <row r="64" ht="15.75">
      <c r="F64" s="20"/>
    </row>
    <row r="65" spans="1:6" ht="15.75">
      <c r="A65" s="25" t="s">
        <v>16</v>
      </c>
      <c r="B65" s="25"/>
      <c r="C65" s="25"/>
      <c r="F65" s="20"/>
    </row>
    <row r="66" ht="15.75">
      <c r="A66" s="2" t="s">
        <v>54</v>
      </c>
    </row>
  </sheetData>
  <printOptions/>
  <pageMargins left="0.75" right="0.75" top="1" bottom="1" header="0.5" footer="0.5"/>
  <pageSetup horizontalDpi="600" verticalDpi="600" orientation="portrait" paperSize="9" scale="91" r:id="rId2"/>
  <rowBreaks count="1" manualBreakCount="1">
    <brk id="47" max="6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workbookViewId="0" topLeftCell="A1">
      <selection activeCell="A1" sqref="A1"/>
    </sheetView>
  </sheetViews>
  <sheetFormatPr defaultColWidth="9.00390625" defaultRowHeight="15.75"/>
  <cols>
    <col min="1" max="1" width="9.00390625" style="2" customWidth="1"/>
    <col min="2" max="2" width="7.375" style="2" customWidth="1"/>
    <col min="3" max="3" width="11.875" style="2" customWidth="1"/>
    <col min="4" max="5" width="15.625" style="2" customWidth="1"/>
    <col min="6" max="6" width="12.375" style="2" customWidth="1"/>
    <col min="7" max="7" width="11.75390625" style="2" customWidth="1"/>
    <col min="8" max="16384" width="9.00390625" style="2" customWidth="1"/>
  </cols>
  <sheetData>
    <row r="1" spans="1:3" ht="18.75">
      <c r="A1" s="1"/>
      <c r="C1" s="1" t="s">
        <v>33</v>
      </c>
    </row>
    <row r="2" ht="15.75"/>
    <row r="4" spans="1:5" ht="15.75">
      <c r="A4" s="2" t="s">
        <v>0</v>
      </c>
      <c r="D4" s="3">
        <v>37986</v>
      </c>
      <c r="E4" s="3"/>
    </row>
    <row r="5" spans="1:8" ht="15.75">
      <c r="A5" s="2" t="s">
        <v>17</v>
      </c>
      <c r="D5" s="4">
        <v>0.0390125</v>
      </c>
      <c r="E5" s="3"/>
      <c r="H5" s="5"/>
    </row>
    <row r="6" ht="15.75">
      <c r="H6" s="5"/>
    </row>
    <row r="7" spans="1:8" ht="15.75">
      <c r="A7" s="2" t="s">
        <v>1</v>
      </c>
      <c r="H7" s="5"/>
    </row>
    <row r="8" spans="1:8" s="47" customFormat="1" ht="31.5">
      <c r="A8" s="41" t="s">
        <v>2</v>
      </c>
      <c r="B8" s="42"/>
      <c r="C8" s="43" t="s">
        <v>31</v>
      </c>
      <c r="D8" s="44" t="s">
        <v>3</v>
      </c>
      <c r="E8" s="44" t="s">
        <v>32</v>
      </c>
      <c r="F8" s="44" t="s">
        <v>18</v>
      </c>
      <c r="G8" s="45" t="s">
        <v>4</v>
      </c>
      <c r="H8" s="46"/>
    </row>
    <row r="9" spans="1:8" ht="15.75">
      <c r="A9" s="6" t="s">
        <v>34</v>
      </c>
      <c r="B9" s="7"/>
      <c r="C9" s="8">
        <v>31</v>
      </c>
      <c r="D9" s="9">
        <v>146303901.6</v>
      </c>
      <c r="E9" s="9">
        <v>7499113.2</v>
      </c>
      <c r="F9" s="9">
        <v>572341.2</v>
      </c>
      <c r="G9" s="10">
        <f>+D9/276000000</f>
        <v>0.5300866</v>
      </c>
      <c r="H9" s="5"/>
    </row>
    <row r="10" spans="1:8" ht="15.75">
      <c r="A10" s="11" t="s">
        <v>5</v>
      </c>
      <c r="B10" s="12"/>
      <c r="C10" s="13">
        <v>85</v>
      </c>
      <c r="D10" s="14">
        <v>24000000</v>
      </c>
      <c r="E10" s="15">
        <v>0</v>
      </c>
      <c r="F10" s="15">
        <v>101028</v>
      </c>
      <c r="G10" s="16">
        <f>+D10/24000000</f>
        <v>1</v>
      </c>
      <c r="H10" s="5"/>
    </row>
    <row r="11" spans="1:8" ht="15.75">
      <c r="A11" s="17"/>
      <c r="B11" s="18"/>
      <c r="C11" s="18"/>
      <c r="D11" s="15">
        <f>SUM(D9:D10)</f>
        <v>170303901.6</v>
      </c>
      <c r="E11" s="15">
        <f>SUM(E9:E10)</f>
        <v>7499113.2</v>
      </c>
      <c r="F11" s="15">
        <f>SUM(F9:F10)</f>
        <v>673369.2</v>
      </c>
      <c r="G11" s="19"/>
      <c r="H11" s="5"/>
    </row>
    <row r="12" ht="15.75">
      <c r="H12" s="5"/>
    </row>
    <row r="13" spans="1:6" ht="15.75">
      <c r="A13" s="2" t="s">
        <v>35</v>
      </c>
      <c r="F13" s="20">
        <v>45000000</v>
      </c>
    </row>
    <row r="14" spans="1:6" ht="15.75">
      <c r="A14" s="2" t="s">
        <v>6</v>
      </c>
      <c r="F14" s="20">
        <v>0</v>
      </c>
    </row>
    <row r="15" ht="15.75">
      <c r="F15" s="20"/>
    </row>
    <row r="16" spans="1:6" ht="15.75">
      <c r="A16" s="2" t="s">
        <v>7</v>
      </c>
      <c r="F16" s="20">
        <v>6000000</v>
      </c>
    </row>
    <row r="17" spans="1:6" ht="15.75">
      <c r="A17" s="2" t="s">
        <v>52</v>
      </c>
      <c r="F17" s="20">
        <v>0</v>
      </c>
    </row>
    <row r="18" spans="1:6" ht="15.75">
      <c r="A18" s="2" t="s">
        <v>36</v>
      </c>
      <c r="F18" s="20">
        <v>6000000</v>
      </c>
    </row>
    <row r="19" ht="15.75">
      <c r="F19" s="20"/>
    </row>
    <row r="20" spans="1:6" ht="15.75">
      <c r="A20" s="2" t="s">
        <v>37</v>
      </c>
      <c r="F20" s="20">
        <v>500000</v>
      </c>
    </row>
    <row r="21" spans="1:6" ht="15.75">
      <c r="A21" s="2" t="s">
        <v>38</v>
      </c>
      <c r="F21" s="20">
        <v>0</v>
      </c>
    </row>
    <row r="22" spans="1:6" ht="15.75">
      <c r="A22" s="2" t="s">
        <v>39</v>
      </c>
      <c r="F22" s="20">
        <v>500000</v>
      </c>
    </row>
    <row r="23" ht="15.75">
      <c r="F23" s="20"/>
    </row>
    <row r="24" spans="1:6" ht="15.75">
      <c r="A24" s="2" t="s">
        <v>8</v>
      </c>
      <c r="F24" s="20">
        <v>0</v>
      </c>
    </row>
    <row r="25" spans="1:6" ht="15.75">
      <c r="A25" s="2" t="s">
        <v>19</v>
      </c>
      <c r="F25" s="20">
        <v>0</v>
      </c>
    </row>
    <row r="26" ht="15.75">
      <c r="F26" s="20"/>
    </row>
    <row r="27" spans="1:6" ht="15.75">
      <c r="A27" s="2" t="s">
        <v>40</v>
      </c>
      <c r="F27" s="20">
        <v>150443.46</v>
      </c>
    </row>
    <row r="28" spans="1:6" ht="15.75">
      <c r="A28" s="2" t="s">
        <v>53</v>
      </c>
      <c r="F28" s="20">
        <v>0</v>
      </c>
    </row>
    <row r="29" spans="1:6" ht="15.75">
      <c r="A29" s="2" t="s">
        <v>20</v>
      </c>
      <c r="F29" s="20">
        <f>D46</f>
        <v>166561712</v>
      </c>
    </row>
    <row r="30" ht="15.75">
      <c r="F30" s="20"/>
    </row>
    <row r="31" spans="5:6" ht="15.75">
      <c r="E31" s="21" t="s">
        <v>21</v>
      </c>
      <c r="F31" s="22" t="s">
        <v>22</v>
      </c>
    </row>
    <row r="32" spans="1:6" ht="15.75">
      <c r="A32" s="2" t="s">
        <v>41</v>
      </c>
      <c r="E32" s="21">
        <f>46</f>
        <v>46</v>
      </c>
      <c r="F32" s="22">
        <f>811190+65000+35000+59900+25000+30000+3000+2645813+20000+10000</f>
        <v>3704903</v>
      </c>
    </row>
    <row r="33" spans="1:6" ht="15.75">
      <c r="A33" s="2" t="s">
        <v>9</v>
      </c>
      <c r="E33" s="21">
        <v>0</v>
      </c>
      <c r="F33" s="22">
        <v>0</v>
      </c>
    </row>
    <row r="34" spans="1:6" ht="15.75">
      <c r="A34" s="2" t="s">
        <v>42</v>
      </c>
      <c r="E34" s="21">
        <f>861+44+88+59+95+77+116+82+134+73+113+31+115+83+98+36+42+29+106+54+81+113</f>
        <v>2530</v>
      </c>
      <c r="F34" s="22">
        <f>68606382+5894897.05+5544682.87+5709643+7641954+6749512.84+9802062+8604525+8201934.38+6644331.5+7905047+5727719.86+7143832.27+5703968.66+8164011+3279857.62+3708819+2645813+7667212+4699330.91+7405272.82+7315682.26</f>
        <v>204766491.04</v>
      </c>
    </row>
    <row r="35" spans="5:6" ht="15.75">
      <c r="E35" s="21"/>
      <c r="F35" s="22"/>
    </row>
    <row r="36" spans="1:6" ht="15.75">
      <c r="A36" s="2" t="s">
        <v>50</v>
      </c>
      <c r="E36" s="23"/>
      <c r="F36" s="24">
        <v>0.5085</v>
      </c>
    </row>
    <row r="37" spans="5:6" ht="15.75">
      <c r="E37" s="23"/>
      <c r="F37" s="20"/>
    </row>
    <row r="38" spans="1:6" ht="15.75">
      <c r="A38" s="2" t="s">
        <v>43</v>
      </c>
      <c r="F38" s="20"/>
    </row>
    <row r="39" spans="1:6" s="47" customFormat="1" ht="47.25">
      <c r="A39" s="41" t="s">
        <v>10</v>
      </c>
      <c r="B39" s="48"/>
      <c r="C39" s="42"/>
      <c r="D39" s="49" t="s">
        <v>11</v>
      </c>
      <c r="E39" s="50" t="s">
        <v>12</v>
      </c>
      <c r="F39" s="51"/>
    </row>
    <row r="40" spans="1:6" ht="15.75">
      <c r="A40" s="6" t="s">
        <v>13</v>
      </c>
      <c r="B40" s="25"/>
      <c r="C40" s="7"/>
      <c r="D40" s="26">
        <f>164307463-102005</f>
        <v>164205458</v>
      </c>
      <c r="E40" s="27">
        <v>2821</v>
      </c>
      <c r="F40" s="28"/>
    </row>
    <row r="41" spans="1:6" ht="15.75">
      <c r="A41" s="29" t="s">
        <v>44</v>
      </c>
      <c r="B41" s="5"/>
      <c r="C41" s="12"/>
      <c r="D41" s="30">
        <v>1530324</v>
      </c>
      <c r="E41" s="31">
        <v>12</v>
      </c>
      <c r="F41" s="28"/>
    </row>
    <row r="42" spans="1:6" ht="15.75">
      <c r="A42" s="29" t="s">
        <v>45</v>
      </c>
      <c r="B42" s="5"/>
      <c r="C42" s="12"/>
      <c r="D42" s="30">
        <v>214188</v>
      </c>
      <c r="E42" s="31">
        <v>2</v>
      </c>
      <c r="F42" s="28" t="s">
        <v>51</v>
      </c>
    </row>
    <row r="43" spans="1:6" ht="15.75">
      <c r="A43" s="11" t="s">
        <v>46</v>
      </c>
      <c r="B43" s="5"/>
      <c r="C43" s="12"/>
      <c r="D43" s="30">
        <f>330659+128297</f>
        <v>458956</v>
      </c>
      <c r="E43" s="31">
        <f>5+1</f>
        <v>6</v>
      </c>
      <c r="F43" s="28"/>
    </row>
    <row r="44" spans="1:6" ht="15.75">
      <c r="A44" s="11" t="s">
        <v>30</v>
      </c>
      <c r="B44" s="5"/>
      <c r="C44" s="12"/>
      <c r="D44" s="30">
        <v>95055</v>
      </c>
      <c r="E44" s="31">
        <v>1</v>
      </c>
      <c r="F44" s="28"/>
    </row>
    <row r="45" spans="1:6" ht="15.75">
      <c r="A45" s="11" t="s">
        <v>47</v>
      </c>
      <c r="B45" s="5"/>
      <c r="C45" s="12"/>
      <c r="D45" s="32">
        <v>57731</v>
      </c>
      <c r="E45" s="33">
        <v>1</v>
      </c>
      <c r="F45" s="28"/>
    </row>
    <row r="46" spans="1:6" ht="15.75">
      <c r="A46" s="17"/>
      <c r="B46" s="34"/>
      <c r="C46" s="18"/>
      <c r="D46" s="35">
        <f>SUM(D40:D45)</f>
        <v>166561712</v>
      </c>
      <c r="E46" s="33">
        <f>SUM(E40:E45)</f>
        <v>2843</v>
      </c>
      <c r="F46" s="28"/>
    </row>
    <row r="47" ht="15.75">
      <c r="F47" s="20"/>
    </row>
    <row r="48" spans="1:6" ht="15.75">
      <c r="A48" s="36" t="s">
        <v>48</v>
      </c>
      <c r="E48" s="21" t="s">
        <v>29</v>
      </c>
      <c r="F48" s="21" t="s">
        <v>22</v>
      </c>
    </row>
    <row r="49" spans="5:6" ht="15.75">
      <c r="E49" s="21"/>
      <c r="F49" s="22"/>
    </row>
    <row r="50" spans="1:6" ht="15.75">
      <c r="A50" s="37" t="s">
        <v>23</v>
      </c>
      <c r="E50" s="21">
        <v>0</v>
      </c>
      <c r="F50" s="22">
        <v>0</v>
      </c>
    </row>
    <row r="51" spans="1:6" ht="15.75">
      <c r="A51" s="36" t="s">
        <v>24</v>
      </c>
      <c r="E51" s="21">
        <v>0</v>
      </c>
      <c r="F51" s="22">
        <v>0</v>
      </c>
    </row>
    <row r="52" spans="1:6" ht="15.75">
      <c r="A52" s="2" t="s">
        <v>14</v>
      </c>
      <c r="E52" s="21">
        <v>0</v>
      </c>
      <c r="F52" s="22">
        <v>0</v>
      </c>
    </row>
    <row r="53" spans="1:6" ht="15.75">
      <c r="A53" s="36" t="s">
        <v>25</v>
      </c>
      <c r="E53" s="21"/>
      <c r="F53" s="22">
        <f>F50-F54-F51-F52</f>
        <v>0</v>
      </c>
    </row>
    <row r="54" spans="1:6" ht="15.75">
      <c r="A54" s="2" t="s">
        <v>26</v>
      </c>
      <c r="E54" s="21"/>
      <c r="F54" s="38">
        <v>0</v>
      </c>
    </row>
    <row r="55" spans="5:6" ht="15.75">
      <c r="E55" s="21"/>
      <c r="F55" s="22"/>
    </row>
    <row r="56" spans="1:6" ht="15.75">
      <c r="A56" s="2" t="s">
        <v>27</v>
      </c>
      <c r="E56" s="21"/>
      <c r="F56" s="39">
        <v>0</v>
      </c>
    </row>
    <row r="57" spans="1:6" ht="15.75">
      <c r="A57" s="2" t="s">
        <v>15</v>
      </c>
      <c r="E57" s="21"/>
      <c r="F57" s="22">
        <v>0</v>
      </c>
    </row>
    <row r="58" spans="5:6" ht="15.75">
      <c r="E58" s="21"/>
      <c r="F58" s="22"/>
    </row>
    <row r="59" spans="1:6" ht="15.75">
      <c r="A59" s="2" t="s">
        <v>28</v>
      </c>
      <c r="E59" s="21"/>
      <c r="F59" s="39">
        <v>0</v>
      </c>
    </row>
    <row r="60" spans="1:6" ht="15.75">
      <c r="A60" s="2" t="s">
        <v>49</v>
      </c>
      <c r="E60" s="21"/>
      <c r="F60" s="40">
        <v>0</v>
      </c>
    </row>
    <row r="61" spans="5:6" ht="15.75">
      <c r="E61" s="21"/>
      <c r="F61" s="22"/>
    </row>
    <row r="62" ht="15.75">
      <c r="F62" s="20"/>
    </row>
    <row r="63" ht="15.75">
      <c r="F63" s="20"/>
    </row>
    <row r="64" ht="15.75">
      <c r="F64" s="20"/>
    </row>
    <row r="65" spans="1:6" ht="15.75">
      <c r="A65" s="25" t="s">
        <v>16</v>
      </c>
      <c r="B65" s="25"/>
      <c r="C65" s="25"/>
      <c r="F65" s="20"/>
    </row>
    <row r="66" ht="15.75">
      <c r="A66" s="2" t="s">
        <v>54</v>
      </c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workbookViewId="0" topLeftCell="A1">
      <selection activeCell="A1" sqref="A1"/>
    </sheetView>
  </sheetViews>
  <sheetFormatPr defaultColWidth="9.00390625" defaultRowHeight="15.75"/>
  <cols>
    <col min="1" max="1" width="9.00390625" style="2" customWidth="1"/>
    <col min="2" max="2" width="7.375" style="2" customWidth="1"/>
    <col min="3" max="3" width="11.875" style="2" customWidth="1"/>
    <col min="4" max="5" width="15.625" style="2" customWidth="1"/>
    <col min="6" max="6" width="12.375" style="2" customWidth="1"/>
    <col min="7" max="7" width="11.75390625" style="2" customWidth="1"/>
    <col min="8" max="16384" width="9.00390625" style="2" customWidth="1"/>
  </cols>
  <sheetData>
    <row r="1" spans="1:3" ht="18.75">
      <c r="A1" s="1"/>
      <c r="C1" s="1" t="s">
        <v>33</v>
      </c>
    </row>
    <row r="2" ht="15.75"/>
    <row r="4" spans="1:5" ht="15.75">
      <c r="A4" s="2" t="s">
        <v>0</v>
      </c>
      <c r="D4" s="3">
        <v>38016</v>
      </c>
      <c r="E4" s="3"/>
    </row>
    <row r="5" spans="1:8" ht="15.75">
      <c r="A5" s="2" t="s">
        <v>17</v>
      </c>
      <c r="D5" s="4">
        <v>0.0398125</v>
      </c>
      <c r="E5" s="3"/>
      <c r="H5" s="5"/>
    </row>
    <row r="6" ht="15.75">
      <c r="H6" s="5"/>
    </row>
    <row r="7" spans="1:8" ht="15.75">
      <c r="A7" s="2" t="s">
        <v>1</v>
      </c>
      <c r="H7" s="5"/>
    </row>
    <row r="8" spans="1:8" s="47" customFormat="1" ht="31.5">
      <c r="A8" s="41" t="s">
        <v>2</v>
      </c>
      <c r="B8" s="42"/>
      <c r="C8" s="43" t="s">
        <v>31</v>
      </c>
      <c r="D8" s="44" t="s">
        <v>3</v>
      </c>
      <c r="E8" s="44" t="s">
        <v>32</v>
      </c>
      <c r="F8" s="44" t="s">
        <v>18</v>
      </c>
      <c r="G8" s="45" t="s">
        <v>4</v>
      </c>
      <c r="H8" s="46"/>
    </row>
    <row r="9" spans="1:8" ht="15.75">
      <c r="A9" s="6" t="s">
        <v>34</v>
      </c>
      <c r="B9" s="7"/>
      <c r="C9" s="8">
        <v>31</v>
      </c>
      <c r="D9" s="9">
        <v>139426257.6</v>
      </c>
      <c r="E9" s="9">
        <v>6877644</v>
      </c>
      <c r="F9" s="9">
        <v>505024.8</v>
      </c>
      <c r="G9" s="10">
        <f>+D9/276000000</f>
        <v>0.5051675999999999</v>
      </c>
      <c r="H9" s="5"/>
    </row>
    <row r="10" spans="1:8" ht="15.75">
      <c r="A10" s="11" t="s">
        <v>5</v>
      </c>
      <c r="B10" s="12"/>
      <c r="C10" s="13">
        <v>85</v>
      </c>
      <c r="D10" s="14">
        <v>24000000</v>
      </c>
      <c r="E10" s="15">
        <v>0</v>
      </c>
      <c r="F10" s="15">
        <v>93468</v>
      </c>
      <c r="G10" s="16">
        <f>+D10/24000000</f>
        <v>1</v>
      </c>
      <c r="H10" s="5"/>
    </row>
    <row r="11" spans="1:8" ht="15.75">
      <c r="A11" s="17"/>
      <c r="B11" s="18"/>
      <c r="C11" s="18"/>
      <c r="D11" s="15">
        <f>SUM(D9:D10)</f>
        <v>163426257.6</v>
      </c>
      <c r="E11" s="15">
        <f>SUM(E9:E10)</f>
        <v>6877644</v>
      </c>
      <c r="F11" s="15">
        <f>SUM(F9:F10)</f>
        <v>598492.8</v>
      </c>
      <c r="G11" s="19"/>
      <c r="H11" s="5"/>
    </row>
    <row r="12" ht="15.75">
      <c r="H12" s="5"/>
    </row>
    <row r="13" spans="1:6" ht="15.75">
      <c r="A13" s="2" t="s">
        <v>35</v>
      </c>
      <c r="F13" s="20">
        <v>45000000</v>
      </c>
    </row>
    <row r="14" spans="1:6" ht="15.75">
      <c r="A14" s="2" t="s">
        <v>6</v>
      </c>
      <c r="F14" s="20">
        <v>0</v>
      </c>
    </row>
    <row r="15" ht="15.75">
      <c r="F15" s="20"/>
    </row>
    <row r="16" spans="1:6" ht="15.75">
      <c r="A16" s="2" t="s">
        <v>7</v>
      </c>
      <c r="F16" s="20">
        <v>6000000</v>
      </c>
    </row>
    <row r="17" spans="1:6" ht="15.75">
      <c r="A17" s="2" t="s">
        <v>52</v>
      </c>
      <c r="F17" s="20">
        <v>0</v>
      </c>
    </row>
    <row r="18" spans="1:6" ht="15.75">
      <c r="A18" s="2" t="s">
        <v>36</v>
      </c>
      <c r="F18" s="20">
        <v>6000000</v>
      </c>
    </row>
    <row r="19" ht="15.75">
      <c r="F19" s="20"/>
    </row>
    <row r="20" spans="1:6" ht="15.75">
      <c r="A20" s="2" t="s">
        <v>37</v>
      </c>
      <c r="F20" s="20">
        <v>500000</v>
      </c>
    </row>
    <row r="21" spans="1:6" ht="15.75">
      <c r="A21" s="2" t="s">
        <v>38</v>
      </c>
      <c r="F21" s="20">
        <v>0</v>
      </c>
    </row>
    <row r="22" spans="1:6" ht="15.75">
      <c r="A22" s="2" t="s">
        <v>39</v>
      </c>
      <c r="F22" s="20">
        <v>500000</v>
      </c>
    </row>
    <row r="23" ht="15.75">
      <c r="F23" s="20"/>
    </row>
    <row r="24" spans="1:6" ht="15.75">
      <c r="A24" s="2" t="s">
        <v>8</v>
      </c>
      <c r="F24" s="20">
        <v>0</v>
      </c>
    </row>
    <row r="25" spans="1:6" ht="15.75">
      <c r="A25" s="2" t="s">
        <v>19</v>
      </c>
      <c r="F25" s="20">
        <v>0</v>
      </c>
    </row>
    <row r="26" ht="15.75">
      <c r="F26" s="20"/>
    </row>
    <row r="27" spans="1:6" ht="15.75">
      <c r="A27" s="2" t="s">
        <v>40</v>
      </c>
      <c r="F27" s="20">
        <v>140971.17</v>
      </c>
    </row>
    <row r="28" spans="1:6" ht="15.75">
      <c r="A28" s="2" t="s">
        <v>53</v>
      </c>
      <c r="F28" s="20">
        <v>0</v>
      </c>
    </row>
    <row r="29" spans="1:6" ht="15.75">
      <c r="A29" s="2" t="s">
        <v>20</v>
      </c>
      <c r="F29" s="20">
        <f>D46</f>
        <v>161266635</v>
      </c>
    </row>
    <row r="30" ht="15.75">
      <c r="F30" s="20"/>
    </row>
    <row r="31" spans="5:6" ht="15.75">
      <c r="E31" s="21" t="s">
        <v>21</v>
      </c>
      <c r="F31" s="22" t="s">
        <v>22</v>
      </c>
    </row>
    <row r="32" spans="1:6" ht="15.75">
      <c r="A32" s="2" t="s">
        <v>41</v>
      </c>
      <c r="E32" s="21">
        <f>46</f>
        <v>46</v>
      </c>
      <c r="F32" s="22">
        <f>811190+65000+35000+59900+25000+30000+3000+2645813+20000+10000</f>
        <v>3704903</v>
      </c>
    </row>
    <row r="33" spans="1:6" ht="15.75">
      <c r="A33" s="2" t="s">
        <v>9</v>
      </c>
      <c r="E33" s="21">
        <v>0</v>
      </c>
      <c r="F33" s="22">
        <v>0</v>
      </c>
    </row>
    <row r="34" spans="1:6" ht="15.75">
      <c r="A34" s="2" t="s">
        <v>42</v>
      </c>
      <c r="E34" s="21">
        <f>861+44+88+59+95+77+116+82+134+73+113+31+115+83+98+36+42+29+106+54+81+113</f>
        <v>2530</v>
      </c>
      <c r="F34" s="22">
        <f>68606382+5894897.05+5544682.87+5709643+7641954+6749512.84+9802062+8604525+8201934.38+6644331.5+7905047+5727719.86+7143832.27+5703968.66+8164011+3279857.62+3708819+2645813+7667212+4699330.91+7405272.82+7315682.26</f>
        <v>204766491.04</v>
      </c>
    </row>
    <row r="35" spans="5:6" ht="15.75">
      <c r="E35" s="21"/>
      <c r="F35" s="22"/>
    </row>
    <row r="36" spans="1:6" ht="15.75">
      <c r="A36" s="2" t="s">
        <v>50</v>
      </c>
      <c r="E36" s="23"/>
      <c r="F36" s="24">
        <v>0.4816</v>
      </c>
    </row>
    <row r="37" spans="5:6" ht="15.75">
      <c r="E37" s="23"/>
      <c r="F37" s="20"/>
    </row>
    <row r="38" spans="1:6" ht="15.75">
      <c r="A38" s="2" t="s">
        <v>43</v>
      </c>
      <c r="F38" s="20"/>
    </row>
    <row r="39" spans="1:6" s="47" customFormat="1" ht="47.25">
      <c r="A39" s="41" t="s">
        <v>10</v>
      </c>
      <c r="B39" s="48"/>
      <c r="C39" s="42"/>
      <c r="D39" s="49" t="s">
        <v>11</v>
      </c>
      <c r="E39" s="50" t="s">
        <v>12</v>
      </c>
      <c r="F39" s="51"/>
    </row>
    <row r="40" spans="1:6" ht="15.75">
      <c r="A40" s="6" t="s">
        <v>13</v>
      </c>
      <c r="B40" s="25"/>
      <c r="C40" s="7"/>
      <c r="D40" s="26">
        <f>158992315-177172</f>
        <v>158815143</v>
      </c>
      <c r="E40" s="27">
        <v>2747</v>
      </c>
      <c r="F40" s="28"/>
    </row>
    <row r="41" spans="1:6" ht="15.75">
      <c r="A41" s="29" t="s">
        <v>44</v>
      </c>
      <c r="B41" s="5"/>
      <c r="C41" s="12"/>
      <c r="D41" s="30">
        <v>983182</v>
      </c>
      <c r="E41" s="31">
        <v>9</v>
      </c>
      <c r="F41" s="28"/>
    </row>
    <row r="42" spans="1:6" ht="15.75">
      <c r="A42" s="29" t="s">
        <v>45</v>
      </c>
      <c r="B42" s="5"/>
      <c r="C42" s="12"/>
      <c r="D42" s="30">
        <v>733012</v>
      </c>
      <c r="E42" s="31">
        <v>4</v>
      </c>
      <c r="F42" s="28" t="s">
        <v>51</v>
      </c>
    </row>
    <row r="43" spans="1:6" ht="15.75">
      <c r="A43" s="11" t="s">
        <v>46</v>
      </c>
      <c r="B43" s="5"/>
      <c r="C43" s="12"/>
      <c r="D43" s="30">
        <f>607197+128101</f>
        <v>735298</v>
      </c>
      <c r="E43" s="31">
        <v>8</v>
      </c>
      <c r="F43" s="28"/>
    </row>
    <row r="44" spans="1:6" ht="15.75">
      <c r="A44" s="11" t="s">
        <v>30</v>
      </c>
      <c r="B44" s="5"/>
      <c r="C44" s="12"/>
      <c r="D44" s="30">
        <v>0</v>
      </c>
      <c r="E44" s="31">
        <v>0</v>
      </c>
      <c r="F44" s="28"/>
    </row>
    <row r="45" spans="1:6" ht="15.75">
      <c r="A45" s="11" t="s">
        <v>47</v>
      </c>
      <c r="B45" s="5"/>
      <c r="C45" s="12"/>
      <c r="D45" s="32">
        <v>0</v>
      </c>
      <c r="E45" s="33">
        <v>0</v>
      </c>
      <c r="F45" s="28"/>
    </row>
    <row r="46" spans="1:6" ht="15.75">
      <c r="A46" s="17"/>
      <c r="B46" s="34"/>
      <c r="C46" s="18"/>
      <c r="D46" s="35">
        <f>SUM(D40:D45)</f>
        <v>161266635</v>
      </c>
      <c r="E46" s="33">
        <f>SUM(E40:E45)</f>
        <v>2768</v>
      </c>
      <c r="F46" s="28"/>
    </row>
    <row r="47" ht="15.75">
      <c r="F47" s="20"/>
    </row>
    <row r="48" spans="1:6" ht="15.75">
      <c r="A48" s="36" t="s">
        <v>48</v>
      </c>
      <c r="E48" s="21" t="s">
        <v>29</v>
      </c>
      <c r="F48" s="21" t="s">
        <v>22</v>
      </c>
    </row>
    <row r="49" spans="5:6" ht="15.75">
      <c r="E49" s="21"/>
      <c r="F49" s="22"/>
    </row>
    <row r="50" spans="1:6" ht="15.75">
      <c r="A50" s="37" t="s">
        <v>23</v>
      </c>
      <c r="E50" s="21">
        <v>0</v>
      </c>
      <c r="F50" s="22">
        <v>0</v>
      </c>
    </row>
    <row r="51" spans="1:6" ht="15.75">
      <c r="A51" s="36" t="s">
        <v>24</v>
      </c>
      <c r="E51" s="21">
        <v>0</v>
      </c>
      <c r="F51" s="22">
        <v>0</v>
      </c>
    </row>
    <row r="52" spans="1:6" ht="15.75">
      <c r="A52" s="2" t="s">
        <v>14</v>
      </c>
      <c r="E52" s="21">
        <v>0</v>
      </c>
      <c r="F52" s="22">
        <v>0</v>
      </c>
    </row>
    <row r="53" spans="1:6" ht="15.75">
      <c r="A53" s="36" t="s">
        <v>25</v>
      </c>
      <c r="E53" s="21"/>
      <c r="F53" s="22">
        <f>F50-F54-F51-F52</f>
        <v>0</v>
      </c>
    </row>
    <row r="54" spans="1:6" ht="15.75">
      <c r="A54" s="2" t="s">
        <v>26</v>
      </c>
      <c r="E54" s="21"/>
      <c r="F54" s="38">
        <v>0</v>
      </c>
    </row>
    <row r="55" spans="5:6" ht="15.75">
      <c r="E55" s="21"/>
      <c r="F55" s="22"/>
    </row>
    <row r="56" spans="1:6" ht="15.75">
      <c r="A56" s="2" t="s">
        <v>27</v>
      </c>
      <c r="E56" s="21"/>
      <c r="F56" s="39">
        <v>0</v>
      </c>
    </row>
    <row r="57" spans="1:6" ht="15.75">
      <c r="A57" s="2" t="s">
        <v>15</v>
      </c>
      <c r="E57" s="21"/>
      <c r="F57" s="22">
        <v>0</v>
      </c>
    </row>
    <row r="58" spans="5:6" ht="15.75">
      <c r="E58" s="21"/>
      <c r="F58" s="22"/>
    </row>
    <row r="59" spans="1:6" ht="15.75">
      <c r="A59" s="2" t="s">
        <v>28</v>
      </c>
      <c r="E59" s="21"/>
      <c r="F59" s="39">
        <v>0</v>
      </c>
    </row>
    <row r="60" spans="1:6" ht="15.75">
      <c r="A60" s="2" t="s">
        <v>49</v>
      </c>
      <c r="E60" s="21"/>
      <c r="F60" s="40">
        <v>0</v>
      </c>
    </row>
    <row r="61" spans="5:6" ht="15.75">
      <c r="E61" s="21"/>
      <c r="F61" s="22"/>
    </row>
    <row r="62" ht="15.75">
      <c r="F62" s="20"/>
    </row>
    <row r="63" ht="15.75">
      <c r="F63" s="20"/>
    </row>
    <row r="64" ht="15.75">
      <c r="F64" s="20"/>
    </row>
    <row r="65" spans="1:6" ht="15.75">
      <c r="A65" s="25" t="s">
        <v>16</v>
      </c>
      <c r="B65" s="25"/>
      <c r="C65" s="25"/>
      <c r="F65" s="20"/>
    </row>
    <row r="66" ht="15.75">
      <c r="A66" s="2" t="s">
        <v>54</v>
      </c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workbookViewId="0" topLeftCell="A1">
      <selection activeCell="A1" sqref="A1"/>
    </sheetView>
  </sheetViews>
  <sheetFormatPr defaultColWidth="9.00390625" defaultRowHeight="15.75"/>
  <cols>
    <col min="1" max="1" width="9.00390625" style="2" customWidth="1"/>
    <col min="2" max="2" width="7.375" style="2" customWidth="1"/>
    <col min="3" max="3" width="11.875" style="2" customWidth="1"/>
    <col min="4" max="5" width="15.625" style="2" customWidth="1"/>
    <col min="6" max="6" width="12.375" style="2" customWidth="1"/>
    <col min="7" max="7" width="11.75390625" style="2" customWidth="1"/>
    <col min="8" max="16384" width="9.00390625" style="2" customWidth="1"/>
  </cols>
  <sheetData>
    <row r="1" spans="1:3" ht="18.75">
      <c r="A1" s="1"/>
      <c r="C1" s="1" t="s">
        <v>33</v>
      </c>
    </row>
    <row r="2" ht="15.75"/>
    <row r="4" spans="1:5" ht="15.75">
      <c r="A4" s="2" t="s">
        <v>0</v>
      </c>
      <c r="D4" s="3">
        <v>38044</v>
      </c>
      <c r="E4" s="3"/>
    </row>
    <row r="5" spans="1:8" ht="15.75">
      <c r="A5" s="2" t="s">
        <v>17</v>
      </c>
      <c r="D5" s="4">
        <v>0.0412063</v>
      </c>
      <c r="E5" s="3"/>
      <c r="H5" s="5"/>
    </row>
    <row r="6" ht="15.75">
      <c r="H6" s="5"/>
    </row>
    <row r="7" spans="1:8" ht="15.75">
      <c r="A7" s="2" t="s">
        <v>1</v>
      </c>
      <c r="H7" s="5"/>
    </row>
    <row r="8" spans="1:8" s="47" customFormat="1" ht="31.5">
      <c r="A8" s="41" t="s">
        <v>2</v>
      </c>
      <c r="B8" s="42"/>
      <c r="C8" s="43" t="s">
        <v>31</v>
      </c>
      <c r="D8" s="44" t="s">
        <v>3</v>
      </c>
      <c r="E8" s="44" t="s">
        <v>32</v>
      </c>
      <c r="F8" s="44" t="s">
        <v>18</v>
      </c>
      <c r="G8" s="45" t="s">
        <v>4</v>
      </c>
      <c r="H8" s="46"/>
    </row>
    <row r="9" spans="1:8" ht="15.75">
      <c r="A9" s="6" t="s">
        <v>34</v>
      </c>
      <c r="B9" s="7"/>
      <c r="C9" s="8">
        <v>31</v>
      </c>
      <c r="D9" s="9">
        <v>134860306.8</v>
      </c>
      <c r="E9" s="9">
        <v>4565950.8</v>
      </c>
      <c r="F9" s="9">
        <v>457718.4</v>
      </c>
      <c r="G9" s="10">
        <f>+D9/276000000</f>
        <v>0.48862430000000007</v>
      </c>
      <c r="H9" s="5"/>
    </row>
    <row r="10" spans="1:8" ht="15.75">
      <c r="A10" s="11" t="s">
        <v>5</v>
      </c>
      <c r="B10" s="12"/>
      <c r="C10" s="13">
        <v>85</v>
      </c>
      <c r="D10" s="14">
        <v>24000000</v>
      </c>
      <c r="E10" s="15">
        <v>0</v>
      </c>
      <c r="F10" s="15">
        <v>88704</v>
      </c>
      <c r="G10" s="16">
        <f>+D10/24000000</f>
        <v>1</v>
      </c>
      <c r="H10" s="5"/>
    </row>
    <row r="11" spans="1:8" ht="15.75">
      <c r="A11" s="17"/>
      <c r="B11" s="18"/>
      <c r="C11" s="18"/>
      <c r="D11" s="15">
        <f>SUM(D9:D10)</f>
        <v>158860306.8</v>
      </c>
      <c r="E11" s="15">
        <f>SUM(E9:E10)</f>
        <v>4565950.8</v>
      </c>
      <c r="F11" s="15">
        <f>SUM(F9:F10)</f>
        <v>546422.4</v>
      </c>
      <c r="G11" s="19"/>
      <c r="H11" s="5"/>
    </row>
    <row r="12" ht="15.75">
      <c r="H12" s="5"/>
    </row>
    <row r="13" spans="1:6" ht="15.75">
      <c r="A13" s="2" t="s">
        <v>35</v>
      </c>
      <c r="F13" s="20">
        <v>45000000</v>
      </c>
    </row>
    <row r="14" spans="1:6" ht="15.75">
      <c r="A14" s="2" t="s">
        <v>6</v>
      </c>
      <c r="F14" s="20">
        <v>0</v>
      </c>
    </row>
    <row r="15" ht="15.75">
      <c r="F15" s="20"/>
    </row>
    <row r="16" spans="1:6" ht="15.75">
      <c r="A16" s="2" t="s">
        <v>7</v>
      </c>
      <c r="F16" s="20">
        <v>6000000</v>
      </c>
    </row>
    <row r="17" spans="1:6" ht="15.75">
      <c r="A17" s="2" t="s">
        <v>52</v>
      </c>
      <c r="F17" s="20">
        <v>0</v>
      </c>
    </row>
    <row r="18" spans="1:6" ht="15.75">
      <c r="A18" s="2" t="s">
        <v>36</v>
      </c>
      <c r="F18" s="20">
        <v>6000000</v>
      </c>
    </row>
    <row r="19" ht="15.75">
      <c r="F19" s="20"/>
    </row>
    <row r="20" spans="1:6" ht="15.75">
      <c r="A20" s="2" t="s">
        <v>37</v>
      </c>
      <c r="F20" s="20">
        <v>500000</v>
      </c>
    </row>
    <row r="21" spans="1:6" ht="15.75">
      <c r="A21" s="2" t="s">
        <v>38</v>
      </c>
      <c r="F21" s="20">
        <v>0</v>
      </c>
    </row>
    <row r="22" spans="1:6" ht="15.75">
      <c r="A22" s="2" t="s">
        <v>39</v>
      </c>
      <c r="F22" s="20">
        <v>500000</v>
      </c>
    </row>
    <row r="23" ht="15.75">
      <c r="F23" s="20"/>
    </row>
    <row r="24" spans="1:6" ht="15.75">
      <c r="A24" s="2" t="s">
        <v>8</v>
      </c>
      <c r="F24" s="20">
        <v>0</v>
      </c>
    </row>
    <row r="25" spans="1:6" ht="15.75">
      <c r="A25" s="2" t="s">
        <v>19</v>
      </c>
      <c r="F25" s="20">
        <v>0</v>
      </c>
    </row>
    <row r="26" ht="15.75">
      <c r="F26" s="20"/>
    </row>
    <row r="27" spans="1:6" ht="15.75">
      <c r="A27" s="2" t="s">
        <v>40</v>
      </c>
      <c r="F27" s="20">
        <v>175388</v>
      </c>
    </row>
    <row r="28" spans="1:6" ht="15.75">
      <c r="A28" s="2" t="s">
        <v>53</v>
      </c>
      <c r="F28" s="20">
        <v>0</v>
      </c>
    </row>
    <row r="29" spans="1:6" ht="15.75">
      <c r="A29" s="2" t="s">
        <v>20</v>
      </c>
      <c r="F29" s="20">
        <f>D46</f>
        <v>155902552</v>
      </c>
    </row>
    <row r="30" ht="15.75">
      <c r="F30" s="20"/>
    </row>
    <row r="31" spans="5:6" ht="15.75">
      <c r="E31" s="21" t="s">
        <v>21</v>
      </c>
      <c r="F31" s="22" t="s">
        <v>22</v>
      </c>
    </row>
    <row r="32" spans="1:6" ht="15.75">
      <c r="A32" s="2" t="s">
        <v>41</v>
      </c>
      <c r="E32" s="21">
        <f>46</f>
        <v>46</v>
      </c>
      <c r="F32" s="22">
        <f>811190+65000+35000+59900+25000+30000+3000+2645813+20000+10000</f>
        <v>3704903</v>
      </c>
    </row>
    <row r="33" spans="1:6" ht="15.75">
      <c r="A33" s="2" t="s">
        <v>9</v>
      </c>
      <c r="E33" s="21">
        <v>0</v>
      </c>
      <c r="F33" s="22">
        <v>0</v>
      </c>
    </row>
    <row r="34" spans="1:6" ht="15.75">
      <c r="A34" s="2" t="s">
        <v>42</v>
      </c>
      <c r="E34" s="21">
        <f>861+44+88+59+95+77+116+82+134+73+113+31+115+83+98+36+42+29+106+54+81+113</f>
        <v>2530</v>
      </c>
      <c r="F34" s="22">
        <f>68606382+5894897.05+5544682.87+5709643+7641954+6749512.84+9802062+8604525+8201934.38+6644331.5+7905047+5727719.86+7143832.27+5703968.66+8164011+3279857.62+3708819+2645813+7667212+4699330.91+7405272.82+7315682.26</f>
        <v>204766491.04</v>
      </c>
    </row>
    <row r="35" spans="5:6" ht="15.75">
      <c r="E35" s="21"/>
      <c r="F35" s="22"/>
    </row>
    <row r="36" spans="1:6" ht="15.75">
      <c r="A36" s="2" t="s">
        <v>50</v>
      </c>
      <c r="E36" s="23"/>
      <c r="F36" s="24">
        <v>0.3349</v>
      </c>
    </row>
    <row r="37" spans="5:6" ht="15.75">
      <c r="E37" s="23"/>
      <c r="F37" s="20"/>
    </row>
    <row r="38" spans="1:6" ht="15.75">
      <c r="A38" s="2" t="s">
        <v>43</v>
      </c>
      <c r="F38" s="20"/>
    </row>
    <row r="39" spans="1:6" s="47" customFormat="1" ht="47.25">
      <c r="A39" s="41" t="s">
        <v>10</v>
      </c>
      <c r="B39" s="48"/>
      <c r="C39" s="42"/>
      <c r="D39" s="49" t="s">
        <v>11</v>
      </c>
      <c r="E39" s="50" t="s">
        <v>12</v>
      </c>
      <c r="F39" s="51"/>
    </row>
    <row r="40" spans="1:6" ht="15.75">
      <c r="A40" s="6" t="s">
        <v>13</v>
      </c>
      <c r="B40" s="25"/>
      <c r="C40" s="7"/>
      <c r="D40" s="26">
        <f>153132844-155664</f>
        <v>152977180</v>
      </c>
      <c r="E40" s="27">
        <v>2665</v>
      </c>
      <c r="F40" s="28"/>
    </row>
    <row r="41" spans="1:6" ht="15.75">
      <c r="A41" s="29" t="s">
        <v>44</v>
      </c>
      <c r="B41" s="5"/>
      <c r="C41" s="12"/>
      <c r="D41" s="30">
        <v>1659582</v>
      </c>
      <c r="E41" s="31">
        <v>17</v>
      </c>
      <c r="F41" s="28"/>
    </row>
    <row r="42" spans="1:6" ht="15.75">
      <c r="A42" s="29" t="s">
        <v>45</v>
      </c>
      <c r="B42" s="5"/>
      <c r="C42" s="12"/>
      <c r="D42" s="30">
        <v>480372</v>
      </c>
      <c r="E42" s="31">
        <v>4</v>
      </c>
      <c r="F42" s="28" t="s">
        <v>51</v>
      </c>
    </row>
    <row r="43" spans="1:6" ht="15.75">
      <c r="A43" s="11" t="s">
        <v>46</v>
      </c>
      <c r="B43" s="5"/>
      <c r="C43" s="12"/>
      <c r="D43" s="30">
        <f>657511+127907</f>
        <v>785418</v>
      </c>
      <c r="E43" s="31">
        <f>7+1</f>
        <v>8</v>
      </c>
      <c r="F43" s="28"/>
    </row>
    <row r="44" spans="1:6" ht="15.75">
      <c r="A44" s="11" t="s">
        <v>30</v>
      </c>
      <c r="B44" s="5"/>
      <c r="C44" s="12"/>
      <c r="D44" s="30">
        <v>0</v>
      </c>
      <c r="E44" s="31">
        <v>0</v>
      </c>
      <c r="F44" s="28"/>
    </row>
    <row r="45" spans="1:6" ht="15.75">
      <c r="A45" s="11" t="s">
        <v>47</v>
      </c>
      <c r="B45" s="5"/>
      <c r="C45" s="12"/>
      <c r="D45" s="32">
        <v>0</v>
      </c>
      <c r="E45" s="33">
        <v>0</v>
      </c>
      <c r="F45" s="28"/>
    </row>
    <row r="46" spans="1:6" ht="15.75">
      <c r="A46" s="17"/>
      <c r="B46" s="34"/>
      <c r="C46" s="18"/>
      <c r="D46" s="35">
        <f>SUM(D40:D45)</f>
        <v>155902552</v>
      </c>
      <c r="E46" s="33">
        <f>SUM(E40:E45)</f>
        <v>2694</v>
      </c>
      <c r="F46" s="28"/>
    </row>
    <row r="47" ht="15.75">
      <c r="F47" s="20"/>
    </row>
    <row r="48" spans="1:6" ht="15.75">
      <c r="A48" s="36" t="s">
        <v>48</v>
      </c>
      <c r="E48" s="21" t="s">
        <v>29</v>
      </c>
      <c r="F48" s="21" t="s">
        <v>22</v>
      </c>
    </row>
    <row r="49" spans="5:6" ht="15.75">
      <c r="E49" s="21"/>
      <c r="F49" s="22"/>
    </row>
    <row r="50" spans="1:6" ht="15.75">
      <c r="A50" s="37" t="s">
        <v>23</v>
      </c>
      <c r="E50" s="21">
        <v>0</v>
      </c>
      <c r="F50" s="22">
        <v>0</v>
      </c>
    </row>
    <row r="51" spans="1:6" ht="15.75">
      <c r="A51" s="36" t="s">
        <v>24</v>
      </c>
      <c r="E51" s="21">
        <v>0</v>
      </c>
      <c r="F51" s="22">
        <v>0</v>
      </c>
    </row>
    <row r="52" spans="1:6" ht="15.75">
      <c r="A52" s="2" t="s">
        <v>14</v>
      </c>
      <c r="E52" s="21">
        <v>0</v>
      </c>
      <c r="F52" s="22">
        <v>0</v>
      </c>
    </row>
    <row r="53" spans="1:6" ht="15.75">
      <c r="A53" s="36" t="s">
        <v>25</v>
      </c>
      <c r="E53" s="21"/>
      <c r="F53" s="22">
        <f>F50-F54-F51-F52</f>
        <v>0</v>
      </c>
    </row>
    <row r="54" spans="1:6" ht="15.75">
      <c r="A54" s="2" t="s">
        <v>26</v>
      </c>
      <c r="E54" s="21"/>
      <c r="F54" s="38">
        <v>0</v>
      </c>
    </row>
    <row r="55" spans="5:6" ht="15.75">
      <c r="E55" s="21"/>
      <c r="F55" s="22"/>
    </row>
    <row r="56" spans="1:6" ht="15.75">
      <c r="A56" s="2" t="s">
        <v>27</v>
      </c>
      <c r="E56" s="21"/>
      <c r="F56" s="39">
        <v>0</v>
      </c>
    </row>
    <row r="57" spans="1:6" ht="15.75">
      <c r="A57" s="2" t="s">
        <v>15</v>
      </c>
      <c r="E57" s="21"/>
      <c r="F57" s="22">
        <v>0</v>
      </c>
    </row>
    <row r="58" spans="5:6" ht="15.75">
      <c r="E58" s="21"/>
      <c r="F58" s="22"/>
    </row>
    <row r="59" spans="1:6" ht="15.75">
      <c r="A59" s="2" t="s">
        <v>28</v>
      </c>
      <c r="E59" s="21"/>
      <c r="F59" s="39">
        <v>0</v>
      </c>
    </row>
    <row r="60" spans="1:6" ht="15.75">
      <c r="A60" s="2" t="s">
        <v>49</v>
      </c>
      <c r="E60" s="21"/>
      <c r="F60" s="40">
        <v>0</v>
      </c>
    </row>
    <row r="61" spans="5:6" ht="15.75">
      <c r="E61" s="21"/>
      <c r="F61" s="22"/>
    </row>
    <row r="62" ht="15.75">
      <c r="F62" s="20"/>
    </row>
    <row r="63" ht="15.75">
      <c r="F63" s="20"/>
    </row>
    <row r="64" ht="15.75">
      <c r="F64" s="20"/>
    </row>
    <row r="65" spans="1:6" ht="15.75">
      <c r="A65" s="25" t="s">
        <v>16</v>
      </c>
      <c r="B65" s="25"/>
      <c r="C65" s="25"/>
      <c r="F65" s="20"/>
    </row>
    <row r="66" ht="15.75">
      <c r="A66" s="2" t="s">
        <v>54</v>
      </c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6"/>
  <sheetViews>
    <sheetView workbookViewId="0" topLeftCell="A1">
      <selection activeCell="A1" sqref="A1"/>
    </sheetView>
  </sheetViews>
  <sheetFormatPr defaultColWidth="9.00390625" defaultRowHeight="15.75"/>
  <cols>
    <col min="1" max="1" width="9.00390625" style="2" customWidth="1"/>
    <col min="2" max="2" width="7.375" style="2" customWidth="1"/>
    <col min="3" max="3" width="11.875" style="2" customWidth="1"/>
    <col min="4" max="5" width="15.625" style="2" customWidth="1"/>
    <col min="6" max="6" width="12.375" style="2" customWidth="1"/>
    <col min="7" max="7" width="11.75390625" style="2" customWidth="1"/>
    <col min="8" max="16384" width="9.00390625" style="2" customWidth="1"/>
  </cols>
  <sheetData>
    <row r="1" spans="1:3" ht="18.75">
      <c r="A1" s="1"/>
      <c r="C1" s="1" t="s">
        <v>33</v>
      </c>
    </row>
    <row r="2" ht="15.75"/>
    <row r="4" spans="1:5" ht="15.75">
      <c r="A4" s="2" t="s">
        <v>0</v>
      </c>
      <c r="D4" s="3">
        <v>38077</v>
      </c>
      <c r="E4" s="3"/>
    </row>
    <row r="5" spans="1:8" ht="15.75">
      <c r="A5" s="2" t="s">
        <v>17</v>
      </c>
      <c r="D5" s="4">
        <v>0.0418875</v>
      </c>
      <c r="E5" s="3"/>
      <c r="H5" s="5"/>
    </row>
    <row r="6" ht="15.75">
      <c r="H6" s="5"/>
    </row>
    <row r="7" spans="1:8" ht="15.75">
      <c r="A7" s="2" t="s">
        <v>1</v>
      </c>
      <c r="H7" s="5"/>
    </row>
    <row r="8" spans="1:8" s="47" customFormat="1" ht="31.5">
      <c r="A8" s="41" t="s">
        <v>2</v>
      </c>
      <c r="B8" s="42"/>
      <c r="C8" s="43" t="s">
        <v>31</v>
      </c>
      <c r="D8" s="44" t="s">
        <v>3</v>
      </c>
      <c r="E8" s="44" t="s">
        <v>32</v>
      </c>
      <c r="F8" s="44" t="s">
        <v>18</v>
      </c>
      <c r="G8" s="45" t="s">
        <v>4</v>
      </c>
      <c r="H8" s="46"/>
    </row>
    <row r="9" spans="1:8" ht="15.75">
      <c r="A9" s="6" t="s">
        <v>34</v>
      </c>
      <c r="B9" s="7"/>
      <c r="C9" s="8">
        <v>31</v>
      </c>
      <c r="D9" s="9">
        <v>129574548</v>
      </c>
      <c r="E9" s="9">
        <v>5285759</v>
      </c>
      <c r="F9" s="9">
        <v>538752</v>
      </c>
      <c r="G9" s="10">
        <f>+D9/276000000</f>
        <v>0.469473</v>
      </c>
      <c r="H9" s="5"/>
    </row>
    <row r="10" spans="1:8" ht="15.75">
      <c r="A10" s="11" t="s">
        <v>5</v>
      </c>
      <c r="B10" s="12"/>
      <c r="C10" s="13">
        <v>85</v>
      </c>
      <c r="D10" s="14">
        <v>24000000</v>
      </c>
      <c r="E10" s="15">
        <v>0</v>
      </c>
      <c r="F10" s="15">
        <v>107560.8</v>
      </c>
      <c r="G10" s="16">
        <f>+D10/24000000</f>
        <v>1</v>
      </c>
      <c r="H10" s="5"/>
    </row>
    <row r="11" spans="1:8" ht="15.75">
      <c r="A11" s="17"/>
      <c r="B11" s="18"/>
      <c r="C11" s="18"/>
      <c r="D11" s="15">
        <f>SUM(D9:D10)</f>
        <v>153574548</v>
      </c>
      <c r="E11" s="15">
        <f>SUM(E9:E10)</f>
        <v>5285759</v>
      </c>
      <c r="F11" s="15">
        <f>SUM(F9:F10)</f>
        <v>646312.8</v>
      </c>
      <c r="G11" s="19"/>
      <c r="H11" s="5"/>
    </row>
    <row r="12" ht="15.75">
      <c r="H12" s="5"/>
    </row>
    <row r="13" spans="1:6" ht="15.75">
      <c r="A13" s="2" t="s">
        <v>35</v>
      </c>
      <c r="F13" s="20">
        <v>45000000</v>
      </c>
    </row>
    <row r="14" spans="1:6" ht="15.75">
      <c r="A14" s="2" t="s">
        <v>6</v>
      </c>
      <c r="F14" s="20">
        <v>0</v>
      </c>
    </row>
    <row r="15" ht="15.75">
      <c r="F15" s="20"/>
    </row>
    <row r="16" spans="1:6" ht="15.75">
      <c r="A16" s="2" t="s">
        <v>7</v>
      </c>
      <c r="F16" s="20">
        <v>6000000</v>
      </c>
    </row>
    <row r="17" spans="1:6" ht="15.75">
      <c r="A17" s="2" t="s">
        <v>52</v>
      </c>
      <c r="F17" s="20">
        <v>0</v>
      </c>
    </row>
    <row r="18" spans="1:6" ht="15.75">
      <c r="A18" s="2" t="s">
        <v>36</v>
      </c>
      <c r="F18" s="20">
        <v>6000000</v>
      </c>
    </row>
    <row r="19" ht="15.75">
      <c r="F19" s="20"/>
    </row>
    <row r="20" spans="1:6" ht="15.75">
      <c r="A20" s="2" t="s">
        <v>37</v>
      </c>
      <c r="F20" s="20">
        <v>500000</v>
      </c>
    </row>
    <row r="21" spans="1:6" ht="15.75">
      <c r="A21" s="2" t="s">
        <v>38</v>
      </c>
      <c r="F21" s="20">
        <v>0</v>
      </c>
    </row>
    <row r="22" spans="1:6" ht="15.75">
      <c r="A22" s="2" t="s">
        <v>39</v>
      </c>
      <c r="F22" s="20">
        <v>500000</v>
      </c>
    </row>
    <row r="23" ht="15.75">
      <c r="F23" s="20"/>
    </row>
    <row r="24" spans="1:6" ht="15.75">
      <c r="A24" s="2" t="s">
        <v>8</v>
      </c>
      <c r="F24" s="20">
        <v>0</v>
      </c>
    </row>
    <row r="25" spans="1:6" ht="15.75">
      <c r="A25" s="2" t="s">
        <v>19</v>
      </c>
      <c r="F25" s="20">
        <v>0</v>
      </c>
    </row>
    <row r="26" ht="15.75">
      <c r="F26" s="20"/>
    </row>
    <row r="27" spans="1:6" ht="15.75">
      <c r="A27" s="2" t="s">
        <v>40</v>
      </c>
      <c r="F27" s="20">
        <v>122997</v>
      </c>
    </row>
    <row r="28" spans="1:6" ht="15.75">
      <c r="A28" s="2" t="s">
        <v>53</v>
      </c>
      <c r="F28" s="20">
        <v>0</v>
      </c>
    </row>
    <row r="29" spans="1:6" ht="15.75">
      <c r="A29" s="2" t="s">
        <v>20</v>
      </c>
      <c r="F29" s="20">
        <f>D46</f>
        <v>149418593</v>
      </c>
    </row>
    <row r="30" ht="15.75">
      <c r="F30" s="20"/>
    </row>
    <row r="31" spans="5:6" ht="15.75">
      <c r="E31" s="21" t="s">
        <v>21</v>
      </c>
      <c r="F31" s="22" t="s">
        <v>22</v>
      </c>
    </row>
    <row r="32" spans="1:6" ht="15.75">
      <c r="A32" s="2" t="s">
        <v>41</v>
      </c>
      <c r="E32" s="21">
        <f>46</f>
        <v>46</v>
      </c>
      <c r="F32" s="22">
        <f>811190+65000+35000+59900+25000+30000+3000+2645813+20000+10000</f>
        <v>3704903</v>
      </c>
    </row>
    <row r="33" spans="1:6" ht="15.75">
      <c r="A33" s="2" t="s">
        <v>9</v>
      </c>
      <c r="E33" s="21">
        <v>0</v>
      </c>
      <c r="F33" s="22">
        <v>0</v>
      </c>
    </row>
    <row r="34" spans="1:6" ht="15.75">
      <c r="A34" s="2" t="s">
        <v>42</v>
      </c>
      <c r="E34" s="21">
        <f>861+44+88+59+95+77+116+82+134+73+113+31+115+83+98+36+42+29+106+54+81+113</f>
        <v>2530</v>
      </c>
      <c r="F34" s="22">
        <f>68606382+5894897.05+5544682.87+5709643+7641954+6749512.84+9802062+8604525+8201934.38+6644331.5+7905047+5727719.86+7143832.27+5703968.66+8164011+3279857.62+3708819+2645813+7667212+4699330.91+7405272.82+7315682.26</f>
        <v>204766491.04</v>
      </c>
    </row>
    <row r="35" spans="5:6" ht="15.75">
      <c r="E35" s="21"/>
      <c r="F35" s="22"/>
    </row>
    <row r="36" spans="1:6" ht="15.75">
      <c r="A36" s="2" t="s">
        <v>50</v>
      </c>
      <c r="E36" s="23"/>
      <c r="F36" s="24">
        <v>0.4179</v>
      </c>
    </row>
    <row r="37" spans="5:6" ht="15.75">
      <c r="E37" s="23"/>
      <c r="F37" s="20"/>
    </row>
    <row r="38" spans="1:6" ht="15.75">
      <c r="A38" s="2" t="s">
        <v>43</v>
      </c>
      <c r="F38" s="20"/>
    </row>
    <row r="39" spans="1:6" s="47" customFormat="1" ht="47.25">
      <c r="A39" s="41" t="s">
        <v>10</v>
      </c>
      <c r="B39" s="48"/>
      <c r="C39" s="42"/>
      <c r="D39" s="49" t="s">
        <v>11</v>
      </c>
      <c r="E39" s="50" t="s">
        <v>12</v>
      </c>
      <c r="F39" s="51"/>
    </row>
    <row r="40" spans="1:6" ht="15.75">
      <c r="A40" s="6" t="s">
        <v>13</v>
      </c>
      <c r="B40" s="25"/>
      <c r="C40" s="7"/>
      <c r="D40" s="26">
        <v>146792580</v>
      </c>
      <c r="E40" s="27">
        <v>2596</v>
      </c>
      <c r="F40" s="28"/>
    </row>
    <row r="41" spans="1:6" ht="15.75">
      <c r="A41" s="29" t="s">
        <v>44</v>
      </c>
      <c r="B41" s="5"/>
      <c r="C41" s="12"/>
      <c r="D41" s="30">
        <v>1542762</v>
      </c>
      <c r="E41" s="31">
        <v>14</v>
      </c>
      <c r="F41" s="28"/>
    </row>
    <row r="42" spans="1:6" ht="15.75">
      <c r="A42" s="29" t="s">
        <v>45</v>
      </c>
      <c r="B42" s="5"/>
      <c r="C42" s="12"/>
      <c r="D42" s="30">
        <v>235695</v>
      </c>
      <c r="E42" s="31">
        <v>4</v>
      </c>
      <c r="F42" s="28" t="s">
        <v>51</v>
      </c>
    </row>
    <row r="43" spans="1:6" ht="15.75">
      <c r="A43" s="11" t="s">
        <v>46</v>
      </c>
      <c r="B43" s="5"/>
      <c r="C43" s="12"/>
      <c r="D43" s="30">
        <f>795772+51784</f>
        <v>847556</v>
      </c>
      <c r="E43" s="31">
        <f>11+1</f>
        <v>12</v>
      </c>
      <c r="F43" s="28"/>
    </row>
    <row r="44" spans="1:6" ht="15.75">
      <c r="A44" s="11" t="s">
        <v>30</v>
      </c>
      <c r="B44" s="5"/>
      <c r="C44" s="12"/>
      <c r="D44" s="30">
        <v>0</v>
      </c>
      <c r="E44" s="31">
        <v>0</v>
      </c>
      <c r="F44" s="28"/>
    </row>
    <row r="45" spans="1:6" ht="15.75">
      <c r="A45" s="11" t="s">
        <v>47</v>
      </c>
      <c r="B45" s="5"/>
      <c r="C45" s="12"/>
      <c r="D45" s="32">
        <v>0</v>
      </c>
      <c r="E45" s="33">
        <v>0</v>
      </c>
      <c r="F45" s="28"/>
    </row>
    <row r="46" spans="1:6" ht="15.75">
      <c r="A46" s="17"/>
      <c r="B46" s="34"/>
      <c r="C46" s="18"/>
      <c r="D46" s="35">
        <f>SUM(D40:D45)</f>
        <v>149418593</v>
      </c>
      <c r="E46" s="33">
        <f>SUM(E40:E45)</f>
        <v>2626</v>
      </c>
      <c r="F46" s="28"/>
    </row>
    <row r="47" ht="15.75">
      <c r="F47" s="20"/>
    </row>
    <row r="48" spans="1:6" ht="15.75">
      <c r="A48" s="36" t="s">
        <v>48</v>
      </c>
      <c r="E48" s="21" t="s">
        <v>29</v>
      </c>
      <c r="F48" s="21" t="s">
        <v>22</v>
      </c>
    </row>
    <row r="49" spans="5:6" ht="15.75">
      <c r="E49" s="21"/>
      <c r="F49" s="22"/>
    </row>
    <row r="50" spans="1:6" ht="15.75">
      <c r="A50" s="37" t="s">
        <v>23</v>
      </c>
      <c r="E50" s="21">
        <v>0</v>
      </c>
      <c r="F50" s="22">
        <v>0</v>
      </c>
    </row>
    <row r="51" spans="1:6" ht="15.75">
      <c r="A51" s="36" t="s">
        <v>24</v>
      </c>
      <c r="E51" s="21">
        <v>0</v>
      </c>
      <c r="F51" s="22">
        <v>0</v>
      </c>
    </row>
    <row r="52" spans="1:6" ht="15.75">
      <c r="A52" s="2" t="s">
        <v>14</v>
      </c>
      <c r="E52" s="21">
        <v>0</v>
      </c>
      <c r="F52" s="22">
        <v>0</v>
      </c>
    </row>
    <row r="53" spans="1:6" ht="15.75">
      <c r="A53" s="36" t="s">
        <v>25</v>
      </c>
      <c r="E53" s="21"/>
      <c r="F53" s="22">
        <f>F50-F54-F51-F52</f>
        <v>0</v>
      </c>
    </row>
    <row r="54" spans="1:6" ht="15.75">
      <c r="A54" s="2" t="s">
        <v>26</v>
      </c>
      <c r="E54" s="21"/>
      <c r="F54" s="38">
        <v>0</v>
      </c>
    </row>
    <row r="55" spans="5:6" ht="15.75">
      <c r="E55" s="21"/>
      <c r="F55" s="22"/>
    </row>
    <row r="56" spans="1:6" ht="15.75">
      <c r="A56" s="2" t="s">
        <v>27</v>
      </c>
      <c r="E56" s="21"/>
      <c r="F56" s="39">
        <v>0</v>
      </c>
    </row>
    <row r="57" spans="1:6" ht="15.75">
      <c r="A57" s="2" t="s">
        <v>15</v>
      </c>
      <c r="E57" s="21"/>
      <c r="F57" s="22">
        <v>0</v>
      </c>
    </row>
    <row r="58" spans="5:6" ht="15.75">
      <c r="E58" s="21"/>
      <c r="F58" s="22"/>
    </row>
    <row r="59" spans="1:6" ht="15.75">
      <c r="A59" s="2" t="s">
        <v>28</v>
      </c>
      <c r="E59" s="21"/>
      <c r="F59" s="39">
        <v>0</v>
      </c>
    </row>
    <row r="60" spans="1:6" ht="15.75">
      <c r="A60" s="2" t="s">
        <v>49</v>
      </c>
      <c r="E60" s="21"/>
      <c r="F60" s="40">
        <v>0</v>
      </c>
    </row>
    <row r="61" spans="5:6" ht="15.75">
      <c r="E61" s="21"/>
      <c r="F61" s="22"/>
    </row>
    <row r="62" ht="15.75">
      <c r="F62" s="20"/>
    </row>
    <row r="63" ht="15.75">
      <c r="F63" s="20"/>
    </row>
    <row r="64" ht="15.75">
      <c r="F64" s="20"/>
    </row>
    <row r="65" spans="1:6" ht="15.75">
      <c r="A65" s="25" t="s">
        <v>16</v>
      </c>
      <c r="B65" s="25"/>
      <c r="C65" s="25"/>
      <c r="F65" s="20"/>
    </row>
    <row r="66" ht="15.75">
      <c r="A66" s="2" t="s">
        <v>54</v>
      </c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6"/>
  <sheetViews>
    <sheetView workbookViewId="0" topLeftCell="A1">
      <selection activeCell="A1" sqref="A1"/>
    </sheetView>
  </sheetViews>
  <sheetFormatPr defaultColWidth="9.00390625" defaultRowHeight="15.75"/>
  <cols>
    <col min="1" max="1" width="9.00390625" style="2" customWidth="1"/>
    <col min="2" max="2" width="7.375" style="2" customWidth="1"/>
    <col min="3" max="3" width="11.875" style="2" customWidth="1"/>
    <col min="4" max="5" width="15.625" style="2" customWidth="1"/>
    <col min="6" max="6" width="12.375" style="2" customWidth="1"/>
    <col min="7" max="7" width="11.75390625" style="2" customWidth="1"/>
    <col min="8" max="16384" width="9.00390625" style="2" customWidth="1"/>
  </cols>
  <sheetData>
    <row r="1" spans="1:3" ht="18.75">
      <c r="A1" s="1"/>
      <c r="C1" s="1" t="s">
        <v>33</v>
      </c>
    </row>
    <row r="2" ht="15.75"/>
    <row r="4" spans="1:5" ht="15.75">
      <c r="A4" s="2" t="s">
        <v>0</v>
      </c>
      <c r="D4" s="3">
        <v>38107</v>
      </c>
      <c r="E4" s="3"/>
    </row>
    <row r="5" spans="1:8" ht="15.75">
      <c r="A5" s="2" t="s">
        <v>17</v>
      </c>
      <c r="D5" s="4">
        <v>0.042725</v>
      </c>
      <c r="E5" s="3"/>
      <c r="H5" s="5"/>
    </row>
    <row r="6" ht="15.75">
      <c r="H6" s="5"/>
    </row>
    <row r="7" spans="1:8" ht="15.75">
      <c r="A7" s="2" t="s">
        <v>1</v>
      </c>
      <c r="H7" s="5"/>
    </row>
    <row r="8" spans="1:8" s="47" customFormat="1" ht="31.5">
      <c r="A8" s="41" t="s">
        <v>2</v>
      </c>
      <c r="B8" s="42"/>
      <c r="C8" s="43" t="s">
        <v>31</v>
      </c>
      <c r="D8" s="44" t="s">
        <v>3</v>
      </c>
      <c r="E8" s="44" t="s">
        <v>32</v>
      </c>
      <c r="F8" s="44" t="s">
        <v>18</v>
      </c>
      <c r="G8" s="45" t="s">
        <v>4</v>
      </c>
      <c r="H8" s="46"/>
    </row>
    <row r="9" spans="1:8" ht="15.75">
      <c r="A9" s="6" t="s">
        <v>34</v>
      </c>
      <c r="B9" s="7"/>
      <c r="C9" s="8">
        <v>31</v>
      </c>
      <c r="D9" s="9">
        <v>124142592</v>
      </c>
      <c r="E9" s="9">
        <v>5431956</v>
      </c>
      <c r="F9" s="9">
        <v>477811.2</v>
      </c>
      <c r="G9" s="10">
        <f>+D9/276000000</f>
        <v>0.449792</v>
      </c>
      <c r="H9" s="5"/>
    </row>
    <row r="10" spans="1:8" ht="15.75">
      <c r="A10" s="11" t="s">
        <v>5</v>
      </c>
      <c r="B10" s="12"/>
      <c r="C10" s="13">
        <v>85</v>
      </c>
      <c r="D10" s="14">
        <v>24000000</v>
      </c>
      <c r="E10" s="15">
        <v>0</v>
      </c>
      <c r="F10" s="15">
        <v>99122.4</v>
      </c>
      <c r="G10" s="16">
        <f>+D10/24000000</f>
        <v>1</v>
      </c>
      <c r="H10" s="5"/>
    </row>
    <row r="11" spans="1:8" ht="15.75">
      <c r="A11" s="17"/>
      <c r="B11" s="18"/>
      <c r="C11" s="18"/>
      <c r="D11" s="15">
        <f>SUM(D9:D10)</f>
        <v>148142592</v>
      </c>
      <c r="E11" s="15">
        <f>SUM(E9:E10)</f>
        <v>5431956</v>
      </c>
      <c r="F11" s="15">
        <f>SUM(F9:F10)</f>
        <v>576933.6</v>
      </c>
      <c r="G11" s="19"/>
      <c r="H11" s="5"/>
    </row>
    <row r="12" ht="15.75">
      <c r="H12" s="5"/>
    </row>
    <row r="13" spans="1:6" ht="15.75">
      <c r="A13" s="2" t="s">
        <v>35</v>
      </c>
      <c r="F13" s="20">
        <v>45000000</v>
      </c>
    </row>
    <row r="14" spans="1:6" ht="15.75">
      <c r="A14" s="2" t="s">
        <v>6</v>
      </c>
      <c r="F14" s="20">
        <v>0</v>
      </c>
    </row>
    <row r="15" ht="15.75">
      <c r="F15" s="20"/>
    </row>
    <row r="16" spans="1:6" ht="15.75">
      <c r="A16" s="2" t="s">
        <v>7</v>
      </c>
      <c r="F16" s="20">
        <v>6000000</v>
      </c>
    </row>
    <row r="17" spans="1:6" ht="15.75">
      <c r="A17" s="2" t="s">
        <v>52</v>
      </c>
      <c r="F17" s="20">
        <v>0</v>
      </c>
    </row>
    <row r="18" spans="1:6" ht="15.75">
      <c r="A18" s="2" t="s">
        <v>36</v>
      </c>
      <c r="F18" s="20">
        <v>6000000</v>
      </c>
    </row>
    <row r="19" ht="15.75">
      <c r="F19" s="20"/>
    </row>
    <row r="20" spans="1:6" ht="15.75">
      <c r="A20" s="2" t="s">
        <v>37</v>
      </c>
      <c r="F20" s="20">
        <v>500000</v>
      </c>
    </row>
    <row r="21" spans="1:6" ht="15.75">
      <c r="A21" s="2" t="s">
        <v>38</v>
      </c>
      <c r="F21" s="20">
        <v>0</v>
      </c>
    </row>
    <row r="22" spans="1:6" ht="15.75">
      <c r="A22" s="2" t="s">
        <v>39</v>
      </c>
      <c r="F22" s="20">
        <v>500000</v>
      </c>
    </row>
    <row r="23" ht="15.75">
      <c r="F23" s="20"/>
    </row>
    <row r="24" spans="1:6" ht="15.75">
      <c r="A24" s="2" t="s">
        <v>8</v>
      </c>
      <c r="F24" s="20">
        <v>0</v>
      </c>
    </row>
    <row r="25" spans="1:6" ht="15.75">
      <c r="A25" s="2" t="s">
        <v>19</v>
      </c>
      <c r="F25" s="20">
        <v>0</v>
      </c>
    </row>
    <row r="26" ht="15.75">
      <c r="F26" s="20"/>
    </row>
    <row r="27" spans="1:6" ht="15.75">
      <c r="A27" s="2" t="s">
        <v>40</v>
      </c>
      <c r="F27" s="20">
        <v>127690</v>
      </c>
    </row>
    <row r="28" spans="1:6" ht="15.75">
      <c r="A28" s="2" t="s">
        <v>53</v>
      </c>
      <c r="F28" s="20">
        <v>0</v>
      </c>
    </row>
    <row r="29" spans="1:6" ht="15.75">
      <c r="A29" s="2" t="s">
        <v>20</v>
      </c>
      <c r="F29" s="20">
        <f>D46</f>
        <v>146376307</v>
      </c>
    </row>
    <row r="30" ht="15.75">
      <c r="F30" s="20"/>
    </row>
    <row r="31" spans="5:6" ht="15.75">
      <c r="E31" s="21" t="s">
        <v>21</v>
      </c>
      <c r="F31" s="22" t="s">
        <v>22</v>
      </c>
    </row>
    <row r="32" spans="1:6" ht="15.75">
      <c r="A32" s="2" t="s">
        <v>41</v>
      </c>
      <c r="E32" s="21">
        <f>46</f>
        <v>46</v>
      </c>
      <c r="F32" s="22">
        <f>811190+65000+35000+59900+25000+30000+3000+2645813+20000+10000</f>
        <v>3704903</v>
      </c>
    </row>
    <row r="33" spans="1:6" ht="15.75">
      <c r="A33" s="2" t="s">
        <v>9</v>
      </c>
      <c r="E33" s="21">
        <v>0</v>
      </c>
      <c r="F33" s="22">
        <v>0</v>
      </c>
    </row>
    <row r="34" spans="1:6" ht="15.75">
      <c r="A34" s="2" t="s">
        <v>42</v>
      </c>
      <c r="E34" s="21">
        <f>861+44+88+59+95+77+116+82+134+73+113+31+115+83+98+36+42+29+106+54+81+113</f>
        <v>2530</v>
      </c>
      <c r="F34" s="22">
        <f>68606382+5894897.05+5544682.87+5709643+7641954+6749512.84+9802062+8604525+8201934.38+6644331.5+7905047+5727719.86+7143832.27+5703968.66+8164011+3279857.62+3708819+2645813+7667212+4699330.91+7405272.82+7315682.26</f>
        <v>204766491.04</v>
      </c>
    </row>
    <row r="35" spans="5:6" ht="15.75">
      <c r="E35" s="21"/>
      <c r="F35" s="22"/>
    </row>
    <row r="36" spans="1:6" ht="15.75">
      <c r="A36" s="2" t="s">
        <v>50</v>
      </c>
      <c r="E36" s="23"/>
      <c r="F36" s="24">
        <v>0.4311</v>
      </c>
    </row>
    <row r="37" spans="5:6" ht="15.75">
      <c r="E37" s="23"/>
      <c r="F37" s="20"/>
    </row>
    <row r="38" spans="1:6" ht="15.75">
      <c r="A38" s="2" t="s">
        <v>43</v>
      </c>
      <c r="F38" s="20"/>
    </row>
    <row r="39" spans="1:6" s="47" customFormat="1" ht="47.25">
      <c r="A39" s="41" t="s">
        <v>10</v>
      </c>
      <c r="B39" s="48"/>
      <c r="C39" s="42"/>
      <c r="D39" s="49" t="s">
        <v>11</v>
      </c>
      <c r="E39" s="50" t="s">
        <v>12</v>
      </c>
      <c r="F39" s="51"/>
    </row>
    <row r="40" spans="1:6" ht="15.75">
      <c r="A40" s="6" t="s">
        <v>13</v>
      </c>
      <c r="B40" s="25"/>
      <c r="C40" s="7"/>
      <c r="D40" s="26">
        <v>143418998</v>
      </c>
      <c r="E40" s="27">
        <v>2542</v>
      </c>
      <c r="F40" s="28"/>
    </row>
    <row r="41" spans="1:6" ht="15.75">
      <c r="A41" s="29" t="s">
        <v>44</v>
      </c>
      <c r="B41" s="5"/>
      <c r="C41" s="12"/>
      <c r="D41" s="30">
        <v>1529287</v>
      </c>
      <c r="E41" s="31">
        <v>16</v>
      </c>
      <c r="F41" s="28"/>
    </row>
    <row r="42" spans="1:6" ht="15.75">
      <c r="A42" s="29" t="s">
        <v>45</v>
      </c>
      <c r="B42" s="5"/>
      <c r="C42" s="12"/>
      <c r="D42" s="30">
        <v>621341</v>
      </c>
      <c r="E42" s="31">
        <v>8</v>
      </c>
      <c r="F42" s="28" t="s">
        <v>51</v>
      </c>
    </row>
    <row r="43" spans="1:6" ht="15.75">
      <c r="A43" s="11" t="s">
        <v>46</v>
      </c>
      <c r="B43" s="5"/>
      <c r="C43" s="12"/>
      <c r="D43" s="30">
        <f>443732+362949</f>
        <v>806681</v>
      </c>
      <c r="E43" s="31">
        <v>11</v>
      </c>
      <c r="F43" s="28"/>
    </row>
    <row r="44" spans="1:6" ht="15.75">
      <c r="A44" s="11" t="s">
        <v>30</v>
      </c>
      <c r="B44" s="5"/>
      <c r="C44" s="12"/>
      <c r="D44" s="30">
        <v>0</v>
      </c>
      <c r="E44" s="31">
        <v>0</v>
      </c>
      <c r="F44" s="28"/>
    </row>
    <row r="45" spans="1:6" ht="15.75">
      <c r="A45" s="11" t="s">
        <v>47</v>
      </c>
      <c r="B45" s="5"/>
      <c r="C45" s="12"/>
      <c r="D45" s="32">
        <v>0</v>
      </c>
      <c r="E45" s="33">
        <v>0</v>
      </c>
      <c r="F45" s="28"/>
    </row>
    <row r="46" spans="1:6" ht="15.75">
      <c r="A46" s="17"/>
      <c r="B46" s="34"/>
      <c r="C46" s="18"/>
      <c r="D46" s="35">
        <f>SUM(D40:D45)</f>
        <v>146376307</v>
      </c>
      <c r="E46" s="33">
        <f>SUM(E40:E45)</f>
        <v>2577</v>
      </c>
      <c r="F46" s="28"/>
    </row>
    <row r="47" ht="15.75">
      <c r="F47" s="20"/>
    </row>
    <row r="48" spans="1:6" ht="15.75">
      <c r="A48" s="36" t="s">
        <v>48</v>
      </c>
      <c r="E48" s="21" t="s">
        <v>29</v>
      </c>
      <c r="F48" s="21" t="s">
        <v>22</v>
      </c>
    </row>
    <row r="49" spans="5:6" ht="15.75">
      <c r="E49" s="21"/>
      <c r="F49" s="22"/>
    </row>
    <row r="50" spans="1:6" ht="15.75">
      <c r="A50" s="37" t="s">
        <v>23</v>
      </c>
      <c r="E50" s="21">
        <v>0</v>
      </c>
      <c r="F50" s="22">
        <v>0</v>
      </c>
    </row>
    <row r="51" spans="1:6" ht="15.75">
      <c r="A51" s="36" t="s">
        <v>24</v>
      </c>
      <c r="E51" s="21">
        <v>0</v>
      </c>
      <c r="F51" s="22">
        <v>0</v>
      </c>
    </row>
    <row r="52" spans="1:6" ht="15.75">
      <c r="A52" s="2" t="s">
        <v>14</v>
      </c>
      <c r="E52" s="21">
        <v>0</v>
      </c>
      <c r="F52" s="22">
        <v>0</v>
      </c>
    </row>
    <row r="53" spans="1:6" ht="15.75">
      <c r="A53" s="36" t="s">
        <v>25</v>
      </c>
      <c r="E53" s="21"/>
      <c r="F53" s="22">
        <f>F50-F54-F51-F52</f>
        <v>0</v>
      </c>
    </row>
    <row r="54" spans="1:6" ht="15.75">
      <c r="A54" s="2" t="s">
        <v>26</v>
      </c>
      <c r="E54" s="21"/>
      <c r="F54" s="38">
        <v>0</v>
      </c>
    </row>
    <row r="55" spans="5:6" ht="15.75">
      <c r="E55" s="21"/>
      <c r="F55" s="22"/>
    </row>
    <row r="56" spans="1:6" ht="15.75">
      <c r="A56" s="2" t="s">
        <v>27</v>
      </c>
      <c r="E56" s="21"/>
      <c r="F56" s="39">
        <v>0</v>
      </c>
    </row>
    <row r="57" spans="1:6" ht="15.75">
      <c r="A57" s="2" t="s">
        <v>15</v>
      </c>
      <c r="E57" s="21"/>
      <c r="F57" s="22">
        <v>0</v>
      </c>
    </row>
    <row r="58" spans="5:6" ht="15.75">
      <c r="E58" s="21"/>
      <c r="F58" s="22"/>
    </row>
    <row r="59" spans="1:6" ht="15.75">
      <c r="A59" s="2" t="s">
        <v>28</v>
      </c>
      <c r="E59" s="21"/>
      <c r="F59" s="39">
        <v>0</v>
      </c>
    </row>
    <row r="60" spans="1:6" ht="15.75">
      <c r="A60" s="2" t="s">
        <v>49</v>
      </c>
      <c r="E60" s="21"/>
      <c r="F60" s="40">
        <v>0</v>
      </c>
    </row>
    <row r="61" spans="5:6" ht="15.75">
      <c r="E61" s="21"/>
      <c r="F61" s="22"/>
    </row>
    <row r="62" ht="15.75">
      <c r="F62" s="20"/>
    </row>
    <row r="63" ht="15.75">
      <c r="F63" s="20"/>
    </row>
    <row r="64" ht="15.75">
      <c r="F64" s="20"/>
    </row>
    <row r="65" spans="1:6" ht="15.75">
      <c r="A65" s="25" t="s">
        <v>16</v>
      </c>
      <c r="B65" s="25"/>
      <c r="C65" s="25"/>
      <c r="F65" s="20"/>
    </row>
    <row r="66" ht="15.75">
      <c r="A66" s="2" t="s">
        <v>54</v>
      </c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6"/>
  <sheetViews>
    <sheetView workbookViewId="0" topLeftCell="A1">
      <selection activeCell="A1" sqref="A1"/>
    </sheetView>
  </sheetViews>
  <sheetFormatPr defaultColWidth="9.00390625" defaultRowHeight="15.75"/>
  <cols>
    <col min="1" max="1" width="9.00390625" style="2" customWidth="1"/>
    <col min="2" max="2" width="7.375" style="2" customWidth="1"/>
    <col min="3" max="3" width="11.875" style="2" customWidth="1"/>
    <col min="4" max="5" width="15.625" style="2" customWidth="1"/>
    <col min="6" max="6" width="12.375" style="2" customWidth="1"/>
    <col min="7" max="7" width="11.75390625" style="2" customWidth="1"/>
    <col min="8" max="16384" width="9.00390625" style="2" customWidth="1"/>
  </cols>
  <sheetData>
    <row r="1" spans="1:3" ht="18.75">
      <c r="A1" s="1"/>
      <c r="C1" s="1" t="s">
        <v>33</v>
      </c>
    </row>
    <row r="2" ht="15.75"/>
    <row r="4" spans="1:5" ht="15.75">
      <c r="A4" s="2" t="s">
        <v>0</v>
      </c>
      <c r="D4" s="3">
        <v>38135</v>
      </c>
      <c r="E4" s="3"/>
    </row>
    <row r="5" spans="1:8" ht="15.75">
      <c r="A5" s="2" t="s">
        <v>17</v>
      </c>
      <c r="D5" s="4">
        <v>0.04465</v>
      </c>
      <c r="E5" s="3"/>
      <c r="H5" s="5"/>
    </row>
    <row r="6" ht="15.75">
      <c r="H6" s="5"/>
    </row>
    <row r="7" spans="1:8" ht="15.75">
      <c r="A7" s="2" t="s">
        <v>1</v>
      </c>
      <c r="H7" s="5"/>
    </row>
    <row r="8" spans="1:8" s="47" customFormat="1" ht="31.5">
      <c r="A8" s="41" t="s">
        <v>2</v>
      </c>
      <c r="B8" s="42"/>
      <c r="C8" s="43" t="s">
        <v>31</v>
      </c>
      <c r="D8" s="44" t="s">
        <v>3</v>
      </c>
      <c r="E8" s="44" t="s">
        <v>32</v>
      </c>
      <c r="F8" s="44" t="s">
        <v>18</v>
      </c>
      <c r="G8" s="45" t="s">
        <v>4</v>
      </c>
      <c r="H8" s="46"/>
    </row>
    <row r="9" spans="1:8" ht="15.75">
      <c r="A9" s="6" t="s">
        <v>34</v>
      </c>
      <c r="B9" s="7"/>
      <c r="C9" s="8">
        <v>31</v>
      </c>
      <c r="D9" s="9">
        <v>120112992</v>
      </c>
      <c r="E9" s="9">
        <v>4029600</v>
      </c>
      <c r="F9" s="9">
        <v>435224.4</v>
      </c>
      <c r="G9" s="10">
        <f>+D9/276000000</f>
        <v>0.435192</v>
      </c>
      <c r="H9" s="5"/>
    </row>
    <row r="10" spans="1:8" ht="15.75">
      <c r="A10" s="11" t="s">
        <v>5</v>
      </c>
      <c r="B10" s="12"/>
      <c r="C10" s="13">
        <v>85</v>
      </c>
      <c r="D10" s="14">
        <v>24000000</v>
      </c>
      <c r="E10" s="15">
        <v>0</v>
      </c>
      <c r="F10" s="15">
        <v>94053.6</v>
      </c>
      <c r="G10" s="16">
        <f>+D10/24000000</f>
        <v>1</v>
      </c>
      <c r="H10" s="5"/>
    </row>
    <row r="11" spans="1:8" ht="15.75">
      <c r="A11" s="17"/>
      <c r="B11" s="18"/>
      <c r="C11" s="18"/>
      <c r="D11" s="15">
        <f>SUM(D9:D10)</f>
        <v>144112992</v>
      </c>
      <c r="E11" s="15">
        <f>SUM(E9:E10)</f>
        <v>4029600</v>
      </c>
      <c r="F11" s="15">
        <f>SUM(F9:F10)</f>
        <v>529278</v>
      </c>
      <c r="G11" s="19"/>
      <c r="H11" s="5"/>
    </row>
    <row r="12" ht="15.75">
      <c r="H12" s="5"/>
    </row>
    <row r="13" spans="1:6" ht="15.75">
      <c r="A13" s="2" t="s">
        <v>35</v>
      </c>
      <c r="F13" s="20">
        <v>45000000</v>
      </c>
    </row>
    <row r="14" spans="1:6" ht="15.75">
      <c r="A14" s="2" t="s">
        <v>6</v>
      </c>
      <c r="F14" s="20">
        <v>0</v>
      </c>
    </row>
    <row r="15" ht="15.75">
      <c r="F15" s="20"/>
    </row>
    <row r="16" spans="1:6" ht="15.75">
      <c r="A16" s="2" t="s">
        <v>7</v>
      </c>
      <c r="F16" s="20">
        <v>6000000</v>
      </c>
    </row>
    <row r="17" spans="1:6" ht="15.75">
      <c r="A17" s="2" t="s">
        <v>52</v>
      </c>
      <c r="F17" s="20">
        <v>0</v>
      </c>
    </row>
    <row r="18" spans="1:6" ht="15.75">
      <c r="A18" s="2" t="s">
        <v>36</v>
      </c>
      <c r="F18" s="20">
        <v>6000000</v>
      </c>
    </row>
    <row r="19" ht="15.75">
      <c r="F19" s="20"/>
    </row>
    <row r="20" spans="1:6" ht="15.75">
      <c r="A20" s="2" t="s">
        <v>37</v>
      </c>
      <c r="F20" s="20">
        <v>500000</v>
      </c>
    </row>
    <row r="21" spans="1:6" ht="15.75">
      <c r="A21" s="2" t="s">
        <v>38</v>
      </c>
      <c r="F21" s="20">
        <v>0</v>
      </c>
    </row>
    <row r="22" spans="1:6" ht="15.75">
      <c r="A22" s="2" t="s">
        <v>39</v>
      </c>
      <c r="F22" s="20">
        <v>500000</v>
      </c>
    </row>
    <row r="23" ht="15.75">
      <c r="F23" s="20"/>
    </row>
    <row r="24" spans="1:6" ht="15.75">
      <c r="A24" s="2" t="s">
        <v>8</v>
      </c>
      <c r="F24" s="20">
        <v>0</v>
      </c>
    </row>
    <row r="25" spans="1:6" ht="15.75">
      <c r="A25" s="2" t="s">
        <v>19</v>
      </c>
      <c r="F25" s="20">
        <v>0</v>
      </c>
    </row>
    <row r="26" ht="15.75">
      <c r="F26" s="20"/>
    </row>
    <row r="27" spans="1:6" ht="15.75">
      <c r="A27" s="2" t="s">
        <v>40</v>
      </c>
      <c r="F27" s="20">
        <v>100461</v>
      </c>
    </row>
    <row r="28" spans="1:6" ht="15.75">
      <c r="A28" s="2" t="s">
        <v>53</v>
      </c>
      <c r="F28" s="20">
        <v>0</v>
      </c>
    </row>
    <row r="29" spans="1:6" ht="15.75">
      <c r="A29" s="2" t="s">
        <v>20</v>
      </c>
      <c r="F29" s="20">
        <f>D46</f>
        <v>140927955</v>
      </c>
    </row>
    <row r="30" ht="15.75">
      <c r="F30" s="20"/>
    </row>
    <row r="31" spans="5:6" ht="15.75">
      <c r="E31" s="21" t="s">
        <v>21</v>
      </c>
      <c r="F31" s="22" t="s">
        <v>22</v>
      </c>
    </row>
    <row r="32" spans="1:6" ht="15.75">
      <c r="A32" s="2" t="s">
        <v>41</v>
      </c>
      <c r="E32" s="21">
        <f>46</f>
        <v>46</v>
      </c>
      <c r="F32" s="22">
        <f>811190+65000+35000+59900+25000+30000+3000+2645813+20000+10000</f>
        <v>3704903</v>
      </c>
    </row>
    <row r="33" spans="1:6" ht="15.75">
      <c r="A33" s="2" t="s">
        <v>9</v>
      </c>
      <c r="E33" s="21">
        <v>0</v>
      </c>
      <c r="F33" s="22">
        <v>0</v>
      </c>
    </row>
    <row r="34" spans="1:6" ht="15.75">
      <c r="A34" s="2" t="s">
        <v>42</v>
      </c>
      <c r="E34" s="21">
        <f>861+44+88+59+95+77+116+82+134+73+113+31+115+83+98+36+42+29+106+54+81+113</f>
        <v>2530</v>
      </c>
      <c r="F34" s="22">
        <f>68606382+5894897.05+5544682.87+5709643+7641954+6749512.84+9802062+8604525+8201934.38+6644331.5+7905047+5727719.86+7143832.27+5703968.66+8164011+3279857.62+3708819+2645813+7667212+4699330.91+7405272.82+7315682.26</f>
        <v>204766491.04</v>
      </c>
    </row>
    <row r="35" spans="5:6" ht="15.75">
      <c r="E35" s="21"/>
      <c r="F35" s="22"/>
    </row>
    <row r="36" spans="1:6" ht="15.75">
      <c r="A36" s="2" t="s">
        <v>50</v>
      </c>
      <c r="E36" s="23"/>
      <c r="F36" s="24">
        <v>0.3586</v>
      </c>
    </row>
    <row r="37" spans="5:6" ht="15.75">
      <c r="E37" s="23"/>
      <c r="F37" s="20"/>
    </row>
    <row r="38" spans="1:6" ht="15.75">
      <c r="A38" s="2" t="s">
        <v>43</v>
      </c>
      <c r="F38" s="20"/>
    </row>
    <row r="39" spans="1:6" s="47" customFormat="1" ht="47.25">
      <c r="A39" s="41" t="s">
        <v>10</v>
      </c>
      <c r="B39" s="48"/>
      <c r="C39" s="42"/>
      <c r="D39" s="49" t="s">
        <v>11</v>
      </c>
      <c r="E39" s="50" t="s">
        <v>12</v>
      </c>
      <c r="F39" s="51"/>
    </row>
    <row r="40" spans="1:6" ht="15.75">
      <c r="A40" s="6" t="s">
        <v>13</v>
      </c>
      <c r="B40" s="25"/>
      <c r="C40" s="7"/>
      <c r="D40" s="26">
        <v>137554535</v>
      </c>
      <c r="E40" s="27">
        <v>2468</v>
      </c>
      <c r="F40" s="28"/>
    </row>
    <row r="41" spans="1:6" ht="15.75">
      <c r="A41" s="29" t="s">
        <v>44</v>
      </c>
      <c r="B41" s="5"/>
      <c r="C41" s="12"/>
      <c r="D41" s="30">
        <v>2056805</v>
      </c>
      <c r="E41" s="31">
        <v>19</v>
      </c>
      <c r="F41" s="28"/>
    </row>
    <row r="42" spans="1:6" ht="15.75">
      <c r="A42" s="29" t="s">
        <v>45</v>
      </c>
      <c r="B42" s="5"/>
      <c r="C42" s="12"/>
      <c r="D42" s="30">
        <v>402743</v>
      </c>
      <c r="E42" s="31">
        <v>6</v>
      </c>
      <c r="F42" s="28" t="s">
        <v>51</v>
      </c>
    </row>
    <row r="43" spans="1:6" ht="15.75">
      <c r="A43" s="11" t="s">
        <v>46</v>
      </c>
      <c r="B43" s="5"/>
      <c r="C43" s="12"/>
      <c r="D43" s="30">
        <f>708990+28209+176673</f>
        <v>913872</v>
      </c>
      <c r="E43" s="31">
        <f>11+2+6</f>
        <v>19</v>
      </c>
      <c r="F43" s="28"/>
    </row>
    <row r="44" spans="1:6" ht="15.75">
      <c r="A44" s="11" t="s">
        <v>30</v>
      </c>
      <c r="B44" s="5"/>
      <c r="C44" s="12"/>
      <c r="D44" s="30">
        <v>0</v>
      </c>
      <c r="E44" s="31">
        <v>0</v>
      </c>
      <c r="F44" s="28"/>
    </row>
    <row r="45" spans="1:6" ht="15.75">
      <c r="A45" s="11" t="s">
        <v>47</v>
      </c>
      <c r="B45" s="5"/>
      <c r="C45" s="12"/>
      <c r="D45" s="32">
        <v>0</v>
      </c>
      <c r="E45" s="33">
        <v>0</v>
      </c>
      <c r="F45" s="28"/>
    </row>
    <row r="46" spans="1:6" ht="15.75">
      <c r="A46" s="17"/>
      <c r="B46" s="34"/>
      <c r="C46" s="18"/>
      <c r="D46" s="35">
        <f>SUM(D40:D45)</f>
        <v>140927955</v>
      </c>
      <c r="E46" s="33">
        <f>SUM(E40:E45)</f>
        <v>2512</v>
      </c>
      <c r="F46" s="28"/>
    </row>
    <row r="47" ht="15.75">
      <c r="F47" s="20"/>
    </row>
    <row r="48" spans="1:6" ht="15.75">
      <c r="A48" s="36" t="s">
        <v>48</v>
      </c>
      <c r="E48" s="21" t="s">
        <v>29</v>
      </c>
      <c r="F48" s="21" t="s">
        <v>22</v>
      </c>
    </row>
    <row r="49" spans="5:6" ht="15.75">
      <c r="E49" s="21"/>
      <c r="F49" s="22"/>
    </row>
    <row r="50" spans="1:6" ht="15.75">
      <c r="A50" s="37" t="s">
        <v>23</v>
      </c>
      <c r="E50" s="21">
        <v>0</v>
      </c>
      <c r="F50" s="22">
        <v>0</v>
      </c>
    </row>
    <row r="51" spans="1:6" ht="15.75">
      <c r="A51" s="36" t="s">
        <v>24</v>
      </c>
      <c r="E51" s="21">
        <v>0</v>
      </c>
      <c r="F51" s="22">
        <v>0</v>
      </c>
    </row>
    <row r="52" spans="1:6" ht="15.75">
      <c r="A52" s="2" t="s">
        <v>14</v>
      </c>
      <c r="E52" s="21">
        <v>0</v>
      </c>
      <c r="F52" s="22">
        <v>0</v>
      </c>
    </row>
    <row r="53" spans="1:6" ht="15.75">
      <c r="A53" s="36" t="s">
        <v>25</v>
      </c>
      <c r="E53" s="21"/>
      <c r="F53" s="22">
        <f>F50-F54-F51-F52</f>
        <v>0</v>
      </c>
    </row>
    <row r="54" spans="1:6" ht="15.75">
      <c r="A54" s="2" t="s">
        <v>26</v>
      </c>
      <c r="E54" s="21"/>
      <c r="F54" s="38">
        <v>0</v>
      </c>
    </row>
    <row r="55" spans="5:6" ht="15.75">
      <c r="E55" s="21"/>
      <c r="F55" s="22"/>
    </row>
    <row r="56" spans="1:6" ht="15.75">
      <c r="A56" s="2" t="s">
        <v>27</v>
      </c>
      <c r="E56" s="21"/>
      <c r="F56" s="39">
        <v>0</v>
      </c>
    </row>
    <row r="57" spans="1:6" ht="15.75">
      <c r="A57" s="2" t="s">
        <v>15</v>
      </c>
      <c r="E57" s="21"/>
      <c r="F57" s="22">
        <v>0</v>
      </c>
    </row>
    <row r="58" spans="5:6" ht="15.75">
      <c r="E58" s="21"/>
      <c r="F58" s="22"/>
    </row>
    <row r="59" spans="1:6" ht="15.75">
      <c r="A59" s="2" t="s">
        <v>28</v>
      </c>
      <c r="E59" s="21"/>
      <c r="F59" s="39">
        <v>0</v>
      </c>
    </row>
    <row r="60" spans="1:6" ht="15.75">
      <c r="A60" s="2" t="s">
        <v>49</v>
      </c>
      <c r="E60" s="21"/>
      <c r="F60" s="40">
        <v>0</v>
      </c>
    </row>
    <row r="61" spans="5:6" ht="15.75">
      <c r="E61" s="21"/>
      <c r="F61" s="22"/>
    </row>
    <row r="62" ht="15.75">
      <c r="F62" s="20"/>
    </row>
    <row r="63" ht="15.75">
      <c r="F63" s="20"/>
    </row>
    <row r="64" ht="15.75">
      <c r="F64" s="20"/>
    </row>
    <row r="65" spans="1:6" ht="15.75">
      <c r="A65" s="25" t="s">
        <v>16</v>
      </c>
      <c r="B65" s="25"/>
      <c r="C65" s="25"/>
      <c r="F65" s="20"/>
    </row>
    <row r="66" ht="15.75">
      <c r="A66" s="2" t="s">
        <v>54</v>
      </c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 Hyde</dc:creator>
  <cp:keywords/>
  <dc:description/>
  <cp:lastModifiedBy>DoJulia</cp:lastModifiedBy>
  <cp:lastPrinted>2006-11-17T10:17:47Z</cp:lastPrinted>
  <dcterms:created xsi:type="dcterms:W3CDTF">1998-12-07T10:38:10Z</dcterms:created>
  <dcterms:modified xsi:type="dcterms:W3CDTF">2007-01-12T11:37:37Z</dcterms:modified>
  <cp:category/>
  <cp:version/>
  <cp:contentType/>
  <cp:contentStatus/>
</cp:coreProperties>
</file>