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2"/>
  </bookViews>
  <sheets>
    <sheet name="Universal" sheetId="1" r:id="rId1"/>
    <sheet name="PPF" sheetId="2" r:id="rId2"/>
    <sheet name="PCF" sheetId="3" r:id="rId3"/>
  </sheets>
  <definedNames>
    <definedName name="data">#REF!</definedName>
    <definedName name="data2">#REF!</definedName>
    <definedName name="_xlnm.Print_Area" localSheetId="2">'PCF'!$A$1:$AJ$170</definedName>
    <definedName name="_xlnm.Print_Area" localSheetId="1">'PPF'!$A$1:$AJ$167</definedName>
    <definedName name="_xlnm.Print_Area" localSheetId="0">'Universal'!$A$1:$AJ$194</definedName>
    <definedName name="_xlnm.Print_Titles" localSheetId="2">'PCF'!$1:$4</definedName>
    <definedName name="_xlnm.Print_Titles" localSheetId="1">'PPF'!$1:$4</definedName>
    <definedName name="_xlnm.Print_Titles" localSheetId="0">'Universal'!$1:$5</definedName>
  </definedNames>
  <calcPr fullCalcOnLoad="1"/>
</workbook>
</file>

<file path=xl/sharedStrings.xml><?xml version="1.0" encoding="utf-8"?>
<sst xmlns="http://schemas.openxmlformats.org/spreadsheetml/2006/main" count="1248" uniqueCount="114">
  <si>
    <t>Unallocated</t>
  </si>
  <si>
    <t>Northern Ireland</t>
  </si>
  <si>
    <t>Unallocated (British Forces)</t>
  </si>
  <si>
    <t>&lt;=1 month</t>
  </si>
  <si>
    <t>&gt;1 &lt;=2 months</t>
  </si>
  <si>
    <t>&gt;2 &lt;=3 months</t>
  </si>
  <si>
    <t>&gt;3 &lt;=4 months</t>
  </si>
  <si>
    <t>&gt;4 &lt;=5 months</t>
  </si>
  <si>
    <t>&gt;5 &lt;=6 months</t>
  </si>
  <si>
    <t>&gt;6 &lt;=7 months</t>
  </si>
  <si>
    <t>&gt;7 &lt;=8 months</t>
  </si>
  <si>
    <t>&gt;8 &lt;=9 months</t>
  </si>
  <si>
    <t>&gt;9 &lt;=10 months</t>
  </si>
  <si>
    <t>&gt;10 &lt;=11 months</t>
  </si>
  <si>
    <t>&gt;11 &lt;=12 months</t>
  </si>
  <si>
    <t>&gt;12 months</t>
  </si>
  <si>
    <t>4.21 months</t>
  </si>
  <si>
    <t>68.85 months</t>
  </si>
  <si>
    <t>64.15 months</t>
  </si>
  <si>
    <t>2.64 months</t>
  </si>
  <si>
    <t>45.98 months</t>
  </si>
  <si>
    <t>43.33 months</t>
  </si>
  <si>
    <t>over 60 months</t>
  </si>
  <si>
    <t>Motor Vehicle Hire Purchase</t>
  </si>
  <si>
    <t>Motor Vehicle Contract Purchase</t>
  </si>
  <si>
    <t>Motor Vehicle Leasing Agreements</t>
  </si>
  <si>
    <t>Portfolio Loans Key Features</t>
  </si>
  <si>
    <t xml:space="preserve">Average current balance outstanding </t>
  </si>
  <si>
    <t>Weighted average seasoning</t>
  </si>
  <si>
    <t>30.27 months</t>
  </si>
  <si>
    <t>Weighted average annual yield</t>
  </si>
  <si>
    <t>Weighted average original term</t>
  </si>
  <si>
    <t>83.87 months</t>
  </si>
  <si>
    <t>Weighted average remaining term</t>
  </si>
  <si>
    <t>80.34 months</t>
  </si>
  <si>
    <t>Under £2,000</t>
  </si>
  <si>
    <t>£2,000 to £3,999</t>
  </si>
  <si>
    <t>£4,000 to £5,999</t>
  </si>
  <si>
    <t>£6,000 to £7,999</t>
  </si>
  <si>
    <t>£8,000 to £9,999</t>
  </si>
  <si>
    <t>£10,000 to £11,999</t>
  </si>
  <si>
    <t>£12,000 to £13,999</t>
  </si>
  <si>
    <t>£14,000 to £15,999</t>
  </si>
  <si>
    <t>£16,000 and above</t>
  </si>
  <si>
    <t>Under 10.00%</t>
  </si>
  <si>
    <t>10.00% to 12.99%</t>
  </si>
  <si>
    <t>13.00% to 14.99%</t>
  </si>
  <si>
    <t>15.00% to 16.99%</t>
  </si>
  <si>
    <t>17.00% to 19.99%</t>
  </si>
  <si>
    <t>20.00% to 22.99%</t>
  </si>
  <si>
    <t>23.00% to 25.99%</t>
  </si>
  <si>
    <t>26.00% to 28.99%</t>
  </si>
  <si>
    <t>29.00% to 31.99%</t>
  </si>
  <si>
    <t>32.00% to 34.99%</t>
  </si>
  <si>
    <t>35.00% and above</t>
  </si>
  <si>
    <t>0 to 12 months</t>
  </si>
  <si>
    <t>13 to 24 months</t>
  </si>
  <si>
    <t>25 to 36 months</t>
  </si>
  <si>
    <t>37 to 48 months</t>
  </si>
  <si>
    <t>49 to 60 months</t>
  </si>
  <si>
    <t>61 to 72 months</t>
  </si>
  <si>
    <t>73 to 84 months</t>
  </si>
  <si>
    <t>85 to 96 months</t>
  </si>
  <si>
    <t>97 to 108 months</t>
  </si>
  <si>
    <t>109 to 120 months</t>
  </si>
  <si>
    <t>over 120 months</t>
  </si>
  <si>
    <t>North</t>
  </si>
  <si>
    <t>North West</t>
  </si>
  <si>
    <t>Yorkshire</t>
  </si>
  <si>
    <t>East Midlands</t>
  </si>
  <si>
    <t>West Midlands</t>
  </si>
  <si>
    <t>South East (exc Greater London)</t>
  </si>
  <si>
    <t>South West</t>
  </si>
  <si>
    <t>Greater London</t>
  </si>
  <si>
    <t>Wales</t>
  </si>
  <si>
    <t>Scotland</t>
  </si>
  <si>
    <t>Nth. Ireland</t>
  </si>
  <si>
    <t>Unallocated*</t>
  </si>
  <si>
    <t>East Anglia</t>
  </si>
  <si>
    <t>* These loans have no recorded borrower postcode and remain unallocated as to their geographical region</t>
  </si>
  <si>
    <t>months</t>
  </si>
  <si>
    <t>FINANCE FOR PEOPLE (NO.3) PLC - AS AT DEAL INCEPTION</t>
  </si>
  <si>
    <t>DISTRIBUTION BY ORIGINAL LOAN ADVANCE</t>
  </si>
  <si>
    <t>NUMBER</t>
  </si>
  <si>
    <t>PER CENT.</t>
  </si>
  <si>
    <t>CURRENT BALANCE</t>
  </si>
  <si>
    <t>DISTRIBUTION BY CURRENT BALANCE OUTSTANDING</t>
  </si>
  <si>
    <t>DISTRIBUTION BY ANNUAL YIELD</t>
  </si>
  <si>
    <t>DISTRIBUTION BY REMAINING TERM</t>
  </si>
  <si>
    <t>DISTRIBUTION BY GEOGRAPHICAL REGIONS</t>
  </si>
  <si>
    <t>DISTRIBUTION BY SEASONING</t>
  </si>
  <si>
    <t>NUMBER OF MONTHS IN ARREARS</t>
  </si>
  <si>
    <t>PORTFOLIO LOANS ORIGINATED BY PARAGON PERSONAL FINANCE LIMITED ("PPF")</t>
  </si>
  <si>
    <t>PORTFOLIO LOANS ORIGINATED BY PARAGON CAR FINANCE ("PCF")</t>
  </si>
  <si>
    <t>DISTRIBUTION BY CURRENT BALANCE</t>
  </si>
  <si>
    <t>DISTRIBUTION BY ORIGINAL SCHEDULED TERM</t>
  </si>
  <si>
    <t>PRODUCT TYPE</t>
  </si>
  <si>
    <t>FINANCE FOR PEOPLE (NO.3) PLC AS AT THE JUNE 2001 PRINCPAL DETERMINATION DATE - 20/06/01</t>
  </si>
  <si>
    <t>UNIVERSAL CREDIT LIMITED ORIGINATIONS</t>
  </si>
  <si>
    <t>WEIGHTED AVERAGE ANNUAL YIELD</t>
  </si>
  <si>
    <t>FLEXILOAN CURRENT BALANCE</t>
  </si>
  <si>
    <t>PREMIERPLAN CURRENT BALANCE</t>
  </si>
  <si>
    <t>TIMESHARE CURRENT BALANCE</t>
  </si>
  <si>
    <t>AFFINITY CURRENT BALANCE</t>
  </si>
  <si>
    <t xml:space="preserve">FINANCE FOR PEOPLE (NO.3) PLC AS AT THE JUNE 2001 </t>
  </si>
  <si>
    <t xml:space="preserve">                                                                                                                                                 PRINCIPAL DETERMINATION DATE - 20/06/01</t>
  </si>
  <si>
    <t>PORTFOLIO LOANS ORIGINATED BY UNIVERSAL CREDIT LIMITED ("UCL")</t>
  </si>
  <si>
    <t>PARAGON PERSONAL FINANCE LIMITED ORIGINATIONS</t>
  </si>
  <si>
    <t>PARAGON CAR FINANCE LIMITED ORIGINATIONS</t>
  </si>
  <si>
    <t>FINANCE FOR PEOPLE (NO.3) - AS AT THE JUNE 2001 PRINCIPAL DETERMINATION DATE - 20/06/01</t>
  </si>
  <si>
    <t>FINANCE FOR PEOPLE (NO.3) PLC AS AT THE SEPTEMBER 2001 PRINCPAL DETERMINATION DATE - 19/09/01</t>
  </si>
  <si>
    <t>FINANCE FOR PEOPLE (NO.3) - AS AT THE SEPTEMBER 2001 PRINCIPAL DETERMINATION DATE - 19/09/01</t>
  </si>
  <si>
    <t xml:space="preserve">FINANCE FOR PEOPLE (NO.3) PLC AS AT THE SEPTEMBER 2001 </t>
  </si>
  <si>
    <t xml:space="preserve">                                                                                                                                                 PRINCIPAL DETERMINATION DATE - 19/09/01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</si>
</sst>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00%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26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b/>
      <sz val="14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8"/>
      <color indexed="39"/>
      <name val="Arial"/>
      <family val="2"/>
    </font>
    <font>
      <sz val="14"/>
      <color indexed="3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166" fontId="1" fillId="0" borderId="0" xfId="15" applyNumberFormat="1" applyFont="1" applyAlignment="1">
      <alignment wrapText="1"/>
    </xf>
    <xf numFmtId="43" fontId="1" fillId="0" borderId="0" xfId="15" applyFont="1" applyAlignment="1">
      <alignment wrapText="1"/>
    </xf>
    <xf numFmtId="0" fontId="0" fillId="0" borderId="0" xfId="0" applyAlignment="1">
      <alignment wrapText="1"/>
    </xf>
    <xf numFmtId="10" fontId="1" fillId="0" borderId="0" xfId="19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2" borderId="0" xfId="0" applyFill="1" applyAlignment="1">
      <alignment/>
    </xf>
    <xf numFmtId="166" fontId="0" fillId="2" borderId="0" xfId="15" applyNumberFormat="1" applyFill="1" applyAlignment="1">
      <alignment/>
    </xf>
    <xf numFmtId="43" fontId="0" fillId="2" borderId="0" xfId="15" applyFill="1" applyAlignment="1">
      <alignment/>
    </xf>
    <xf numFmtId="10" fontId="0" fillId="2" borderId="0" xfId="19" applyNumberFormat="1" applyFill="1" applyAlignment="1">
      <alignment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0" fontId="4" fillId="2" borderId="0" xfId="19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166" fontId="6" fillId="2" borderId="0" xfId="15" applyNumberFormat="1" applyFont="1" applyFill="1" applyAlignment="1">
      <alignment/>
    </xf>
    <xf numFmtId="43" fontId="6" fillId="2" borderId="0" xfId="15" applyFont="1" applyFill="1" applyAlignment="1">
      <alignment/>
    </xf>
    <xf numFmtId="10" fontId="6" fillId="2" borderId="0" xfId="19" applyNumberFormat="1" applyFont="1" applyFill="1" applyAlignment="1">
      <alignment/>
    </xf>
    <xf numFmtId="0" fontId="7" fillId="2" borderId="0" xfId="0" applyFont="1" applyFill="1" applyAlignment="1">
      <alignment/>
    </xf>
    <xf numFmtId="44" fontId="6" fillId="2" borderId="0" xfId="17" applyFont="1" applyFill="1" applyAlignment="1">
      <alignment horizontal="right"/>
    </xf>
    <xf numFmtId="0" fontId="6" fillId="2" borderId="0" xfId="0" applyFont="1" applyFill="1" applyAlignment="1">
      <alignment horizontal="right"/>
    </xf>
    <xf numFmtId="43" fontId="6" fillId="2" borderId="0" xfId="0" applyNumberFormat="1" applyFont="1" applyFill="1" applyAlignment="1">
      <alignment horizontal="right"/>
    </xf>
    <xf numFmtId="10" fontId="6" fillId="2" borderId="0" xfId="19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166" fontId="12" fillId="2" borderId="0" xfId="15" applyNumberFormat="1" applyFont="1" applyFill="1" applyAlignment="1">
      <alignment/>
    </xf>
    <xf numFmtId="43" fontId="12" fillId="2" borderId="0" xfId="15" applyFont="1" applyFill="1" applyAlignment="1">
      <alignment/>
    </xf>
    <xf numFmtId="0" fontId="10" fillId="2" borderId="0" xfId="0" applyFont="1" applyFill="1" applyAlignment="1">
      <alignment wrapText="1"/>
    </xf>
    <xf numFmtId="166" fontId="10" fillId="2" borderId="0" xfId="15" applyNumberFormat="1" applyFont="1" applyFill="1" applyAlignment="1">
      <alignment wrapText="1"/>
    </xf>
    <xf numFmtId="43" fontId="10" fillId="2" borderId="0" xfId="15" applyFont="1" applyFill="1" applyAlignment="1">
      <alignment wrapText="1"/>
    </xf>
    <xf numFmtId="0" fontId="12" fillId="2" borderId="0" xfId="0" applyFont="1" applyFill="1" applyAlignment="1">
      <alignment wrapText="1"/>
    </xf>
    <xf numFmtId="10" fontId="10" fillId="2" borderId="0" xfId="19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166" fontId="13" fillId="2" borderId="0" xfId="15" applyNumberFormat="1" applyFont="1" applyFill="1" applyAlignment="1">
      <alignment/>
    </xf>
    <xf numFmtId="43" fontId="13" fillId="2" borderId="0" xfId="15" applyFont="1" applyFill="1" applyAlignment="1">
      <alignment/>
    </xf>
    <xf numFmtId="0" fontId="2" fillId="2" borderId="0" xfId="0" applyFont="1" applyFill="1" applyAlignment="1">
      <alignment/>
    </xf>
    <xf numFmtId="44" fontId="0" fillId="2" borderId="0" xfId="17" applyFill="1" applyAlignment="1">
      <alignment horizontal="right"/>
    </xf>
    <xf numFmtId="0" fontId="0" fillId="2" borderId="0" xfId="0" applyFill="1" applyAlignment="1">
      <alignment horizontal="right"/>
    </xf>
    <xf numFmtId="43" fontId="0" fillId="2" borderId="0" xfId="0" applyNumberFormat="1" applyFill="1" applyAlignment="1">
      <alignment horizontal="right"/>
    </xf>
    <xf numFmtId="10" fontId="0" fillId="2" borderId="0" xfId="19" applyNumberFormat="1" applyFill="1" applyAlignment="1">
      <alignment horizontal="right"/>
    </xf>
    <xf numFmtId="0" fontId="15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8" fillId="2" borderId="0" xfId="0" applyFont="1" applyFill="1" applyAlignment="1">
      <alignment/>
    </xf>
    <xf numFmtId="166" fontId="18" fillId="2" borderId="0" xfId="15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43" fontId="18" fillId="2" borderId="0" xfId="15" applyFont="1" applyFill="1" applyAlignment="1">
      <alignment horizontal="right"/>
    </xf>
    <xf numFmtId="0" fontId="18" fillId="0" borderId="0" xfId="0" applyFont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Alignment="1">
      <alignment/>
    </xf>
    <xf numFmtId="0" fontId="17" fillId="2" borderId="0" xfId="0" applyFont="1" applyFill="1" applyAlignment="1">
      <alignment/>
    </xf>
    <xf numFmtId="166" fontId="17" fillId="2" borderId="0" xfId="15" applyNumberFormat="1" applyFont="1" applyFill="1" applyAlignment="1">
      <alignment/>
    </xf>
    <xf numFmtId="43" fontId="17" fillId="2" borderId="0" xfId="15" applyFont="1" applyFill="1" applyAlignment="1">
      <alignment/>
    </xf>
    <xf numFmtId="0" fontId="16" fillId="2" borderId="0" xfId="0" applyFont="1" applyFill="1" applyAlignment="1">
      <alignment/>
    </xf>
    <xf numFmtId="166" fontId="10" fillId="2" borderId="1" xfId="15" applyNumberFormat="1" applyFont="1" applyFill="1" applyBorder="1" applyAlignment="1">
      <alignment/>
    </xf>
    <xf numFmtId="43" fontId="10" fillId="2" borderId="1" xfId="15" applyFont="1" applyFill="1" applyBorder="1" applyAlignment="1">
      <alignment/>
    </xf>
    <xf numFmtId="10" fontId="10" fillId="2" borderId="0" xfId="0" applyNumberFormat="1" applyFont="1" applyFill="1" applyAlignment="1">
      <alignment/>
    </xf>
    <xf numFmtId="166" fontId="10" fillId="2" borderId="0" xfId="15" applyNumberFormat="1" applyFont="1" applyFill="1" applyAlignment="1">
      <alignment/>
    </xf>
    <xf numFmtId="43" fontId="10" fillId="2" borderId="0" xfId="15" applyFont="1" applyFill="1" applyAlignment="1">
      <alignment/>
    </xf>
    <xf numFmtId="43" fontId="10" fillId="2" borderId="0" xfId="15" applyFont="1" applyFill="1" applyBorder="1" applyAlignment="1">
      <alignment/>
    </xf>
    <xf numFmtId="43" fontId="10" fillId="0" borderId="0" xfId="0" applyNumberFormat="1" applyFont="1" applyAlignment="1">
      <alignment/>
    </xf>
    <xf numFmtId="166" fontId="14" fillId="2" borderId="1" xfId="15" applyNumberFormat="1" applyFont="1" applyFill="1" applyBorder="1" applyAlignment="1">
      <alignment/>
    </xf>
    <xf numFmtId="43" fontId="14" fillId="2" borderId="1" xfId="15" applyFont="1" applyFill="1" applyBorder="1" applyAlignment="1">
      <alignment/>
    </xf>
    <xf numFmtId="10" fontId="14" fillId="2" borderId="0" xfId="0" applyNumberFormat="1" applyFont="1" applyFill="1" applyAlignment="1">
      <alignment/>
    </xf>
    <xf numFmtId="166" fontId="14" fillId="2" borderId="0" xfId="15" applyNumberFormat="1" applyFont="1" applyFill="1" applyAlignment="1">
      <alignment/>
    </xf>
    <xf numFmtId="43" fontId="14" fillId="2" borderId="0" xfId="15" applyFont="1" applyFill="1" applyAlignment="1">
      <alignment/>
    </xf>
    <xf numFmtId="10" fontId="1" fillId="2" borderId="0" xfId="0" applyNumberFormat="1" applyFont="1" applyFill="1" applyAlignment="1">
      <alignment/>
    </xf>
    <xf numFmtId="10" fontId="1" fillId="2" borderId="0" xfId="19" applyNumberFormat="1" applyFont="1" applyFill="1" applyAlignment="1">
      <alignment/>
    </xf>
    <xf numFmtId="166" fontId="1" fillId="2" borderId="0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43" fontId="1" fillId="2" borderId="0" xfId="15" applyFont="1" applyFill="1" applyBorder="1" applyAlignment="1">
      <alignment/>
    </xf>
    <xf numFmtId="166" fontId="21" fillId="2" borderId="1" xfId="15" applyNumberFormat="1" applyFont="1" applyFill="1" applyBorder="1" applyAlignment="1">
      <alignment/>
    </xf>
    <xf numFmtId="0" fontId="21" fillId="2" borderId="0" xfId="0" applyFont="1" applyFill="1" applyAlignment="1">
      <alignment/>
    </xf>
    <xf numFmtId="43" fontId="21" fillId="2" borderId="1" xfId="15" applyFont="1" applyFill="1" applyBorder="1" applyAlignment="1">
      <alignment/>
    </xf>
    <xf numFmtId="166" fontId="22" fillId="2" borderId="0" xfId="15" applyNumberFormat="1" applyFont="1" applyFill="1" applyAlignment="1">
      <alignment/>
    </xf>
    <xf numFmtId="0" fontId="22" fillId="2" borderId="0" xfId="0" applyFont="1" applyFill="1" applyAlignment="1">
      <alignment/>
    </xf>
    <xf numFmtId="43" fontId="22" fillId="2" borderId="0" xfId="15" applyFont="1" applyFill="1" applyAlignment="1">
      <alignment/>
    </xf>
    <xf numFmtId="0" fontId="22" fillId="0" borderId="0" xfId="0" applyFont="1" applyAlignment="1">
      <alignment/>
    </xf>
    <xf numFmtId="43" fontId="1" fillId="2" borderId="0" xfId="15" applyFont="1" applyFill="1" applyAlignment="1">
      <alignment/>
    </xf>
    <xf numFmtId="0" fontId="2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6" fontId="20" fillId="2" borderId="1" xfId="15" applyNumberFormat="1" applyFont="1" applyFill="1" applyBorder="1" applyAlignment="1">
      <alignment/>
    </xf>
    <xf numFmtId="10" fontId="4" fillId="2" borderId="0" xfId="19" applyNumberFormat="1" applyFont="1" applyFill="1" applyAlignment="1">
      <alignment/>
    </xf>
    <xf numFmtId="43" fontId="20" fillId="2" borderId="1" xfId="15" applyFont="1" applyFill="1" applyBorder="1" applyAlignment="1">
      <alignment/>
    </xf>
    <xf numFmtId="43" fontId="24" fillId="2" borderId="0" xfId="15" applyFont="1" applyFill="1" applyAlignment="1">
      <alignment/>
    </xf>
    <xf numFmtId="0" fontId="4" fillId="2" borderId="0" xfId="0" applyFont="1" applyFill="1" applyAlignment="1">
      <alignment wrapText="1"/>
    </xf>
    <xf numFmtId="43" fontId="4" fillId="2" borderId="0" xfId="15" applyFont="1" applyFill="1" applyAlignment="1">
      <alignment/>
    </xf>
    <xf numFmtId="0" fontId="24" fillId="2" borderId="0" xfId="0" applyFont="1" applyFill="1" applyAlignment="1">
      <alignment/>
    </xf>
    <xf numFmtId="10" fontId="20" fillId="2" borderId="0" xfId="19" applyNumberFormat="1" applyFont="1" applyFill="1" applyAlignment="1">
      <alignment/>
    </xf>
    <xf numFmtId="43" fontId="6" fillId="2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6" fillId="0" borderId="0" xfId="15" applyFont="1" applyAlignment="1">
      <alignment/>
    </xf>
    <xf numFmtId="43" fontId="0" fillId="0" borderId="0" xfId="0" applyNumberFormat="1" applyAlignment="1">
      <alignment/>
    </xf>
    <xf numFmtId="43" fontId="14" fillId="0" borderId="0" xfId="0" applyNumberFormat="1" applyFont="1" applyAlignment="1">
      <alignment/>
    </xf>
    <xf numFmtId="43" fontId="0" fillId="2" borderId="0" xfId="0" applyNumberFormat="1" applyFill="1" applyAlignment="1">
      <alignment/>
    </xf>
    <xf numFmtId="168" fontId="0" fillId="2" borderId="0" xfId="19" applyNumberFormat="1" applyFill="1" applyAlignment="1">
      <alignment/>
    </xf>
    <xf numFmtId="0" fontId="1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6" fontId="0" fillId="2" borderId="0" xfId="15" applyNumberFormat="1" applyFont="1" applyFill="1" applyAlignment="1">
      <alignment/>
    </xf>
    <xf numFmtId="166" fontId="21" fillId="2" borderId="1" xfId="15" applyNumberFormat="1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3"/>
  <sheetViews>
    <sheetView view="pageBreakPreview" zoomScale="60" zoomScaleNormal="65" workbookViewId="0" topLeftCell="X168">
      <selection activeCell="AD190" sqref="AD190"/>
    </sheetView>
  </sheetViews>
  <sheetFormatPr defaultColWidth="9.140625" defaultRowHeight="12.75"/>
  <cols>
    <col min="4" max="4" width="25.140625" style="0" customWidth="1"/>
    <col min="5" max="5" width="20.28125" style="4" customWidth="1"/>
    <col min="6" max="6" width="4.7109375" style="0" customWidth="1"/>
    <col min="7" max="7" width="21.140625" style="0" customWidth="1"/>
    <col min="8" max="8" width="4.7109375" style="0" customWidth="1"/>
    <col min="9" max="9" width="22.00390625" style="3" customWidth="1"/>
    <col min="10" max="10" width="4.7109375" style="0" customWidth="1"/>
    <col min="11" max="11" width="20.421875" style="0" customWidth="1"/>
    <col min="12" max="12" width="19.28125" style="0" customWidth="1"/>
    <col min="17" max="17" width="19.8515625" style="0" customWidth="1"/>
    <col min="18" max="18" width="19.7109375" style="0" customWidth="1"/>
    <col min="20" max="20" width="20.57421875" style="0" customWidth="1"/>
    <col min="22" max="22" width="21.00390625" style="0" customWidth="1"/>
    <col min="24" max="24" width="24.00390625" style="2" customWidth="1"/>
    <col min="27" max="27" width="20.140625" style="0" bestFit="1" customWidth="1"/>
    <col min="30" max="30" width="19.8515625" style="0" customWidth="1"/>
    <col min="32" max="32" width="19.8515625" style="0" customWidth="1"/>
    <col min="34" max="34" width="27.00390625" style="0" customWidth="1"/>
    <col min="36" max="36" width="19.8515625" style="0" customWidth="1"/>
    <col min="38" max="38" width="22.421875" style="0" bestFit="1" customWidth="1"/>
    <col min="40" max="40" width="22.421875" style="0" bestFit="1" customWidth="1"/>
    <col min="43" max="43" width="19.28125" style="0" bestFit="1" customWidth="1"/>
    <col min="44" max="44" width="20.8515625" style="0" bestFit="1" customWidth="1"/>
  </cols>
  <sheetData>
    <row r="1" spans="1:36" ht="33.75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2.75">
      <c r="A2" s="19"/>
      <c r="B2" s="19"/>
      <c r="C2" s="19"/>
      <c r="D2" s="19"/>
      <c r="E2" s="20"/>
      <c r="F2" s="19"/>
      <c r="G2" s="19"/>
      <c r="H2" s="19"/>
      <c r="I2" s="2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2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2.75">
      <c r="A3" s="19"/>
      <c r="B3" s="19"/>
      <c r="C3" s="19"/>
      <c r="D3" s="19"/>
      <c r="E3" s="20"/>
      <c r="F3" s="19"/>
      <c r="G3" s="19"/>
      <c r="H3" s="19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2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23.25">
      <c r="A4" s="113" t="s">
        <v>81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23"/>
      <c r="M4" s="19"/>
      <c r="N4" s="114" t="s">
        <v>104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9"/>
      <c r="Z4" s="114" t="s">
        <v>112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/>
    </row>
    <row r="5" spans="1:36" ht="23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9"/>
      <c r="N5" s="96" t="s">
        <v>105</v>
      </c>
      <c r="O5" s="24"/>
      <c r="P5" s="24"/>
      <c r="Q5" s="24"/>
      <c r="R5" s="24"/>
      <c r="S5" s="24"/>
      <c r="T5" s="24"/>
      <c r="U5" s="24"/>
      <c r="V5" s="24"/>
      <c r="W5" s="24"/>
      <c r="X5" s="25"/>
      <c r="Y5" s="19"/>
      <c r="Z5" s="96" t="s">
        <v>113</v>
      </c>
      <c r="AA5" s="24"/>
      <c r="AB5" s="24"/>
      <c r="AC5" s="24"/>
      <c r="AD5" s="24"/>
      <c r="AE5" s="24"/>
      <c r="AF5" s="24"/>
      <c r="AG5" s="24"/>
      <c r="AH5" s="24"/>
      <c r="AI5" s="24"/>
      <c r="AJ5" s="25"/>
    </row>
    <row r="6" spans="1:36" ht="12.75">
      <c r="A6" s="19"/>
      <c r="B6" s="19"/>
      <c r="C6" s="19"/>
      <c r="D6" s="19"/>
      <c r="E6" s="20"/>
      <c r="F6" s="19"/>
      <c r="G6" s="19"/>
      <c r="H6" s="19"/>
      <c r="I6" s="21"/>
      <c r="J6" s="19"/>
      <c r="K6" s="19"/>
      <c r="L6" s="19"/>
      <c r="M6" s="19"/>
      <c r="N6" s="19"/>
      <c r="O6" s="19"/>
      <c r="P6" s="19"/>
      <c r="Q6" s="19"/>
      <c r="R6" s="20"/>
      <c r="S6" s="19"/>
      <c r="T6" s="19"/>
      <c r="U6" s="19"/>
      <c r="V6" s="21"/>
      <c r="W6" s="19"/>
      <c r="X6" s="22"/>
      <c r="Y6" s="19"/>
      <c r="Z6" s="19"/>
      <c r="AA6" s="19"/>
      <c r="AB6" s="19"/>
      <c r="AC6" s="19"/>
      <c r="AD6" s="20"/>
      <c r="AE6" s="19"/>
      <c r="AF6" s="19"/>
      <c r="AG6" s="19"/>
      <c r="AH6" s="21"/>
      <c r="AI6" s="19"/>
      <c r="AJ6" s="22"/>
    </row>
    <row r="7" spans="1:36" s="11" customFormat="1" ht="18">
      <c r="A7" s="26" t="s">
        <v>106</v>
      </c>
      <c r="B7" s="27"/>
      <c r="C7" s="27"/>
      <c r="D7" s="27"/>
      <c r="E7" s="28"/>
      <c r="F7" s="27"/>
      <c r="G7" s="27"/>
      <c r="H7" s="27"/>
      <c r="I7" s="29"/>
      <c r="J7" s="27"/>
      <c r="K7" s="27"/>
      <c r="L7" s="27"/>
      <c r="M7" s="27"/>
      <c r="N7" s="26" t="s">
        <v>106</v>
      </c>
      <c r="O7" s="27"/>
      <c r="P7" s="27"/>
      <c r="Q7" s="27"/>
      <c r="R7" s="28"/>
      <c r="S7" s="27"/>
      <c r="T7" s="27"/>
      <c r="U7" s="27"/>
      <c r="V7" s="29"/>
      <c r="W7" s="27"/>
      <c r="X7" s="30"/>
      <c r="Y7" s="27"/>
      <c r="Z7" s="26" t="s">
        <v>106</v>
      </c>
      <c r="AA7" s="27"/>
      <c r="AB7" s="27"/>
      <c r="AC7" s="27"/>
      <c r="AD7" s="28"/>
      <c r="AE7" s="27"/>
      <c r="AF7" s="27"/>
      <c r="AG7" s="27"/>
      <c r="AH7" s="29"/>
      <c r="AI7" s="27"/>
      <c r="AJ7" s="30"/>
    </row>
    <row r="8" spans="1:36" s="11" customFormat="1" ht="18.75">
      <c r="A8" s="31" t="s">
        <v>26</v>
      </c>
      <c r="B8" s="27"/>
      <c r="C8" s="27"/>
      <c r="D8" s="27"/>
      <c r="E8" s="28"/>
      <c r="F8" s="27"/>
      <c r="G8" s="27"/>
      <c r="H8" s="27"/>
      <c r="I8" s="29"/>
      <c r="J8" s="27"/>
      <c r="K8" s="27"/>
      <c r="L8" s="27"/>
      <c r="M8" s="27"/>
      <c r="N8" s="31" t="s">
        <v>26</v>
      </c>
      <c r="O8" s="27"/>
      <c r="P8" s="27"/>
      <c r="Q8" s="27"/>
      <c r="R8" s="28"/>
      <c r="S8" s="27"/>
      <c r="T8" s="27"/>
      <c r="U8" s="27"/>
      <c r="V8" s="29"/>
      <c r="W8" s="27"/>
      <c r="X8" s="30"/>
      <c r="Y8" s="27"/>
      <c r="Z8" s="31" t="s">
        <v>26</v>
      </c>
      <c r="AA8" s="27"/>
      <c r="AB8" s="27"/>
      <c r="AC8" s="27"/>
      <c r="AD8" s="28"/>
      <c r="AE8" s="27"/>
      <c r="AF8" s="27"/>
      <c r="AG8" s="27"/>
      <c r="AH8" s="29"/>
      <c r="AI8" s="27"/>
      <c r="AJ8" s="30"/>
    </row>
    <row r="9" spans="1:36" s="11" customFormat="1" ht="18">
      <c r="A9" s="27"/>
      <c r="B9" s="27"/>
      <c r="C9" s="27"/>
      <c r="D9" s="27"/>
      <c r="E9" s="28"/>
      <c r="F9" s="27"/>
      <c r="G9" s="27"/>
      <c r="H9" s="27"/>
      <c r="I9" s="29"/>
      <c r="J9" s="27"/>
      <c r="K9" s="27"/>
      <c r="L9" s="27"/>
      <c r="M9" s="27"/>
      <c r="N9" s="27"/>
      <c r="O9" s="27"/>
      <c r="P9" s="27"/>
      <c r="Q9" s="27"/>
      <c r="R9" s="28"/>
      <c r="S9" s="27"/>
      <c r="T9" s="27"/>
      <c r="U9" s="27"/>
      <c r="V9" s="29"/>
      <c r="W9" s="27"/>
      <c r="X9" s="30"/>
      <c r="Y9" s="27"/>
      <c r="Z9" s="27"/>
      <c r="AA9" s="27"/>
      <c r="AB9" s="27"/>
      <c r="AC9" s="27"/>
      <c r="AD9" s="28"/>
      <c r="AE9" s="27"/>
      <c r="AF9" s="27"/>
      <c r="AG9" s="27"/>
      <c r="AH9" s="29"/>
      <c r="AI9" s="27"/>
      <c r="AJ9" s="30"/>
    </row>
    <row r="10" spans="1:36" s="11" customFormat="1" ht="18">
      <c r="A10" s="27" t="s">
        <v>27</v>
      </c>
      <c r="B10" s="27"/>
      <c r="C10" s="27"/>
      <c r="D10" s="27"/>
      <c r="E10" s="28"/>
      <c r="F10" s="27"/>
      <c r="G10" s="32">
        <v>5688.94</v>
      </c>
      <c r="H10" s="27"/>
      <c r="I10" s="29"/>
      <c r="J10" s="27"/>
      <c r="K10" s="27"/>
      <c r="L10" s="27"/>
      <c r="M10" s="27"/>
      <c r="N10" s="27" t="s">
        <v>27</v>
      </c>
      <c r="O10" s="27"/>
      <c r="P10" s="27"/>
      <c r="Q10" s="27"/>
      <c r="R10" s="28"/>
      <c r="S10" s="27"/>
      <c r="T10" s="32">
        <f>+V31/R31</f>
        <v>5089.883837968739</v>
      </c>
      <c r="U10" s="27"/>
      <c r="V10" s="29"/>
      <c r="W10" s="27"/>
      <c r="X10" s="30"/>
      <c r="Y10" s="27"/>
      <c r="Z10" s="27" t="s">
        <v>27</v>
      </c>
      <c r="AA10" s="27"/>
      <c r="AB10" s="27"/>
      <c r="AC10" s="27"/>
      <c r="AD10" s="28"/>
      <c r="AE10" s="27"/>
      <c r="AF10" s="32">
        <v>5002.251058920476</v>
      </c>
      <c r="AG10" s="27"/>
      <c r="AH10" s="29"/>
      <c r="AI10" s="27"/>
      <c r="AJ10" s="30"/>
    </row>
    <row r="11" spans="1:36" s="11" customFormat="1" ht="18">
      <c r="A11" s="27" t="s">
        <v>28</v>
      </c>
      <c r="B11" s="27"/>
      <c r="C11" s="27"/>
      <c r="D11" s="27"/>
      <c r="E11" s="28"/>
      <c r="F11" s="27"/>
      <c r="G11" s="33" t="s">
        <v>29</v>
      </c>
      <c r="H11" s="27"/>
      <c r="I11" s="29"/>
      <c r="J11" s="27"/>
      <c r="K11" s="27"/>
      <c r="L11" s="27"/>
      <c r="M11" s="27"/>
      <c r="N11" s="27" t="s">
        <v>28</v>
      </c>
      <c r="O11" s="27"/>
      <c r="P11" s="27"/>
      <c r="Q11" s="27"/>
      <c r="R11" s="28"/>
      <c r="S11" s="27"/>
      <c r="T11" s="34">
        <v>61.08</v>
      </c>
      <c r="U11" s="27" t="s">
        <v>80</v>
      </c>
      <c r="V11" s="29"/>
      <c r="W11" s="27"/>
      <c r="X11" s="30"/>
      <c r="Y11" s="27"/>
      <c r="Z11" s="27" t="s">
        <v>28</v>
      </c>
      <c r="AA11" s="27"/>
      <c r="AB11" s="27"/>
      <c r="AC11" s="27"/>
      <c r="AD11" s="28"/>
      <c r="AE11" s="27"/>
      <c r="AF11" s="34">
        <v>59.00478854419555</v>
      </c>
      <c r="AG11" s="27" t="s">
        <v>80</v>
      </c>
      <c r="AH11" s="29"/>
      <c r="AI11" s="27"/>
      <c r="AJ11" s="30"/>
    </row>
    <row r="12" spans="1:36" s="11" customFormat="1" ht="18">
      <c r="A12" s="27" t="s">
        <v>30</v>
      </c>
      <c r="B12" s="27"/>
      <c r="C12" s="27"/>
      <c r="D12" s="27"/>
      <c r="E12" s="28"/>
      <c r="F12" s="27"/>
      <c r="G12" s="35">
        <v>0.1939</v>
      </c>
      <c r="H12" s="27"/>
      <c r="I12" s="29"/>
      <c r="J12" s="27"/>
      <c r="K12" s="27"/>
      <c r="L12" s="27"/>
      <c r="M12" s="27"/>
      <c r="N12" s="27" t="s">
        <v>30</v>
      </c>
      <c r="O12" s="27"/>
      <c r="P12" s="27"/>
      <c r="Q12" s="27"/>
      <c r="R12" s="28"/>
      <c r="S12" s="27"/>
      <c r="T12" s="35">
        <v>0.1892</v>
      </c>
      <c r="U12" s="27"/>
      <c r="V12" s="29"/>
      <c r="W12" s="27"/>
      <c r="X12" s="30"/>
      <c r="Y12" s="27"/>
      <c r="Z12" s="27" t="s">
        <v>30</v>
      </c>
      <c r="AA12" s="27"/>
      <c r="AB12" s="27"/>
      <c r="AC12" s="27"/>
      <c r="AD12" s="28"/>
      <c r="AE12" s="27"/>
      <c r="AF12" s="35">
        <v>0.1885</v>
      </c>
      <c r="AG12" s="27"/>
      <c r="AH12" s="29"/>
      <c r="AI12" s="27"/>
      <c r="AJ12" s="30"/>
    </row>
    <row r="13" spans="1:36" s="11" customFormat="1" ht="18">
      <c r="A13" s="27" t="s">
        <v>31</v>
      </c>
      <c r="B13" s="27"/>
      <c r="C13" s="27"/>
      <c r="D13" s="27"/>
      <c r="E13" s="28"/>
      <c r="F13" s="27"/>
      <c r="G13" s="33" t="s">
        <v>32</v>
      </c>
      <c r="H13" s="27"/>
      <c r="I13" s="29"/>
      <c r="J13" s="27"/>
      <c r="K13" s="27"/>
      <c r="L13" s="27"/>
      <c r="M13" s="27"/>
      <c r="N13" s="27" t="s">
        <v>31</v>
      </c>
      <c r="O13" s="27"/>
      <c r="P13" s="27"/>
      <c r="Q13" s="27"/>
      <c r="R13" s="28"/>
      <c r="S13" s="27"/>
      <c r="T13" s="34">
        <v>81.48</v>
      </c>
      <c r="U13" s="27" t="s">
        <v>80</v>
      </c>
      <c r="V13" s="29"/>
      <c r="W13" s="27"/>
      <c r="X13" s="30"/>
      <c r="Y13" s="27"/>
      <c r="Z13" s="27" t="s">
        <v>31</v>
      </c>
      <c r="AA13" s="27"/>
      <c r="AB13" s="27"/>
      <c r="AC13" s="27"/>
      <c r="AD13" s="28"/>
      <c r="AE13" s="27"/>
      <c r="AF13" s="34">
        <v>82.44833030206972</v>
      </c>
      <c r="AG13" s="27" t="s">
        <v>80</v>
      </c>
      <c r="AH13" s="29"/>
      <c r="AI13" s="27"/>
      <c r="AJ13" s="30"/>
    </row>
    <row r="14" spans="1:36" s="11" customFormat="1" ht="18">
      <c r="A14" s="27" t="s">
        <v>33</v>
      </c>
      <c r="B14" s="27"/>
      <c r="C14" s="27"/>
      <c r="D14" s="27"/>
      <c r="E14" s="28"/>
      <c r="F14" s="27"/>
      <c r="G14" s="33" t="s">
        <v>34</v>
      </c>
      <c r="H14" s="27"/>
      <c r="I14" s="29"/>
      <c r="J14" s="27"/>
      <c r="K14" s="27"/>
      <c r="L14" s="27"/>
      <c r="M14" s="27"/>
      <c r="N14" s="27" t="s">
        <v>33</v>
      </c>
      <c r="O14" s="27"/>
      <c r="P14" s="27"/>
      <c r="Q14" s="27"/>
      <c r="R14" s="28"/>
      <c r="S14" s="27"/>
      <c r="T14" s="34">
        <v>49.69</v>
      </c>
      <c r="U14" s="27" t="s">
        <v>80</v>
      </c>
      <c r="V14" s="29"/>
      <c r="W14" s="27"/>
      <c r="X14" s="30"/>
      <c r="Y14" s="27"/>
      <c r="Z14" s="27" t="s">
        <v>33</v>
      </c>
      <c r="AA14" s="27"/>
      <c r="AB14" s="27"/>
      <c r="AC14" s="27"/>
      <c r="AD14" s="28"/>
      <c r="AE14" s="27"/>
      <c r="AF14" s="34">
        <v>47.48</v>
      </c>
      <c r="AG14" s="27" t="s">
        <v>80</v>
      </c>
      <c r="AH14" s="29"/>
      <c r="AI14" s="27"/>
      <c r="AJ14" s="30"/>
    </row>
    <row r="15" spans="1:36" s="11" customFormat="1" ht="18">
      <c r="A15" s="27"/>
      <c r="B15" s="27"/>
      <c r="C15" s="27"/>
      <c r="D15" s="27"/>
      <c r="E15" s="28"/>
      <c r="F15" s="27"/>
      <c r="G15" s="27"/>
      <c r="H15" s="27"/>
      <c r="I15" s="29"/>
      <c r="J15" s="27"/>
      <c r="K15" s="27"/>
      <c r="L15" s="27"/>
      <c r="M15" s="27"/>
      <c r="N15" s="27"/>
      <c r="O15" s="27"/>
      <c r="P15" s="27"/>
      <c r="Q15" s="27"/>
      <c r="R15" s="28"/>
      <c r="S15" s="27"/>
      <c r="T15" s="27"/>
      <c r="U15" s="27"/>
      <c r="V15" s="29"/>
      <c r="W15" s="27"/>
      <c r="X15" s="30"/>
      <c r="Y15" s="27"/>
      <c r="Z15" s="27"/>
      <c r="AA15" s="27"/>
      <c r="AB15" s="27"/>
      <c r="AC15" s="27"/>
      <c r="AD15" s="28"/>
      <c r="AE15" s="27"/>
      <c r="AF15" s="27"/>
      <c r="AG15" s="27"/>
      <c r="AH15" s="29"/>
      <c r="AI15" s="27"/>
      <c r="AJ15" s="30"/>
    </row>
    <row r="16" spans="1:36" s="11" customFormat="1" ht="18">
      <c r="A16" s="27"/>
      <c r="B16" s="27"/>
      <c r="C16" s="27"/>
      <c r="D16" s="27"/>
      <c r="E16" s="28"/>
      <c r="F16" s="27"/>
      <c r="G16" s="27"/>
      <c r="H16" s="27"/>
      <c r="I16" s="29"/>
      <c r="J16" s="27"/>
      <c r="K16" s="27"/>
      <c r="L16" s="27"/>
      <c r="M16" s="27"/>
      <c r="N16" s="27"/>
      <c r="O16" s="27"/>
      <c r="P16" s="27"/>
      <c r="Q16" s="27"/>
      <c r="R16" s="28"/>
      <c r="S16" s="27"/>
      <c r="T16" s="27"/>
      <c r="U16" s="27"/>
      <c r="V16" s="29"/>
      <c r="W16" s="27"/>
      <c r="X16" s="30"/>
      <c r="Y16" s="27"/>
      <c r="Z16" s="27"/>
      <c r="AA16" s="27"/>
      <c r="AB16" s="27"/>
      <c r="AC16" s="27"/>
      <c r="AD16" s="28"/>
      <c r="AE16" s="27"/>
      <c r="AF16" s="27"/>
      <c r="AG16" s="27"/>
      <c r="AH16" s="29"/>
      <c r="AI16" s="27"/>
      <c r="AJ16" s="30"/>
    </row>
    <row r="17" spans="1:36" s="11" customFormat="1" ht="18.75">
      <c r="A17" s="36" t="s">
        <v>82</v>
      </c>
      <c r="B17" s="27"/>
      <c r="C17" s="27"/>
      <c r="D17" s="27"/>
      <c r="E17" s="28"/>
      <c r="F17" s="27"/>
      <c r="G17" s="27"/>
      <c r="H17" s="27"/>
      <c r="I17" s="29"/>
      <c r="J17" s="27"/>
      <c r="K17" s="27"/>
      <c r="L17" s="27"/>
      <c r="M17" s="27"/>
      <c r="N17" s="36" t="s">
        <v>82</v>
      </c>
      <c r="O17" s="27"/>
      <c r="P17" s="27"/>
      <c r="Q17" s="27"/>
      <c r="R17" s="28"/>
      <c r="S17" s="27"/>
      <c r="T17" s="27"/>
      <c r="U17" s="27"/>
      <c r="V17" s="29"/>
      <c r="W17" s="27"/>
      <c r="X17" s="30"/>
      <c r="Y17" s="27"/>
      <c r="Z17" s="36" t="s">
        <v>82</v>
      </c>
      <c r="AA17" s="27"/>
      <c r="AB17" s="27"/>
      <c r="AC17" s="27"/>
      <c r="AD17" s="28"/>
      <c r="AE17" s="27"/>
      <c r="AF17" s="106"/>
      <c r="AG17" s="27"/>
      <c r="AH17" s="29"/>
      <c r="AI17" s="27"/>
      <c r="AJ17" s="30"/>
    </row>
    <row r="18" spans="1:36" s="11" customFormat="1" ht="18">
      <c r="A18" s="27"/>
      <c r="B18" s="27"/>
      <c r="C18" s="27"/>
      <c r="D18" s="27"/>
      <c r="E18" s="28"/>
      <c r="F18" s="27"/>
      <c r="G18" s="27"/>
      <c r="H18" s="27"/>
      <c r="I18" s="29"/>
      <c r="J18" s="27"/>
      <c r="K18" s="27"/>
      <c r="L18" s="27"/>
      <c r="M18" s="27"/>
      <c r="N18" s="27"/>
      <c r="O18" s="27"/>
      <c r="P18" s="27"/>
      <c r="Q18" s="27"/>
      <c r="R18" s="28"/>
      <c r="S18" s="27"/>
      <c r="T18" s="27"/>
      <c r="U18" s="27"/>
      <c r="V18" s="29"/>
      <c r="W18" s="27"/>
      <c r="X18" s="30"/>
      <c r="Y18" s="27"/>
      <c r="Z18" s="27"/>
      <c r="AA18" s="27"/>
      <c r="AB18" s="27"/>
      <c r="AC18" s="27"/>
      <c r="AD18" s="28"/>
      <c r="AE18" s="27"/>
      <c r="AF18" s="27"/>
      <c r="AG18" s="27"/>
      <c r="AH18" s="29"/>
      <c r="AI18" s="27"/>
      <c r="AJ18" s="30"/>
    </row>
    <row r="19" spans="1:36" s="63" customFormat="1" ht="18">
      <c r="A19" s="59"/>
      <c r="B19" s="59"/>
      <c r="C19" s="59"/>
      <c r="D19" s="59"/>
      <c r="E19" s="60" t="s">
        <v>83</v>
      </c>
      <c r="F19" s="59"/>
      <c r="G19" s="61" t="s">
        <v>84</v>
      </c>
      <c r="H19" s="59"/>
      <c r="I19" s="62" t="s">
        <v>85</v>
      </c>
      <c r="J19" s="59"/>
      <c r="K19" s="61" t="s">
        <v>84</v>
      </c>
      <c r="L19" s="61"/>
      <c r="M19" s="59"/>
      <c r="N19" s="97"/>
      <c r="O19" s="97"/>
      <c r="P19" s="97"/>
      <c r="Q19" s="97"/>
      <c r="R19" s="60" t="s">
        <v>83</v>
      </c>
      <c r="S19" s="59"/>
      <c r="T19" s="61" t="s">
        <v>84</v>
      </c>
      <c r="U19" s="59"/>
      <c r="V19" s="62" t="s">
        <v>85</v>
      </c>
      <c r="W19" s="59"/>
      <c r="X19" s="61" t="s">
        <v>84</v>
      </c>
      <c r="Y19" s="59"/>
      <c r="Z19" s="97"/>
      <c r="AA19" s="97"/>
      <c r="AB19" s="97"/>
      <c r="AC19" s="97"/>
      <c r="AD19" s="60" t="s">
        <v>83</v>
      </c>
      <c r="AE19" s="59"/>
      <c r="AF19" s="61" t="s">
        <v>84</v>
      </c>
      <c r="AG19" s="59"/>
      <c r="AH19" s="62" t="s">
        <v>85</v>
      </c>
      <c r="AI19" s="59"/>
      <c r="AJ19" s="61" t="s">
        <v>84</v>
      </c>
    </row>
    <row r="20" spans="1:36" s="11" customFormat="1" ht="18">
      <c r="A20" s="27"/>
      <c r="B20" s="27"/>
      <c r="C20" s="27"/>
      <c r="D20" s="27"/>
      <c r="E20" s="28"/>
      <c r="F20" s="27"/>
      <c r="G20" s="27"/>
      <c r="H20" s="27"/>
      <c r="I20" s="29"/>
      <c r="J20" s="27"/>
      <c r="K20" s="27"/>
      <c r="L20" s="27"/>
      <c r="M20" s="27"/>
      <c r="N20" s="27"/>
      <c r="O20" s="27"/>
      <c r="P20" s="27"/>
      <c r="Q20" s="27"/>
      <c r="R20" s="28"/>
      <c r="S20" s="27"/>
      <c r="T20" s="27"/>
      <c r="U20" s="27"/>
      <c r="V20" s="29"/>
      <c r="W20" s="27"/>
      <c r="X20" s="30"/>
      <c r="Y20" s="27"/>
      <c r="Z20" s="27"/>
      <c r="AA20" s="27"/>
      <c r="AB20" s="27"/>
      <c r="AC20" s="27"/>
      <c r="AD20" s="28"/>
      <c r="AE20" s="27"/>
      <c r="AF20" s="27"/>
      <c r="AG20" s="27"/>
      <c r="AH20" s="29"/>
      <c r="AI20" s="27"/>
      <c r="AJ20" s="30"/>
    </row>
    <row r="21" spans="1:36" s="11" customFormat="1" ht="18">
      <c r="A21" s="27" t="s">
        <v>35</v>
      </c>
      <c r="B21" s="27"/>
      <c r="C21" s="27"/>
      <c r="D21" s="27"/>
      <c r="E21" s="28">
        <v>5405</v>
      </c>
      <c r="F21" s="27"/>
      <c r="G21" s="30">
        <v>0.11312264545835077</v>
      </c>
      <c r="H21" s="27"/>
      <c r="I21" s="29">
        <v>7377468.38</v>
      </c>
      <c r="J21" s="27"/>
      <c r="K21" s="30">
        <v>0.02714127146222967</v>
      </c>
      <c r="L21" s="30"/>
      <c r="M21" s="27"/>
      <c r="N21" s="27" t="s">
        <v>35</v>
      </c>
      <c r="O21" s="27"/>
      <c r="P21" s="27"/>
      <c r="Q21" s="27"/>
      <c r="R21" s="28">
        <v>3222</v>
      </c>
      <c r="S21" s="27"/>
      <c r="T21" s="30">
        <f>+R21/$R$31</f>
        <v>0.11822117854259925</v>
      </c>
      <c r="U21" s="27"/>
      <c r="V21" s="29">
        <v>2252525.81</v>
      </c>
      <c r="W21" s="27"/>
      <c r="X21" s="30">
        <f>+V21/$V$31</f>
        <v>0.016237966961284128</v>
      </c>
      <c r="Y21" s="27"/>
      <c r="Z21" s="27" t="s">
        <v>35</v>
      </c>
      <c r="AA21" s="27"/>
      <c r="AB21" s="27"/>
      <c r="AC21" s="27"/>
      <c r="AD21" s="28">
        <v>3152</v>
      </c>
      <c r="AE21" s="27"/>
      <c r="AF21" s="30">
        <v>0.11806570026594748</v>
      </c>
      <c r="AG21" s="27"/>
      <c r="AH21" s="29">
        <v>2156773.7</v>
      </c>
      <c r="AI21" s="27"/>
      <c r="AJ21" s="30">
        <v>0.01615015269150671</v>
      </c>
    </row>
    <row r="22" spans="1:36" s="11" customFormat="1" ht="18">
      <c r="A22" s="27" t="s">
        <v>36</v>
      </c>
      <c r="B22" s="27"/>
      <c r="C22" s="27"/>
      <c r="D22" s="27"/>
      <c r="E22" s="28">
        <v>10521</v>
      </c>
      <c r="F22" s="27"/>
      <c r="G22" s="30">
        <v>0.22019673503557974</v>
      </c>
      <c r="H22" s="27"/>
      <c r="I22" s="29">
        <v>29004410.65</v>
      </c>
      <c r="J22" s="27"/>
      <c r="K22" s="30">
        <v>0.10670551773393508</v>
      </c>
      <c r="L22" s="30"/>
      <c r="M22" s="27"/>
      <c r="N22" s="27" t="s">
        <v>36</v>
      </c>
      <c r="O22" s="27"/>
      <c r="P22" s="27"/>
      <c r="Q22" s="27"/>
      <c r="R22" s="28">
        <v>5803</v>
      </c>
      <c r="S22" s="27"/>
      <c r="T22" s="30">
        <f aca="true" t="shared" si="0" ref="T22:T29">+R22/$R$31</f>
        <v>0.21292287370661186</v>
      </c>
      <c r="U22" s="27"/>
      <c r="V22" s="29">
        <v>10503021.13</v>
      </c>
      <c r="W22" s="27"/>
      <c r="X22" s="30">
        <f aca="true" t="shared" si="1" ref="X22:X29">+V22/$V$31</f>
        <v>0.07571398709194328</v>
      </c>
      <c r="Y22" s="27"/>
      <c r="Z22" s="27" t="s">
        <v>36</v>
      </c>
      <c r="AA22" s="27"/>
      <c r="AB22" s="27"/>
      <c r="AC22" s="27"/>
      <c r="AD22" s="28">
        <v>5709</v>
      </c>
      <c r="AE22" s="27"/>
      <c r="AF22" s="30">
        <v>0.2138442521631644</v>
      </c>
      <c r="AG22" s="27"/>
      <c r="AH22" s="29">
        <v>10075002.49999999</v>
      </c>
      <c r="AI22" s="27"/>
      <c r="AJ22" s="30">
        <v>0.07544269885260176</v>
      </c>
    </row>
    <row r="23" spans="1:36" s="11" customFormat="1" ht="18">
      <c r="A23" s="27" t="s">
        <v>37</v>
      </c>
      <c r="B23" s="27"/>
      <c r="C23" s="27"/>
      <c r="D23" s="27"/>
      <c r="E23" s="28">
        <v>11720</v>
      </c>
      <c r="F23" s="27"/>
      <c r="G23" s="30">
        <v>0.24529091670154876</v>
      </c>
      <c r="H23" s="27"/>
      <c r="I23" s="29">
        <v>52906601.31</v>
      </c>
      <c r="J23" s="27"/>
      <c r="K23" s="30">
        <v>0.19464026876637944</v>
      </c>
      <c r="L23" s="30"/>
      <c r="M23" s="27"/>
      <c r="N23" s="27" t="s">
        <v>37</v>
      </c>
      <c r="O23" s="27"/>
      <c r="P23" s="27"/>
      <c r="Q23" s="27"/>
      <c r="R23" s="28">
        <v>5873</v>
      </c>
      <c r="S23" s="27"/>
      <c r="T23" s="30">
        <f t="shared" si="0"/>
        <v>0.21549130402876643</v>
      </c>
      <c r="U23" s="27"/>
      <c r="V23" s="29">
        <v>19980247.08</v>
      </c>
      <c r="W23" s="27"/>
      <c r="X23" s="30">
        <f t="shared" si="1"/>
        <v>0.14403324060616807</v>
      </c>
      <c r="Y23" s="27"/>
      <c r="Z23" s="27" t="s">
        <v>37</v>
      </c>
      <c r="AA23" s="27"/>
      <c r="AB23" s="27"/>
      <c r="AC23" s="27"/>
      <c r="AD23" s="28">
        <v>5774</v>
      </c>
      <c r="AE23" s="27"/>
      <c r="AF23" s="30">
        <v>0.2162789826572274</v>
      </c>
      <c r="AG23" s="27"/>
      <c r="AH23" s="29">
        <v>19121784.079999972</v>
      </c>
      <c r="AI23" s="27"/>
      <c r="AJ23" s="30">
        <v>0.14318596922153753</v>
      </c>
    </row>
    <row r="24" spans="1:36" s="11" customFormat="1" ht="18">
      <c r="A24" s="27" t="s">
        <v>38</v>
      </c>
      <c r="B24" s="27"/>
      <c r="C24" s="27"/>
      <c r="D24" s="27"/>
      <c r="E24" s="28">
        <v>7040</v>
      </c>
      <c r="F24" s="27"/>
      <c r="G24" s="30">
        <v>0.1473419840937631</v>
      </c>
      <c r="H24" s="27"/>
      <c r="I24" s="29">
        <v>44958349.99</v>
      </c>
      <c r="J24" s="27"/>
      <c r="K24" s="30">
        <v>0.1653991205005369</v>
      </c>
      <c r="L24" s="30"/>
      <c r="M24" s="27"/>
      <c r="N24" s="27" t="s">
        <v>38</v>
      </c>
      <c r="O24" s="27"/>
      <c r="P24" s="27"/>
      <c r="Q24" s="27"/>
      <c r="R24" s="28">
        <v>3776</v>
      </c>
      <c r="S24" s="27"/>
      <c r="T24" s="30">
        <f t="shared" si="0"/>
        <v>0.13854846994936523</v>
      </c>
      <c r="U24" s="27"/>
      <c r="V24" s="29">
        <v>18735490.48</v>
      </c>
      <c r="W24" s="27"/>
      <c r="X24" s="30">
        <f t="shared" si="1"/>
        <v>0.13506006193895434</v>
      </c>
      <c r="Y24" s="27"/>
      <c r="Z24" s="27" t="s">
        <v>38</v>
      </c>
      <c r="AA24" s="27"/>
      <c r="AB24" s="27"/>
      <c r="AC24" s="27"/>
      <c r="AD24" s="28">
        <v>3709</v>
      </c>
      <c r="AE24" s="27"/>
      <c r="AF24" s="30">
        <v>0.1389294677304566</v>
      </c>
      <c r="AG24" s="27"/>
      <c r="AH24" s="29">
        <v>17998574.900000013</v>
      </c>
      <c r="AI24" s="27"/>
      <c r="AJ24" s="30">
        <v>0.13477525846337993</v>
      </c>
    </row>
    <row r="25" spans="1:36" s="11" customFormat="1" ht="18">
      <c r="A25" s="27" t="s">
        <v>39</v>
      </c>
      <c r="B25" s="27"/>
      <c r="C25" s="27"/>
      <c r="D25" s="27"/>
      <c r="E25" s="28">
        <v>3362</v>
      </c>
      <c r="F25" s="27"/>
      <c r="G25" s="30">
        <v>0.07036416910841356</v>
      </c>
      <c r="H25" s="27"/>
      <c r="I25" s="29">
        <v>26979129.12</v>
      </c>
      <c r="J25" s="27"/>
      <c r="K25" s="30">
        <v>0.09925462632216195</v>
      </c>
      <c r="L25" s="30"/>
      <c r="M25" s="27"/>
      <c r="N25" s="27" t="s">
        <v>39</v>
      </c>
      <c r="O25" s="27"/>
      <c r="P25" s="27"/>
      <c r="Q25" s="27"/>
      <c r="R25" s="28">
        <f>3147+125</f>
        <v>3272</v>
      </c>
      <c r="S25" s="27"/>
      <c r="T25" s="30">
        <f t="shared" si="0"/>
        <v>0.1200557716298525</v>
      </c>
      <c r="U25" s="27"/>
      <c r="V25" s="29">
        <f>21593556.93+664376.24</f>
        <v>22257933.169999998</v>
      </c>
      <c r="W25" s="27"/>
      <c r="X25" s="30">
        <f t="shared" si="1"/>
        <v>0.1604525825348612</v>
      </c>
      <c r="Y25" s="27"/>
      <c r="Z25" s="27" t="s">
        <v>39</v>
      </c>
      <c r="AA25" s="27"/>
      <c r="AB25" s="27"/>
      <c r="AC25" s="27"/>
      <c r="AD25" s="28">
        <v>3115</v>
      </c>
      <c r="AE25" s="27"/>
      <c r="AF25" s="30">
        <v>0.1166797767539424</v>
      </c>
      <c r="AG25" s="27"/>
      <c r="AH25" s="29">
        <v>20859196.059999987</v>
      </c>
      <c r="AI25" s="27"/>
      <c r="AJ25" s="30">
        <v>0.15619589639426468</v>
      </c>
    </row>
    <row r="26" spans="1:36" s="11" customFormat="1" ht="18">
      <c r="A26" s="27" t="s">
        <v>40</v>
      </c>
      <c r="B26" s="27"/>
      <c r="C26" s="27"/>
      <c r="D26" s="27"/>
      <c r="E26" s="28">
        <v>5440</v>
      </c>
      <c r="F26" s="27"/>
      <c r="G26" s="30">
        <v>0.11385516952699874</v>
      </c>
      <c r="H26" s="27"/>
      <c r="I26" s="29">
        <v>52542471.41</v>
      </c>
      <c r="J26" s="27"/>
      <c r="K26" s="30">
        <v>0.19330065632016322</v>
      </c>
      <c r="L26" s="30"/>
      <c r="M26" s="27"/>
      <c r="N26" s="27" t="s">
        <v>40</v>
      </c>
      <c r="O26" s="27"/>
      <c r="P26" s="27"/>
      <c r="Q26" s="27"/>
      <c r="R26" s="28">
        <f>1574+714</f>
        <v>2288</v>
      </c>
      <c r="S26" s="27"/>
      <c r="T26" s="30">
        <f t="shared" si="0"/>
        <v>0.08395097967270859</v>
      </c>
      <c r="U26" s="27"/>
      <c r="V26" s="29">
        <f>14188980.68+15378015.7</f>
        <v>29566996.38</v>
      </c>
      <c r="W26" s="27"/>
      <c r="X26" s="30">
        <f t="shared" si="1"/>
        <v>0.21314202404759452</v>
      </c>
      <c r="Y26" s="27"/>
      <c r="Z26" s="27" t="s">
        <v>40</v>
      </c>
      <c r="AA26" s="27"/>
      <c r="AB26" s="27"/>
      <c r="AC26" s="27"/>
      <c r="AD26" s="28">
        <v>2256</v>
      </c>
      <c r="AE26" s="27"/>
      <c r="AF26" s="30">
        <v>0.08450387684009439</v>
      </c>
      <c r="AG26" s="27"/>
      <c r="AH26" s="29">
        <v>28826445.179999985</v>
      </c>
      <c r="AI26" s="27"/>
      <c r="AJ26" s="30">
        <v>0.21585551196694733</v>
      </c>
    </row>
    <row r="27" spans="1:36" s="11" customFormat="1" ht="18">
      <c r="A27" s="27" t="s">
        <v>41</v>
      </c>
      <c r="B27" s="27"/>
      <c r="C27" s="27"/>
      <c r="D27" s="27"/>
      <c r="E27" s="28">
        <v>1086</v>
      </c>
      <c r="F27" s="27"/>
      <c r="G27" s="30">
        <v>0.022729175387191294</v>
      </c>
      <c r="H27" s="27"/>
      <c r="I27" s="29">
        <v>12582707.65</v>
      </c>
      <c r="J27" s="27"/>
      <c r="K27" s="30">
        <v>0.04629104002456246</v>
      </c>
      <c r="L27" s="30"/>
      <c r="M27" s="27"/>
      <c r="N27" s="27" t="s">
        <v>41</v>
      </c>
      <c r="O27" s="27"/>
      <c r="P27" s="27"/>
      <c r="Q27" s="27"/>
      <c r="R27" s="28">
        <v>1146</v>
      </c>
      <c r="S27" s="27"/>
      <c r="T27" s="30">
        <f t="shared" si="0"/>
        <v>0.04204887355984443</v>
      </c>
      <c r="U27" s="27"/>
      <c r="V27" s="29">
        <v>11810568.69</v>
      </c>
      <c r="W27" s="27"/>
      <c r="X27" s="30">
        <f t="shared" si="1"/>
        <v>0.08513981208596973</v>
      </c>
      <c r="Y27" s="27"/>
      <c r="Z27" s="27" t="s">
        <v>41</v>
      </c>
      <c r="AA27" s="27"/>
      <c r="AB27" s="27"/>
      <c r="AC27" s="27"/>
      <c r="AD27" s="28">
        <v>1133</v>
      </c>
      <c r="AE27" s="27"/>
      <c r="AF27" s="30">
        <v>0.042439225381128966</v>
      </c>
      <c r="AG27" s="27"/>
      <c r="AH27" s="29">
        <v>11497640.510000002</v>
      </c>
      <c r="AI27" s="27"/>
      <c r="AJ27" s="30">
        <v>0.08609556479131449</v>
      </c>
    </row>
    <row r="28" spans="1:36" s="11" customFormat="1" ht="18">
      <c r="A28" s="27" t="s">
        <v>42</v>
      </c>
      <c r="B28" s="27"/>
      <c r="C28" s="27"/>
      <c r="D28" s="27"/>
      <c r="E28" s="28">
        <v>3205</v>
      </c>
      <c r="F28" s="27"/>
      <c r="G28" s="30">
        <v>0.06707827542904982</v>
      </c>
      <c r="H28" s="27"/>
      <c r="I28" s="29">
        <v>45458664.17</v>
      </c>
      <c r="J28" s="27"/>
      <c r="K28" s="30">
        <v>0.16723974688839038</v>
      </c>
      <c r="L28" s="30"/>
      <c r="M28" s="27"/>
      <c r="N28" s="27" t="s">
        <v>42</v>
      </c>
      <c r="O28" s="27"/>
      <c r="P28" s="27"/>
      <c r="Q28" s="27"/>
      <c r="R28" s="28">
        <v>1874</v>
      </c>
      <c r="S28" s="27"/>
      <c r="T28" s="30">
        <f t="shared" si="0"/>
        <v>0.06876054891025171</v>
      </c>
      <c r="U28" s="27"/>
      <c r="V28" s="29">
        <v>23612911.38</v>
      </c>
      <c r="W28" s="27"/>
      <c r="X28" s="30">
        <f t="shared" si="1"/>
        <v>0.17022032473322468</v>
      </c>
      <c r="Y28" s="27"/>
      <c r="Z28" s="27" t="s">
        <v>42</v>
      </c>
      <c r="AA28" s="27"/>
      <c r="AB28" s="27"/>
      <c r="AC28" s="27"/>
      <c r="AD28" s="28">
        <v>1849</v>
      </c>
      <c r="AE28" s="27"/>
      <c r="AF28" s="30">
        <v>0.06925871820803836</v>
      </c>
      <c r="AG28" s="27"/>
      <c r="AH28" s="29">
        <v>23009679.589999996</v>
      </c>
      <c r="AI28" s="27"/>
      <c r="AJ28" s="30">
        <v>0.17229894761844758</v>
      </c>
    </row>
    <row r="29" spans="1:36" s="11" customFormat="1" ht="18">
      <c r="A29" s="27" t="s">
        <v>43</v>
      </c>
      <c r="B29" s="27"/>
      <c r="C29" s="27"/>
      <c r="D29" s="27"/>
      <c r="E29" s="28">
        <v>1</v>
      </c>
      <c r="F29" s="27"/>
      <c r="G29" s="30">
        <v>2.092925910422771E-05</v>
      </c>
      <c r="H29" s="27"/>
      <c r="I29" s="29">
        <v>7543.47</v>
      </c>
      <c r="J29" s="27"/>
      <c r="K29" s="30">
        <v>2.775198164077874E-05</v>
      </c>
      <c r="L29" s="30"/>
      <c r="M29" s="27"/>
      <c r="N29" s="27" t="s">
        <v>43</v>
      </c>
      <c r="O29" s="27"/>
      <c r="P29" s="27"/>
      <c r="Q29" s="27"/>
      <c r="R29" s="29">
        <v>0</v>
      </c>
      <c r="S29" s="27"/>
      <c r="T29" s="30">
        <f t="shared" si="0"/>
        <v>0</v>
      </c>
      <c r="U29" s="27"/>
      <c r="V29" s="29">
        <v>0</v>
      </c>
      <c r="W29" s="27"/>
      <c r="X29" s="30">
        <f t="shared" si="1"/>
        <v>0</v>
      </c>
      <c r="Y29" s="27"/>
      <c r="Z29" s="27" t="s">
        <v>43</v>
      </c>
      <c r="AA29" s="27"/>
      <c r="AB29" s="27"/>
      <c r="AC29" s="27"/>
      <c r="AD29" s="29"/>
      <c r="AE29" s="27"/>
      <c r="AF29" s="30">
        <v>0</v>
      </c>
      <c r="AG29" s="27"/>
      <c r="AH29" s="29"/>
      <c r="AI29" s="27"/>
      <c r="AJ29" s="30">
        <v>0</v>
      </c>
    </row>
    <row r="30" spans="1:36" s="11" customFormat="1" ht="18">
      <c r="A30" s="27"/>
      <c r="B30" s="27"/>
      <c r="C30" s="27"/>
      <c r="D30" s="27"/>
      <c r="E30" s="28"/>
      <c r="F30" s="27"/>
      <c r="G30" s="27"/>
      <c r="H30" s="27"/>
      <c r="I30" s="29"/>
      <c r="J30" s="27"/>
      <c r="K30" s="27"/>
      <c r="L30" s="27"/>
      <c r="M30" s="27"/>
      <c r="N30" s="27"/>
      <c r="O30" s="27"/>
      <c r="P30" s="27"/>
      <c r="Q30" s="27"/>
      <c r="R30" s="28"/>
      <c r="S30" s="27"/>
      <c r="T30" s="30"/>
      <c r="U30" s="27"/>
      <c r="V30" s="29"/>
      <c r="W30" s="27"/>
      <c r="X30" s="30"/>
      <c r="Y30" s="27"/>
      <c r="Z30" s="27"/>
      <c r="AA30" s="27"/>
      <c r="AB30" s="27"/>
      <c r="AC30" s="27"/>
      <c r="AD30" s="28"/>
      <c r="AE30" s="27"/>
      <c r="AF30" s="30"/>
      <c r="AG30" s="27"/>
      <c r="AH30" s="29"/>
      <c r="AI30" s="27"/>
      <c r="AJ30" s="30"/>
    </row>
    <row r="31" spans="1:36" s="12" customFormat="1" ht="18.75" thickBot="1">
      <c r="A31" s="26"/>
      <c r="B31" s="26"/>
      <c r="C31" s="26"/>
      <c r="D31" s="26"/>
      <c r="E31" s="70">
        <v>47780</v>
      </c>
      <c r="F31" s="26"/>
      <c r="G31" s="26"/>
      <c r="H31" s="26"/>
      <c r="I31" s="71">
        <v>271817346.15000004</v>
      </c>
      <c r="J31" s="26"/>
      <c r="K31" s="26"/>
      <c r="L31" s="26"/>
      <c r="M31" s="26"/>
      <c r="N31" s="97"/>
      <c r="O31" s="97"/>
      <c r="P31" s="97"/>
      <c r="Q31" s="97"/>
      <c r="R31" s="98">
        <f>SUM(R21:R30)</f>
        <v>27254</v>
      </c>
      <c r="S31" s="97"/>
      <c r="T31" s="99"/>
      <c r="U31" s="97"/>
      <c r="V31" s="100">
        <f>SUM(V21:V30)</f>
        <v>138719694.12</v>
      </c>
      <c r="W31" s="97"/>
      <c r="X31" s="99"/>
      <c r="Y31" s="26"/>
      <c r="Z31" s="97"/>
      <c r="AA31" s="97"/>
      <c r="AB31" s="97"/>
      <c r="AC31" s="97"/>
      <c r="AD31" s="98">
        <v>26697</v>
      </c>
      <c r="AE31" s="97"/>
      <c r="AF31" s="99"/>
      <c r="AG31" s="97"/>
      <c r="AH31" s="100">
        <v>133545096.51999995</v>
      </c>
      <c r="AI31" s="97"/>
      <c r="AJ31" s="99"/>
    </row>
    <row r="32" spans="1:36" s="11" customFormat="1" ht="18.75" thickTop="1">
      <c r="A32" s="27"/>
      <c r="B32" s="27"/>
      <c r="C32" s="27"/>
      <c r="D32" s="27"/>
      <c r="E32" s="28"/>
      <c r="F32" s="27"/>
      <c r="G32" s="27"/>
      <c r="H32" s="27"/>
      <c r="I32" s="29"/>
      <c r="J32" s="27"/>
      <c r="K32" s="27"/>
      <c r="L32" s="27"/>
      <c r="M32" s="27"/>
      <c r="N32" s="27"/>
      <c r="O32" s="27"/>
      <c r="P32" s="27"/>
      <c r="Q32" s="27"/>
      <c r="R32" s="28"/>
      <c r="S32" s="27"/>
      <c r="T32" s="30"/>
      <c r="U32" s="27"/>
      <c r="V32" s="29"/>
      <c r="W32" s="27"/>
      <c r="X32" s="30"/>
      <c r="Y32" s="27"/>
      <c r="Z32" s="27"/>
      <c r="AA32" s="27"/>
      <c r="AB32" s="27"/>
      <c r="AC32" s="27"/>
      <c r="AD32" s="28"/>
      <c r="AE32" s="27"/>
      <c r="AF32" s="30"/>
      <c r="AG32" s="27"/>
      <c r="AH32" s="29"/>
      <c r="AI32" s="27"/>
      <c r="AJ32" s="30"/>
    </row>
    <row r="33" spans="1:36" s="11" customFormat="1" ht="18">
      <c r="A33" s="27"/>
      <c r="B33" s="27"/>
      <c r="C33" s="27"/>
      <c r="D33" s="27"/>
      <c r="E33" s="28"/>
      <c r="F33" s="27"/>
      <c r="G33" s="27"/>
      <c r="H33" s="27"/>
      <c r="I33" s="29"/>
      <c r="J33" s="27"/>
      <c r="K33" s="27"/>
      <c r="L33" s="27"/>
      <c r="M33" s="27"/>
      <c r="N33" s="27"/>
      <c r="O33" s="27"/>
      <c r="P33" s="27"/>
      <c r="Q33" s="27"/>
      <c r="R33" s="28"/>
      <c r="S33" s="27"/>
      <c r="T33" s="30"/>
      <c r="U33" s="27"/>
      <c r="V33" s="29"/>
      <c r="W33" s="27"/>
      <c r="X33" s="30"/>
      <c r="Y33" s="27"/>
      <c r="Z33" s="27"/>
      <c r="AA33" s="27"/>
      <c r="AB33" s="27"/>
      <c r="AC33" s="27"/>
      <c r="AD33" s="28"/>
      <c r="AE33" s="27"/>
      <c r="AF33" s="30"/>
      <c r="AG33" s="27"/>
      <c r="AH33" s="29"/>
      <c r="AI33" s="27"/>
      <c r="AJ33" s="30"/>
    </row>
    <row r="34" spans="1:36" s="11" customFormat="1" ht="18.75">
      <c r="A34" s="36" t="s">
        <v>86</v>
      </c>
      <c r="B34" s="27"/>
      <c r="C34" s="27"/>
      <c r="D34" s="27"/>
      <c r="E34" s="28"/>
      <c r="F34" s="27"/>
      <c r="G34" s="27"/>
      <c r="H34" s="27"/>
      <c r="I34" s="29"/>
      <c r="J34" s="27"/>
      <c r="K34" s="27"/>
      <c r="L34" s="27"/>
      <c r="M34" s="27"/>
      <c r="N34" s="36" t="s">
        <v>86</v>
      </c>
      <c r="O34" s="27"/>
      <c r="P34" s="27"/>
      <c r="Q34" s="27"/>
      <c r="R34" s="28"/>
      <c r="S34" s="27"/>
      <c r="T34" s="30"/>
      <c r="U34" s="27"/>
      <c r="V34" s="29"/>
      <c r="W34" s="27"/>
      <c r="X34" s="30"/>
      <c r="Y34" s="27"/>
      <c r="Z34" s="36" t="s">
        <v>86</v>
      </c>
      <c r="AA34" s="27"/>
      <c r="AB34" s="27"/>
      <c r="AC34" s="27"/>
      <c r="AD34" s="28"/>
      <c r="AE34" s="27"/>
      <c r="AF34" s="30"/>
      <c r="AG34" s="27"/>
      <c r="AH34" s="29"/>
      <c r="AI34" s="27"/>
      <c r="AJ34" s="30"/>
    </row>
    <row r="35" spans="1:36" s="11" customFormat="1" ht="18">
      <c r="A35" s="27"/>
      <c r="B35" s="27"/>
      <c r="C35" s="27"/>
      <c r="D35" s="27"/>
      <c r="E35" s="28"/>
      <c r="F35" s="27"/>
      <c r="G35" s="27"/>
      <c r="H35" s="27"/>
      <c r="I35" s="29"/>
      <c r="J35" s="27"/>
      <c r="K35" s="27"/>
      <c r="L35" s="27"/>
      <c r="M35" s="27"/>
      <c r="N35" s="27"/>
      <c r="O35" s="27"/>
      <c r="P35" s="27"/>
      <c r="Q35" s="27"/>
      <c r="R35" s="28"/>
      <c r="S35" s="27"/>
      <c r="T35" s="30"/>
      <c r="U35" s="27"/>
      <c r="V35" s="29"/>
      <c r="W35" s="27"/>
      <c r="X35" s="30"/>
      <c r="Y35" s="27"/>
      <c r="Z35" s="27"/>
      <c r="AA35" s="27"/>
      <c r="AB35" s="27"/>
      <c r="AC35" s="27"/>
      <c r="AD35" s="28"/>
      <c r="AE35" s="27"/>
      <c r="AF35" s="30"/>
      <c r="AG35" s="27"/>
      <c r="AH35" s="29"/>
      <c r="AI35" s="27"/>
      <c r="AJ35" s="30"/>
    </row>
    <row r="36" spans="1:36" s="65" customFormat="1" ht="18">
      <c r="A36" s="59"/>
      <c r="B36" s="59"/>
      <c r="C36" s="59"/>
      <c r="D36" s="59"/>
      <c r="E36" s="60" t="s">
        <v>83</v>
      </c>
      <c r="F36" s="59"/>
      <c r="G36" s="61" t="s">
        <v>84</v>
      </c>
      <c r="H36" s="59"/>
      <c r="I36" s="62" t="s">
        <v>85</v>
      </c>
      <c r="J36" s="59"/>
      <c r="K36" s="61" t="s">
        <v>84</v>
      </c>
      <c r="L36" s="61"/>
      <c r="M36" s="64"/>
      <c r="N36" s="97"/>
      <c r="O36" s="97"/>
      <c r="P36" s="97"/>
      <c r="Q36" s="97"/>
      <c r="R36" s="60" t="s">
        <v>83</v>
      </c>
      <c r="S36" s="59"/>
      <c r="T36" s="61" t="s">
        <v>84</v>
      </c>
      <c r="U36" s="59"/>
      <c r="V36" s="62" t="s">
        <v>85</v>
      </c>
      <c r="W36" s="59"/>
      <c r="X36" s="61" t="s">
        <v>84</v>
      </c>
      <c r="Y36" s="64"/>
      <c r="Z36" s="97"/>
      <c r="AA36" s="97"/>
      <c r="AB36" s="97"/>
      <c r="AC36" s="97"/>
      <c r="AD36" s="60" t="s">
        <v>83</v>
      </c>
      <c r="AE36" s="59"/>
      <c r="AF36" s="61" t="s">
        <v>84</v>
      </c>
      <c r="AG36" s="59"/>
      <c r="AH36" s="62" t="s">
        <v>85</v>
      </c>
      <c r="AI36" s="59"/>
      <c r="AJ36" s="61" t="s">
        <v>84</v>
      </c>
    </row>
    <row r="37" spans="1:36" s="11" customFormat="1" ht="18">
      <c r="A37" s="27"/>
      <c r="B37" s="27"/>
      <c r="C37" s="27"/>
      <c r="D37" s="27"/>
      <c r="E37" s="28"/>
      <c r="F37" s="27"/>
      <c r="G37" s="27"/>
      <c r="H37" s="27"/>
      <c r="I37" s="29"/>
      <c r="J37" s="27"/>
      <c r="K37" s="27"/>
      <c r="L37" s="27"/>
      <c r="M37" s="27"/>
      <c r="N37" s="27"/>
      <c r="O37" s="27"/>
      <c r="P37" s="27"/>
      <c r="Q37" s="27"/>
      <c r="R37" s="28"/>
      <c r="S37" s="27"/>
      <c r="T37" s="30"/>
      <c r="U37" s="27"/>
      <c r="V37" s="29"/>
      <c r="W37" s="27"/>
      <c r="X37" s="30"/>
      <c r="Y37" s="27"/>
      <c r="Z37" s="27"/>
      <c r="AA37" s="27"/>
      <c r="AB37" s="27"/>
      <c r="AC37" s="27"/>
      <c r="AD37" s="28"/>
      <c r="AE37" s="27"/>
      <c r="AF37" s="30"/>
      <c r="AG37" s="27"/>
      <c r="AH37" s="29"/>
      <c r="AI37" s="27"/>
      <c r="AJ37" s="30"/>
    </row>
    <row r="38" spans="1:36" s="11" customFormat="1" ht="18">
      <c r="A38" s="27" t="s">
        <v>35</v>
      </c>
      <c r="B38" s="27"/>
      <c r="C38" s="27"/>
      <c r="D38" s="27"/>
      <c r="E38" s="28">
        <v>10817</v>
      </c>
      <c r="F38" s="27"/>
      <c r="G38" s="30">
        <v>0.22639179573043114</v>
      </c>
      <c r="H38" s="27"/>
      <c r="I38" s="29">
        <v>10454760.83</v>
      </c>
      <c r="J38" s="27"/>
      <c r="K38" s="30">
        <v>0.03846244906029887</v>
      </c>
      <c r="L38" s="30"/>
      <c r="M38" s="27"/>
      <c r="N38" s="27" t="s">
        <v>35</v>
      </c>
      <c r="O38" s="27"/>
      <c r="P38" s="27"/>
      <c r="Q38" s="27"/>
      <c r="R38" s="28">
        <v>8556</v>
      </c>
      <c r="S38" s="27"/>
      <c r="T38" s="30">
        <f>+R38/$R$48</f>
        <v>0.3139355690907757</v>
      </c>
      <c r="U38" s="27"/>
      <c r="V38" s="29">
        <v>5752873.46</v>
      </c>
      <c r="W38" s="27"/>
      <c r="X38" s="30">
        <f>+V38/$V$48</f>
        <v>0.04147120923596801</v>
      </c>
      <c r="Y38" s="27"/>
      <c r="Z38" s="27" t="s">
        <v>35</v>
      </c>
      <c r="AA38" s="27"/>
      <c r="AB38" s="27"/>
      <c r="AC38" s="27"/>
      <c r="AD38" s="28">
        <v>8767</v>
      </c>
      <c r="AE38" s="27"/>
      <c r="AF38" s="30">
        <v>0.32838895756077463</v>
      </c>
      <c r="AG38" s="27"/>
      <c r="AH38" s="29">
        <v>5556383.009999976</v>
      </c>
      <c r="AI38" s="27"/>
      <c r="AJ38" s="30">
        <v>0.041606791674060783</v>
      </c>
    </row>
    <row r="39" spans="1:36" s="11" customFormat="1" ht="18">
      <c r="A39" s="27" t="s">
        <v>36</v>
      </c>
      <c r="B39" s="27"/>
      <c r="C39" s="27"/>
      <c r="D39" s="27"/>
      <c r="E39" s="28">
        <v>10088</v>
      </c>
      <c r="F39" s="27"/>
      <c r="G39" s="30">
        <v>0.21113436584344913</v>
      </c>
      <c r="H39" s="27"/>
      <c r="I39" s="29">
        <v>30153046.85</v>
      </c>
      <c r="J39" s="27"/>
      <c r="K39" s="30">
        <v>0.11093128263183143</v>
      </c>
      <c r="L39" s="30"/>
      <c r="M39" s="27"/>
      <c r="N39" s="27" t="s">
        <v>36</v>
      </c>
      <c r="O39" s="27"/>
      <c r="P39" s="27"/>
      <c r="Q39" s="27"/>
      <c r="R39" s="28">
        <v>5364</v>
      </c>
      <c r="S39" s="27"/>
      <c r="T39" s="30">
        <f aca="true" t="shared" si="2" ref="T39:T46">+R39/$R$48</f>
        <v>0.19681514640052836</v>
      </c>
      <c r="U39" s="27"/>
      <c r="V39" s="29">
        <v>15929713.38</v>
      </c>
      <c r="W39" s="27"/>
      <c r="X39" s="30">
        <f aca="true" t="shared" si="3" ref="X39:X46">+V39/$V$48</f>
        <v>0.1148338271725134</v>
      </c>
      <c r="Y39" s="27"/>
      <c r="Z39" s="27" t="s">
        <v>36</v>
      </c>
      <c r="AA39" s="27"/>
      <c r="AB39" s="27"/>
      <c r="AC39" s="27"/>
      <c r="AD39" s="28">
        <v>5182</v>
      </c>
      <c r="AE39" s="27"/>
      <c r="AF39" s="30">
        <v>0.1941042064651459</v>
      </c>
      <c r="AG39" s="27"/>
      <c r="AH39" s="29">
        <v>15388673.369999962</v>
      </c>
      <c r="AI39" s="27"/>
      <c r="AJ39" s="30">
        <v>0.11523203600137676</v>
      </c>
    </row>
    <row r="40" spans="1:36" s="11" customFormat="1" ht="18">
      <c r="A40" s="27" t="s">
        <v>37</v>
      </c>
      <c r="B40" s="27"/>
      <c r="C40" s="27"/>
      <c r="D40" s="27"/>
      <c r="E40" s="28">
        <v>9059</v>
      </c>
      <c r="F40" s="27"/>
      <c r="G40" s="30">
        <v>0.18959815822519882</v>
      </c>
      <c r="H40" s="27"/>
      <c r="I40" s="29">
        <v>44726871.38</v>
      </c>
      <c r="J40" s="27"/>
      <c r="K40" s="30">
        <v>0.1645475243339249</v>
      </c>
      <c r="L40" s="30"/>
      <c r="M40" s="27"/>
      <c r="N40" s="27" t="s">
        <v>37</v>
      </c>
      <c r="O40" s="27"/>
      <c r="P40" s="27"/>
      <c r="Q40" s="27"/>
      <c r="R40" s="28">
        <f>4375+125</f>
        <v>4500</v>
      </c>
      <c r="S40" s="27"/>
      <c r="T40" s="30">
        <f t="shared" si="2"/>
        <v>0.16511337785279226</v>
      </c>
      <c r="U40" s="27"/>
      <c r="V40" s="29">
        <f>21546478.45+664376.24</f>
        <v>22210854.689999998</v>
      </c>
      <c r="W40" s="27"/>
      <c r="X40" s="30">
        <f t="shared" si="3"/>
        <v>0.16011320404719476</v>
      </c>
      <c r="Y40" s="27"/>
      <c r="Z40" s="27" t="s">
        <v>37</v>
      </c>
      <c r="AA40" s="27"/>
      <c r="AB40" s="27"/>
      <c r="AC40" s="27"/>
      <c r="AD40" s="28">
        <v>4188</v>
      </c>
      <c r="AE40" s="27"/>
      <c r="AF40" s="30">
        <v>0.15687155860209012</v>
      </c>
      <c r="AG40" s="27"/>
      <c r="AH40" s="29">
        <v>20624498.379999984</v>
      </c>
      <c r="AI40" s="27"/>
      <c r="AJ40" s="30">
        <v>0.1544384550046825</v>
      </c>
    </row>
    <row r="41" spans="1:36" s="11" customFormat="1" ht="18">
      <c r="A41" s="27" t="s">
        <v>38</v>
      </c>
      <c r="B41" s="27"/>
      <c r="C41" s="27"/>
      <c r="D41" s="27"/>
      <c r="E41" s="28">
        <v>5743</v>
      </c>
      <c r="F41" s="27"/>
      <c r="G41" s="30">
        <v>0.12019673503557975</v>
      </c>
      <c r="H41" s="27"/>
      <c r="I41" s="29">
        <v>39771570.99</v>
      </c>
      <c r="J41" s="27"/>
      <c r="K41" s="30">
        <v>0.14631726618378657</v>
      </c>
      <c r="L41" s="30"/>
      <c r="M41" s="27"/>
      <c r="N41" s="27" t="s">
        <v>38</v>
      </c>
      <c r="O41" s="27"/>
      <c r="P41" s="27"/>
      <c r="Q41" s="27"/>
      <c r="R41" s="28">
        <v>2717</v>
      </c>
      <c r="S41" s="27"/>
      <c r="T41" s="30">
        <f t="shared" si="2"/>
        <v>0.09969178836134146</v>
      </c>
      <c r="U41" s="27"/>
      <c r="V41" s="29">
        <v>18782214.66</v>
      </c>
      <c r="W41" s="27"/>
      <c r="X41" s="30">
        <f t="shared" si="3"/>
        <v>0.1353968863552451</v>
      </c>
      <c r="Y41" s="27"/>
      <c r="Z41" s="27" t="s">
        <v>38</v>
      </c>
      <c r="AA41" s="27"/>
      <c r="AB41" s="27"/>
      <c r="AC41" s="27"/>
      <c r="AD41" s="28">
        <v>2602</v>
      </c>
      <c r="AE41" s="27"/>
      <c r="AF41" s="30">
        <v>0.09746413454695284</v>
      </c>
      <c r="AG41" s="27"/>
      <c r="AH41" s="29">
        <v>17983764.800000012</v>
      </c>
      <c r="AI41" s="27"/>
      <c r="AJ41" s="30">
        <v>0.13466435884680153</v>
      </c>
    </row>
    <row r="42" spans="1:36" s="11" customFormat="1" ht="18">
      <c r="A42" s="27" t="s">
        <v>39</v>
      </c>
      <c r="B42" s="27"/>
      <c r="C42" s="27"/>
      <c r="D42" s="27"/>
      <c r="E42" s="28">
        <v>4598</v>
      </c>
      <c r="F42" s="27"/>
      <c r="G42" s="30">
        <v>0.09623273336123901</v>
      </c>
      <c r="H42" s="27"/>
      <c r="I42" s="29">
        <v>41466747.88</v>
      </c>
      <c r="J42" s="27"/>
      <c r="K42" s="30">
        <v>0.15255372207598902</v>
      </c>
      <c r="L42" s="30"/>
      <c r="M42" s="27"/>
      <c r="N42" s="27" t="s">
        <v>39</v>
      </c>
      <c r="O42" s="27"/>
      <c r="P42" s="27"/>
      <c r="Q42" s="27"/>
      <c r="R42" s="28">
        <v>2050</v>
      </c>
      <c r="S42" s="27"/>
      <c r="T42" s="30">
        <f t="shared" si="2"/>
        <v>0.07521831657738313</v>
      </c>
      <c r="U42" s="27"/>
      <c r="V42" s="29">
        <v>18365141.89</v>
      </c>
      <c r="W42" s="27"/>
      <c r="X42" s="30">
        <f t="shared" si="3"/>
        <v>0.13239029978045633</v>
      </c>
      <c r="Y42" s="27"/>
      <c r="Z42" s="27" t="s">
        <v>39</v>
      </c>
      <c r="AA42" s="27"/>
      <c r="AB42" s="27"/>
      <c r="AC42" s="27"/>
      <c r="AD42" s="28">
        <v>1992</v>
      </c>
      <c r="AE42" s="27"/>
      <c r="AF42" s="30">
        <v>0.07461512529497696</v>
      </c>
      <c r="AG42" s="27"/>
      <c r="AH42" s="29">
        <v>17850833.709999952</v>
      </c>
      <c r="AI42" s="27"/>
      <c r="AJ42" s="30">
        <v>0.13366895659344996</v>
      </c>
    </row>
    <row r="43" spans="1:36" s="11" customFormat="1" ht="18">
      <c r="A43" s="27" t="s">
        <v>40</v>
      </c>
      <c r="B43" s="27"/>
      <c r="C43" s="27"/>
      <c r="D43" s="27"/>
      <c r="E43" s="28">
        <v>2196</v>
      </c>
      <c r="F43" s="27"/>
      <c r="G43" s="30">
        <v>0.04596065299288405</v>
      </c>
      <c r="H43" s="27"/>
      <c r="I43" s="29">
        <v>24039326.09</v>
      </c>
      <c r="J43" s="27"/>
      <c r="K43" s="30">
        <v>0.08843926419888638</v>
      </c>
      <c r="L43" s="30"/>
      <c r="M43" s="27"/>
      <c r="N43" s="27" t="s">
        <v>40</v>
      </c>
      <c r="O43" s="27"/>
      <c r="P43" s="27"/>
      <c r="Q43" s="27"/>
      <c r="R43" s="28">
        <v>1317</v>
      </c>
      <c r="S43" s="27"/>
      <c r="T43" s="30">
        <f t="shared" si="2"/>
        <v>0.04832318191825053</v>
      </c>
      <c r="U43" s="27"/>
      <c r="V43" s="29">
        <v>14412654.47</v>
      </c>
      <c r="W43" s="27"/>
      <c r="X43" s="30">
        <f t="shared" si="3"/>
        <v>0.103897680581189</v>
      </c>
      <c r="Y43" s="27"/>
      <c r="Z43" s="27" t="s">
        <v>40</v>
      </c>
      <c r="AA43" s="27"/>
      <c r="AB43" s="27"/>
      <c r="AC43" s="27"/>
      <c r="AD43" s="28">
        <v>1334</v>
      </c>
      <c r="AE43" s="27"/>
      <c r="AF43" s="30">
        <v>0.0499681612166161</v>
      </c>
      <c r="AG43" s="27"/>
      <c r="AH43" s="29">
        <v>14630447.150000006</v>
      </c>
      <c r="AI43" s="27"/>
      <c r="AJ43" s="30">
        <v>0.10955435677721743</v>
      </c>
    </row>
    <row r="44" spans="1:36" s="11" customFormat="1" ht="18">
      <c r="A44" s="27" t="s">
        <v>41</v>
      </c>
      <c r="B44" s="27"/>
      <c r="C44" s="27"/>
      <c r="D44" s="27"/>
      <c r="E44" s="28">
        <v>1789</v>
      </c>
      <c r="F44" s="27"/>
      <c r="G44" s="30">
        <v>0.03744244453746337</v>
      </c>
      <c r="H44" s="27"/>
      <c r="I44" s="29">
        <v>23351787.62</v>
      </c>
      <c r="J44" s="27"/>
      <c r="K44" s="30">
        <v>0.08590985068007222</v>
      </c>
      <c r="L44" s="30"/>
      <c r="M44" s="27"/>
      <c r="N44" s="27" t="s">
        <v>41</v>
      </c>
      <c r="O44" s="27"/>
      <c r="P44" s="27"/>
      <c r="Q44" s="27"/>
      <c r="R44" s="28">
        <v>1262</v>
      </c>
      <c r="S44" s="27"/>
      <c r="T44" s="30">
        <f t="shared" si="2"/>
        <v>0.04630512952227196</v>
      </c>
      <c r="U44" s="27"/>
      <c r="V44" s="29">
        <v>16337228.68</v>
      </c>
      <c r="W44" s="27"/>
      <c r="X44" s="30">
        <f t="shared" si="3"/>
        <v>0.1177715160319444</v>
      </c>
      <c r="Y44" s="27"/>
      <c r="Z44" s="27" t="s">
        <v>41</v>
      </c>
      <c r="AA44" s="27"/>
      <c r="AB44" s="27"/>
      <c r="AC44" s="27"/>
      <c r="AD44" s="28">
        <v>1179</v>
      </c>
      <c r="AE44" s="27"/>
      <c r="AF44" s="30">
        <v>0.04416226542308124</v>
      </c>
      <c r="AG44" s="27"/>
      <c r="AH44" s="29">
        <v>15276959.59</v>
      </c>
      <c r="AI44" s="27"/>
      <c r="AJ44" s="30">
        <v>0.11439551123999601</v>
      </c>
    </row>
    <row r="45" spans="1:36" s="11" customFormat="1" ht="18">
      <c r="A45" s="27" t="s">
        <v>42</v>
      </c>
      <c r="B45" s="27"/>
      <c r="C45" s="27"/>
      <c r="D45" s="27"/>
      <c r="E45" s="28">
        <v>2604</v>
      </c>
      <c r="F45" s="27"/>
      <c r="G45" s="30">
        <v>0.05449979070740896</v>
      </c>
      <c r="H45" s="27"/>
      <c r="I45" s="29">
        <v>38245251.54</v>
      </c>
      <c r="J45" s="27"/>
      <c r="K45" s="30">
        <v>0.14070202686363767</v>
      </c>
      <c r="L45" s="30"/>
      <c r="M45" s="27"/>
      <c r="N45" s="27" t="s">
        <v>42</v>
      </c>
      <c r="O45" s="27"/>
      <c r="P45" s="27"/>
      <c r="Q45" s="27"/>
      <c r="R45" s="28">
        <v>827</v>
      </c>
      <c r="S45" s="27"/>
      <c r="T45" s="30">
        <f t="shared" si="2"/>
        <v>0.030344169663168708</v>
      </c>
      <c r="U45" s="27"/>
      <c r="V45" s="29">
        <v>12187544.13</v>
      </c>
      <c r="W45" s="27"/>
      <c r="X45" s="30">
        <f t="shared" si="3"/>
        <v>0.08785734575983942</v>
      </c>
      <c r="Y45" s="27"/>
      <c r="Z45" s="27" t="s">
        <v>42</v>
      </c>
      <c r="AA45" s="27"/>
      <c r="AB45" s="27"/>
      <c r="AC45" s="27"/>
      <c r="AD45" s="28">
        <v>806</v>
      </c>
      <c r="AE45" s="27"/>
      <c r="AF45" s="30">
        <v>0.03019065812638124</v>
      </c>
      <c r="AG45" s="27"/>
      <c r="AH45" s="29">
        <v>11878640.900000006</v>
      </c>
      <c r="AI45" s="27"/>
      <c r="AJ45" s="30">
        <v>0.0889485365583681</v>
      </c>
    </row>
    <row r="46" spans="1:36" s="11" customFormat="1" ht="18">
      <c r="A46" s="27" t="s">
        <v>43</v>
      </c>
      <c r="B46" s="27"/>
      <c r="C46" s="27"/>
      <c r="D46" s="27"/>
      <c r="E46" s="28">
        <v>886</v>
      </c>
      <c r="F46" s="27"/>
      <c r="G46" s="30">
        <v>0.018543323566345752</v>
      </c>
      <c r="H46" s="27"/>
      <c r="I46" s="29">
        <v>19607982.97</v>
      </c>
      <c r="J46" s="27"/>
      <c r="K46" s="30">
        <v>0.07213661397157306</v>
      </c>
      <c r="L46" s="30"/>
      <c r="M46" s="27"/>
      <c r="N46" s="27" t="s">
        <v>43</v>
      </c>
      <c r="O46" s="27"/>
      <c r="P46" s="27"/>
      <c r="Q46" s="27"/>
      <c r="R46" s="28">
        <v>661</v>
      </c>
      <c r="S46" s="27"/>
      <c r="T46" s="30">
        <f t="shared" si="2"/>
        <v>0.02425332061348793</v>
      </c>
      <c r="U46" s="27"/>
      <c r="V46" s="29">
        <v>14741468.76</v>
      </c>
      <c r="W46" s="27"/>
      <c r="X46" s="30">
        <f t="shared" si="3"/>
        <v>0.10626803103564976</v>
      </c>
      <c r="Y46" s="27"/>
      <c r="Z46" s="27" t="s">
        <v>43</v>
      </c>
      <c r="AA46" s="27"/>
      <c r="AB46" s="27"/>
      <c r="AC46" s="27"/>
      <c r="AD46" s="28">
        <v>647</v>
      </c>
      <c r="AE46" s="27"/>
      <c r="AF46" s="30">
        <v>0.024234932763980973</v>
      </c>
      <c r="AG46" s="27"/>
      <c r="AH46" s="29">
        <v>14354895.609999992</v>
      </c>
      <c r="AI46" s="27"/>
      <c r="AJ46" s="30">
        <v>0.1074909973040469</v>
      </c>
    </row>
    <row r="47" spans="1:36" s="11" customFormat="1" ht="18">
      <c r="A47" s="27"/>
      <c r="B47" s="27"/>
      <c r="C47" s="27"/>
      <c r="D47" s="27"/>
      <c r="E47" s="28"/>
      <c r="F47" s="27"/>
      <c r="G47" s="27"/>
      <c r="H47" s="27"/>
      <c r="I47" s="29"/>
      <c r="J47" s="27"/>
      <c r="K47" s="27"/>
      <c r="L47" s="27"/>
      <c r="M47" s="27"/>
      <c r="N47" s="27"/>
      <c r="O47" s="27"/>
      <c r="P47" s="27"/>
      <c r="Q47" s="27"/>
      <c r="R47" s="28"/>
      <c r="S47" s="27"/>
      <c r="T47" s="30"/>
      <c r="U47" s="27"/>
      <c r="V47" s="29"/>
      <c r="W47" s="27"/>
      <c r="X47" s="30"/>
      <c r="Y47" s="27"/>
      <c r="Z47" s="27"/>
      <c r="AA47" s="27"/>
      <c r="AB47" s="27"/>
      <c r="AC47" s="27"/>
      <c r="AD47" s="28"/>
      <c r="AE47" s="27"/>
      <c r="AF47" s="30"/>
      <c r="AG47" s="27"/>
      <c r="AH47" s="29"/>
      <c r="AI47" s="27"/>
      <c r="AJ47" s="30"/>
    </row>
    <row r="48" spans="1:36" s="13" customFormat="1" ht="18.75" thickBot="1">
      <c r="A48" s="26"/>
      <c r="B48" s="26"/>
      <c r="C48" s="26"/>
      <c r="D48" s="26"/>
      <c r="E48" s="70">
        <v>47780</v>
      </c>
      <c r="F48" s="26"/>
      <c r="G48" s="26"/>
      <c r="H48" s="26"/>
      <c r="I48" s="71">
        <v>271817346.15</v>
      </c>
      <c r="J48" s="26"/>
      <c r="K48" s="26"/>
      <c r="L48" s="26"/>
      <c r="M48" s="37"/>
      <c r="N48" s="97"/>
      <c r="O48" s="97"/>
      <c r="P48" s="97"/>
      <c r="Q48" s="97"/>
      <c r="R48" s="98">
        <f>SUM(R38:R47)</f>
        <v>27254</v>
      </c>
      <c r="S48" s="97"/>
      <c r="T48" s="99"/>
      <c r="U48" s="97"/>
      <c r="V48" s="100">
        <f>SUM(V38:V47)</f>
        <v>138719694.11999997</v>
      </c>
      <c r="W48" s="97"/>
      <c r="X48" s="99"/>
      <c r="Y48" s="37"/>
      <c r="Z48" s="97"/>
      <c r="AA48" s="97"/>
      <c r="AB48" s="97"/>
      <c r="AC48" s="97"/>
      <c r="AD48" s="98">
        <v>26697</v>
      </c>
      <c r="AE48" s="97"/>
      <c r="AF48" s="99"/>
      <c r="AG48" s="97"/>
      <c r="AH48" s="100">
        <v>133545096.51999989</v>
      </c>
      <c r="AI48" s="97"/>
      <c r="AJ48" s="99"/>
    </row>
    <row r="49" spans="1:36" s="11" customFormat="1" ht="18.75" thickTop="1">
      <c r="A49" s="27"/>
      <c r="B49" s="27"/>
      <c r="C49" s="27"/>
      <c r="D49" s="27"/>
      <c r="E49" s="28"/>
      <c r="F49" s="27"/>
      <c r="G49" s="27"/>
      <c r="H49" s="27"/>
      <c r="I49" s="29"/>
      <c r="J49" s="27"/>
      <c r="K49" s="27"/>
      <c r="L49" s="27"/>
      <c r="M49" s="27"/>
      <c r="N49" s="27"/>
      <c r="O49" s="27"/>
      <c r="P49" s="27"/>
      <c r="Q49" s="27"/>
      <c r="R49" s="28"/>
      <c r="S49" s="27"/>
      <c r="T49" s="30"/>
      <c r="U49" s="27"/>
      <c r="V49" s="29"/>
      <c r="W49" s="27"/>
      <c r="X49" s="30"/>
      <c r="Y49" s="27"/>
      <c r="Z49" s="27"/>
      <c r="AA49" s="27"/>
      <c r="AB49" s="27"/>
      <c r="AC49" s="27"/>
      <c r="AD49" s="28"/>
      <c r="AE49" s="27"/>
      <c r="AF49" s="30"/>
      <c r="AG49" s="27"/>
      <c r="AH49" s="29"/>
      <c r="AI49" s="27"/>
      <c r="AJ49" s="30"/>
    </row>
    <row r="50" spans="1:36" s="11" customFormat="1" ht="18">
      <c r="A50" s="27"/>
      <c r="B50" s="27"/>
      <c r="C50" s="27"/>
      <c r="D50" s="27"/>
      <c r="E50" s="28"/>
      <c r="F50" s="27"/>
      <c r="G50" s="27"/>
      <c r="H50" s="27"/>
      <c r="I50" s="29"/>
      <c r="J50" s="27"/>
      <c r="K50" s="27"/>
      <c r="L50" s="27"/>
      <c r="M50" s="27"/>
      <c r="N50" s="27"/>
      <c r="O50" s="27"/>
      <c r="P50" s="27"/>
      <c r="Q50" s="27"/>
      <c r="R50" s="28"/>
      <c r="S50" s="27"/>
      <c r="T50" s="30"/>
      <c r="U50" s="27"/>
      <c r="V50" s="29"/>
      <c r="W50" s="27"/>
      <c r="X50" s="30"/>
      <c r="Y50" s="27"/>
      <c r="Z50" s="27"/>
      <c r="AA50" s="27"/>
      <c r="AB50" s="27"/>
      <c r="AC50" s="27"/>
      <c r="AD50" s="28"/>
      <c r="AE50" s="27"/>
      <c r="AF50" s="30"/>
      <c r="AG50" s="27"/>
      <c r="AH50" s="29"/>
      <c r="AI50" s="27"/>
      <c r="AJ50" s="30"/>
    </row>
    <row r="51" spans="1:36" s="11" customFormat="1" ht="18.75">
      <c r="A51" s="36" t="s">
        <v>87</v>
      </c>
      <c r="B51" s="27"/>
      <c r="C51" s="27"/>
      <c r="D51" s="27"/>
      <c r="E51" s="28"/>
      <c r="F51" s="27"/>
      <c r="G51" s="27"/>
      <c r="H51" s="27"/>
      <c r="I51" s="29"/>
      <c r="J51" s="27"/>
      <c r="K51" s="27"/>
      <c r="L51" s="27"/>
      <c r="M51" s="27"/>
      <c r="N51" s="36" t="s">
        <v>87</v>
      </c>
      <c r="O51" s="27"/>
      <c r="P51" s="27"/>
      <c r="Q51" s="27"/>
      <c r="R51" s="28"/>
      <c r="S51" s="27"/>
      <c r="T51" s="30"/>
      <c r="U51" s="27"/>
      <c r="V51" s="29"/>
      <c r="W51" s="27"/>
      <c r="X51" s="30"/>
      <c r="Y51" s="27"/>
      <c r="Z51" s="36" t="s">
        <v>87</v>
      </c>
      <c r="AA51" s="27"/>
      <c r="AB51" s="27"/>
      <c r="AC51" s="27"/>
      <c r="AD51" s="28"/>
      <c r="AE51" s="27"/>
      <c r="AF51" s="30"/>
      <c r="AG51" s="27"/>
      <c r="AH51" s="29"/>
      <c r="AI51" s="27"/>
      <c r="AJ51" s="30"/>
    </row>
    <row r="52" spans="1:36" s="11" customFormat="1" ht="18">
      <c r="A52" s="27"/>
      <c r="B52" s="27"/>
      <c r="C52" s="27"/>
      <c r="D52" s="27"/>
      <c r="E52" s="28"/>
      <c r="F52" s="27"/>
      <c r="G52" s="27"/>
      <c r="H52" s="27"/>
      <c r="I52" s="29"/>
      <c r="J52" s="27"/>
      <c r="K52" s="27"/>
      <c r="L52" s="27"/>
      <c r="M52" s="27"/>
      <c r="N52" s="27"/>
      <c r="O52" s="27"/>
      <c r="P52" s="27"/>
      <c r="Q52" s="27"/>
      <c r="R52" s="28"/>
      <c r="S52" s="27"/>
      <c r="T52" s="30"/>
      <c r="U52" s="27"/>
      <c r="V52" s="29"/>
      <c r="W52" s="27"/>
      <c r="X52" s="30"/>
      <c r="Y52" s="27"/>
      <c r="Z52" s="27"/>
      <c r="AA52" s="27"/>
      <c r="AB52" s="27"/>
      <c r="AC52" s="27"/>
      <c r="AD52" s="28"/>
      <c r="AE52" s="27"/>
      <c r="AF52" s="30"/>
      <c r="AG52" s="27"/>
      <c r="AH52" s="29"/>
      <c r="AI52" s="27"/>
      <c r="AJ52" s="30"/>
    </row>
    <row r="53" spans="1:36" s="65" customFormat="1" ht="18">
      <c r="A53" s="59"/>
      <c r="B53" s="59"/>
      <c r="C53" s="59"/>
      <c r="D53" s="59"/>
      <c r="E53" s="60" t="s">
        <v>83</v>
      </c>
      <c r="F53" s="59"/>
      <c r="G53" s="61" t="s">
        <v>84</v>
      </c>
      <c r="H53" s="59"/>
      <c r="I53" s="62" t="s">
        <v>85</v>
      </c>
      <c r="J53" s="59"/>
      <c r="K53" s="61" t="s">
        <v>84</v>
      </c>
      <c r="L53" s="61"/>
      <c r="M53" s="64"/>
      <c r="N53" s="97"/>
      <c r="O53" s="97"/>
      <c r="P53" s="97"/>
      <c r="Q53" s="97"/>
      <c r="R53" s="60" t="s">
        <v>83</v>
      </c>
      <c r="S53" s="59"/>
      <c r="T53" s="61" t="s">
        <v>84</v>
      </c>
      <c r="U53" s="59"/>
      <c r="V53" s="62" t="s">
        <v>85</v>
      </c>
      <c r="W53" s="59"/>
      <c r="X53" s="61" t="s">
        <v>84</v>
      </c>
      <c r="Y53" s="64"/>
      <c r="Z53" s="97"/>
      <c r="AA53" s="97"/>
      <c r="AB53" s="97"/>
      <c r="AC53" s="97"/>
      <c r="AD53" s="60" t="s">
        <v>83</v>
      </c>
      <c r="AE53" s="59"/>
      <c r="AF53" s="61" t="s">
        <v>84</v>
      </c>
      <c r="AG53" s="59"/>
      <c r="AH53" s="62" t="s">
        <v>85</v>
      </c>
      <c r="AI53" s="59"/>
      <c r="AJ53" s="61" t="s">
        <v>84</v>
      </c>
    </row>
    <row r="54" spans="1:36" s="11" customFormat="1" ht="18">
      <c r="A54" s="27"/>
      <c r="B54" s="27"/>
      <c r="C54" s="27"/>
      <c r="D54" s="27"/>
      <c r="E54" s="28"/>
      <c r="F54" s="27"/>
      <c r="G54" s="27"/>
      <c r="H54" s="27"/>
      <c r="I54" s="29"/>
      <c r="J54" s="27"/>
      <c r="K54" s="27"/>
      <c r="L54" s="27"/>
      <c r="M54" s="27"/>
      <c r="N54" s="27"/>
      <c r="O54" s="27"/>
      <c r="P54" s="27"/>
      <c r="Q54" s="27"/>
      <c r="R54" s="28"/>
      <c r="S54" s="27"/>
      <c r="T54" s="30"/>
      <c r="U54" s="27"/>
      <c r="V54" s="29"/>
      <c r="W54" s="27"/>
      <c r="X54" s="30"/>
      <c r="Y54" s="27"/>
      <c r="Z54" s="27"/>
      <c r="AA54" s="27"/>
      <c r="AB54" s="27"/>
      <c r="AC54" s="27"/>
      <c r="AD54" s="28"/>
      <c r="AE54" s="27"/>
      <c r="AF54" s="30"/>
      <c r="AG54" s="27"/>
      <c r="AH54" s="29"/>
      <c r="AI54" s="27"/>
      <c r="AJ54" s="30"/>
    </row>
    <row r="55" spans="1:36" s="11" customFormat="1" ht="18">
      <c r="A55" s="27" t="s">
        <v>44</v>
      </c>
      <c r="B55" s="27"/>
      <c r="C55" s="27"/>
      <c r="D55" s="27"/>
      <c r="E55" s="28">
        <v>6470</v>
      </c>
      <c r="F55" s="27"/>
      <c r="G55" s="30">
        <v>0.13541230640435328</v>
      </c>
      <c r="H55" s="27"/>
      <c r="I55" s="29">
        <v>27753397.61</v>
      </c>
      <c r="J55" s="27"/>
      <c r="K55" s="30">
        <v>0.1021031144741018</v>
      </c>
      <c r="L55" s="30"/>
      <c r="M55" s="27"/>
      <c r="N55" s="27" t="s">
        <v>44</v>
      </c>
      <c r="O55" s="27"/>
      <c r="P55" s="27"/>
      <c r="Q55" s="27"/>
      <c r="R55" s="28">
        <v>4649</v>
      </c>
      <c r="S55" s="27"/>
      <c r="T55" s="30">
        <f>+R55/$R$67</f>
        <v>0.17058046525280693</v>
      </c>
      <c r="U55" s="27"/>
      <c r="V55" s="29">
        <v>36501519.04</v>
      </c>
      <c r="W55" s="27"/>
      <c r="X55" s="30">
        <f>+V55/$V$67</f>
        <v>0.2631314844770651</v>
      </c>
      <c r="Y55" s="27"/>
      <c r="Z55" s="27" t="s">
        <v>44</v>
      </c>
      <c r="AA55" s="27"/>
      <c r="AB55" s="27"/>
      <c r="AC55" s="27"/>
      <c r="AD55" s="28">
        <v>4655</v>
      </c>
      <c r="AE55" s="27"/>
      <c r="AF55" s="30">
        <v>0.17436416076712738</v>
      </c>
      <c r="AG55" s="27"/>
      <c r="AH55" s="29">
        <v>36272110.47000001</v>
      </c>
      <c r="AI55" s="27"/>
      <c r="AJ55" s="30">
        <v>0.2716094519020235</v>
      </c>
    </row>
    <row r="56" spans="1:36" s="11" customFormat="1" ht="18">
      <c r="A56" s="27" t="s">
        <v>45</v>
      </c>
      <c r="B56" s="27"/>
      <c r="C56" s="27"/>
      <c r="D56" s="27"/>
      <c r="E56" s="28">
        <v>834</v>
      </c>
      <c r="F56" s="27"/>
      <c r="G56" s="30">
        <v>0.01745500209292591</v>
      </c>
      <c r="H56" s="27"/>
      <c r="I56" s="29">
        <v>4369557.48</v>
      </c>
      <c r="J56" s="27"/>
      <c r="K56" s="30">
        <v>0.016075344498392312</v>
      </c>
      <c r="L56" s="30"/>
      <c r="M56" s="27"/>
      <c r="N56" s="27" t="s">
        <v>45</v>
      </c>
      <c r="O56" s="27"/>
      <c r="P56" s="27"/>
      <c r="Q56" s="27"/>
      <c r="R56" s="28">
        <v>659</v>
      </c>
      <c r="S56" s="27"/>
      <c r="T56" s="30">
        <f aca="true" t="shared" si="4" ref="T56:T65">+R56/$R$67</f>
        <v>0.024179936889997797</v>
      </c>
      <c r="U56" s="27"/>
      <c r="V56" s="29">
        <v>3054420.53</v>
      </c>
      <c r="W56" s="27"/>
      <c r="X56" s="30">
        <f aca="true" t="shared" si="5" ref="X56:X65">+V56/$V$67</f>
        <v>0.02201865098806923</v>
      </c>
      <c r="Y56" s="27"/>
      <c r="Z56" s="27" t="s">
        <v>45</v>
      </c>
      <c r="AA56" s="27"/>
      <c r="AB56" s="27"/>
      <c r="AC56" s="27"/>
      <c r="AD56" s="28">
        <v>660</v>
      </c>
      <c r="AE56" s="27"/>
      <c r="AF56" s="30">
        <v>0.024721878862793572</v>
      </c>
      <c r="AG56" s="27"/>
      <c r="AH56" s="29">
        <v>3018630.45</v>
      </c>
      <c r="AI56" s="27"/>
      <c r="AJ56" s="30">
        <v>0.022603828434448935</v>
      </c>
    </row>
    <row r="57" spans="1:36" s="11" customFormat="1" ht="18">
      <c r="A57" s="27" t="s">
        <v>46</v>
      </c>
      <c r="B57" s="27"/>
      <c r="C57" s="27"/>
      <c r="D57" s="27"/>
      <c r="E57" s="28">
        <v>6746</v>
      </c>
      <c r="F57" s="27"/>
      <c r="G57" s="30">
        <v>0.14118878191712014</v>
      </c>
      <c r="H57" s="27"/>
      <c r="I57" s="29">
        <v>41668098.95</v>
      </c>
      <c r="J57" s="27"/>
      <c r="K57" s="30">
        <v>0.15329448079816743</v>
      </c>
      <c r="L57" s="30"/>
      <c r="M57" s="27"/>
      <c r="N57" s="27" t="s">
        <v>46</v>
      </c>
      <c r="O57" s="27"/>
      <c r="P57" s="27"/>
      <c r="Q57" s="27"/>
      <c r="R57" s="28">
        <v>3982</v>
      </c>
      <c r="S57" s="27"/>
      <c r="T57" s="30">
        <f t="shared" si="4"/>
        <v>0.14610699346884862</v>
      </c>
      <c r="U57" s="27"/>
      <c r="V57" s="29">
        <v>14956792.79</v>
      </c>
      <c r="W57" s="27"/>
      <c r="X57" s="30">
        <f t="shared" si="5"/>
        <v>0.10782025497447802</v>
      </c>
      <c r="Y57" s="27"/>
      <c r="Z57" s="27" t="s">
        <v>46</v>
      </c>
      <c r="AA57" s="27"/>
      <c r="AB57" s="27"/>
      <c r="AC57" s="27"/>
      <c r="AD57" s="28">
        <v>3914</v>
      </c>
      <c r="AE57" s="27"/>
      <c r="AF57" s="30">
        <v>0.14660823313480917</v>
      </c>
      <c r="AG57" s="27"/>
      <c r="AH57" s="29">
        <v>14009200.629999977</v>
      </c>
      <c r="AI57" s="27"/>
      <c r="AJ57" s="30">
        <v>0.10490239623213672</v>
      </c>
    </row>
    <row r="58" spans="1:36" s="11" customFormat="1" ht="18">
      <c r="A58" s="27" t="s">
        <v>47</v>
      </c>
      <c r="B58" s="27"/>
      <c r="C58" s="27"/>
      <c r="D58" s="27"/>
      <c r="E58" s="28">
        <v>5522</v>
      </c>
      <c r="F58" s="27"/>
      <c r="G58" s="30">
        <v>0.11557136877354542</v>
      </c>
      <c r="H58" s="27"/>
      <c r="I58" s="29">
        <v>20202310.26</v>
      </c>
      <c r="J58" s="27"/>
      <c r="K58" s="30">
        <v>0.07432310905151555</v>
      </c>
      <c r="L58" s="30"/>
      <c r="M58" s="27"/>
      <c r="N58" s="27" t="s">
        <v>47</v>
      </c>
      <c r="O58" s="27"/>
      <c r="P58" s="27"/>
      <c r="Q58" s="27"/>
      <c r="R58" s="28">
        <v>2829</v>
      </c>
      <c r="S58" s="27"/>
      <c r="T58" s="30">
        <f t="shared" si="4"/>
        <v>0.10380127687678872</v>
      </c>
      <c r="U58" s="27"/>
      <c r="V58" s="29">
        <v>7134027.78</v>
      </c>
      <c r="W58" s="27"/>
      <c r="X58" s="30">
        <f t="shared" si="5"/>
        <v>0.05142764929851044</v>
      </c>
      <c r="Y58" s="27"/>
      <c r="Z58" s="27" t="s">
        <v>47</v>
      </c>
      <c r="AA58" s="27"/>
      <c r="AB58" s="27"/>
      <c r="AC58" s="27"/>
      <c r="AD58" s="28">
        <v>2774</v>
      </c>
      <c r="AE58" s="27"/>
      <c r="AF58" s="30">
        <v>0.10390680600816571</v>
      </c>
      <c r="AG58" s="27"/>
      <c r="AH58" s="29">
        <v>6773429.760000013</v>
      </c>
      <c r="AI58" s="27"/>
      <c r="AJ58" s="30">
        <v>0.050720168216626456</v>
      </c>
    </row>
    <row r="59" spans="1:36" s="11" customFormat="1" ht="18">
      <c r="A59" s="27" t="s">
        <v>48</v>
      </c>
      <c r="B59" s="27"/>
      <c r="C59" s="27"/>
      <c r="D59" s="27"/>
      <c r="E59" s="28">
        <v>4855</v>
      </c>
      <c r="F59" s="27"/>
      <c r="G59" s="30">
        <v>0.10161155295102553</v>
      </c>
      <c r="H59" s="27"/>
      <c r="I59" s="29">
        <v>36245372.86</v>
      </c>
      <c r="J59" s="27"/>
      <c r="K59" s="30">
        <v>0.13334459104018445</v>
      </c>
      <c r="L59" s="30"/>
      <c r="M59" s="27"/>
      <c r="N59" s="27" t="s">
        <v>48</v>
      </c>
      <c r="O59" s="27"/>
      <c r="P59" s="27"/>
      <c r="Q59" s="27"/>
      <c r="R59" s="28">
        <v>2093</v>
      </c>
      <c r="S59" s="27"/>
      <c r="T59" s="30">
        <f t="shared" si="4"/>
        <v>0.07679606663242093</v>
      </c>
      <c r="U59" s="27"/>
      <c r="V59" s="29">
        <v>14205951.96</v>
      </c>
      <c r="W59" s="27"/>
      <c r="X59" s="30">
        <f t="shared" si="5"/>
        <v>0.10240760729843512</v>
      </c>
      <c r="Y59" s="27"/>
      <c r="Z59" s="27" t="s">
        <v>48</v>
      </c>
      <c r="AA59" s="27"/>
      <c r="AB59" s="27"/>
      <c r="AC59" s="27"/>
      <c r="AD59" s="28">
        <v>2044</v>
      </c>
      <c r="AE59" s="27"/>
      <c r="AF59" s="30">
        <v>0.07656290969022736</v>
      </c>
      <c r="AG59" s="27"/>
      <c r="AH59" s="29">
        <v>13475277.680000016</v>
      </c>
      <c r="AI59" s="27"/>
      <c r="AJ59" s="30">
        <v>0.10090432394110357</v>
      </c>
    </row>
    <row r="60" spans="1:36" s="11" customFormat="1" ht="18">
      <c r="A60" s="27" t="s">
        <v>49</v>
      </c>
      <c r="B60" s="27"/>
      <c r="C60" s="27"/>
      <c r="D60" s="27"/>
      <c r="E60" s="28">
        <v>8964</v>
      </c>
      <c r="F60" s="27"/>
      <c r="G60" s="30">
        <v>0.1876098786102972</v>
      </c>
      <c r="H60" s="27"/>
      <c r="I60" s="29">
        <v>67070672.62</v>
      </c>
      <c r="J60" s="27"/>
      <c r="K60" s="30">
        <v>0.24674905251627188</v>
      </c>
      <c r="L60" s="30"/>
      <c r="M60" s="27"/>
      <c r="N60" s="27" t="s">
        <v>49</v>
      </c>
      <c r="O60" s="27"/>
      <c r="P60" s="27"/>
      <c r="Q60" s="27"/>
      <c r="R60" s="28">
        <f>4675+125</f>
        <v>4800</v>
      </c>
      <c r="S60" s="27"/>
      <c r="T60" s="30">
        <f t="shared" si="4"/>
        <v>0.17612093637631174</v>
      </c>
      <c r="U60" s="27"/>
      <c r="V60" s="29">
        <f>27895573.07+664376.24</f>
        <v>28559949.31</v>
      </c>
      <c r="W60" s="27"/>
      <c r="X60" s="30">
        <f t="shared" si="5"/>
        <v>0.20588244150318055</v>
      </c>
      <c r="Y60" s="27"/>
      <c r="Z60" s="27" t="s">
        <v>49</v>
      </c>
      <c r="AA60" s="27"/>
      <c r="AB60" s="27"/>
      <c r="AC60" s="27"/>
      <c r="AD60" s="28">
        <v>4584</v>
      </c>
      <c r="AE60" s="27"/>
      <c r="AF60" s="30">
        <v>0.17170468591976626</v>
      </c>
      <c r="AG60" s="27"/>
      <c r="AH60" s="29">
        <v>26741827.099999957</v>
      </c>
      <c r="AI60" s="27"/>
      <c r="AJ60" s="30">
        <v>0.20024566829374418</v>
      </c>
    </row>
    <row r="61" spans="1:36" s="11" customFormat="1" ht="18">
      <c r="A61" s="27" t="s">
        <v>50</v>
      </c>
      <c r="B61" s="27"/>
      <c r="C61" s="27"/>
      <c r="D61" s="27"/>
      <c r="E61" s="28">
        <v>7905</v>
      </c>
      <c r="F61" s="27"/>
      <c r="G61" s="30">
        <v>0.16544579321892006</v>
      </c>
      <c r="H61" s="27"/>
      <c r="I61" s="29">
        <v>39656769.38</v>
      </c>
      <c r="J61" s="27"/>
      <c r="K61" s="30">
        <v>0.14589491782513309</v>
      </c>
      <c r="L61" s="30"/>
      <c r="M61" s="27"/>
      <c r="N61" s="27" t="s">
        <v>50</v>
      </c>
      <c r="O61" s="27"/>
      <c r="P61" s="27"/>
      <c r="Q61" s="27"/>
      <c r="R61" s="28">
        <v>3848</v>
      </c>
      <c r="S61" s="27"/>
      <c r="T61" s="30">
        <f t="shared" si="4"/>
        <v>0.1411902839950099</v>
      </c>
      <c r="U61" s="27"/>
      <c r="V61" s="29">
        <v>16836379.82</v>
      </c>
      <c r="W61" s="27"/>
      <c r="X61" s="30">
        <f t="shared" si="5"/>
        <v>0.12136978766285071</v>
      </c>
      <c r="Y61" s="27"/>
      <c r="Z61" s="27" t="s">
        <v>50</v>
      </c>
      <c r="AA61" s="27"/>
      <c r="AB61" s="27"/>
      <c r="AC61" s="27"/>
      <c r="AD61" s="28">
        <v>3754</v>
      </c>
      <c r="AE61" s="27"/>
      <c r="AF61" s="30">
        <v>0.14061505038019254</v>
      </c>
      <c r="AG61" s="27"/>
      <c r="AH61" s="29">
        <v>16223864.039999988</v>
      </c>
      <c r="AI61" s="27"/>
      <c r="AJ61" s="30">
        <v>0.12148603327843097</v>
      </c>
    </row>
    <row r="62" spans="1:36" s="11" customFormat="1" ht="18">
      <c r="A62" s="27" t="s">
        <v>51</v>
      </c>
      <c r="B62" s="27"/>
      <c r="C62" s="27"/>
      <c r="D62" s="27"/>
      <c r="E62" s="28">
        <v>134</v>
      </c>
      <c r="F62" s="27"/>
      <c r="G62" s="30">
        <v>0.002804520719966513</v>
      </c>
      <c r="H62" s="27"/>
      <c r="I62" s="29">
        <v>543998.35</v>
      </c>
      <c r="J62" s="27"/>
      <c r="K62" s="30">
        <v>0.00200133787525024</v>
      </c>
      <c r="L62" s="30"/>
      <c r="M62" s="27"/>
      <c r="N62" s="27" t="s">
        <v>51</v>
      </c>
      <c r="O62" s="27"/>
      <c r="P62" s="27"/>
      <c r="Q62" s="27"/>
      <c r="R62" s="28">
        <v>78</v>
      </c>
      <c r="S62" s="27"/>
      <c r="T62" s="30">
        <f t="shared" si="4"/>
        <v>0.0028619652161150657</v>
      </c>
      <c r="U62" s="27"/>
      <c r="V62" s="29">
        <v>263231.93</v>
      </c>
      <c r="W62" s="27"/>
      <c r="X62" s="30">
        <f t="shared" si="5"/>
        <v>0.0018975815342577832</v>
      </c>
      <c r="Y62" s="27"/>
      <c r="Z62" s="27" t="s">
        <v>51</v>
      </c>
      <c r="AA62" s="27"/>
      <c r="AB62" s="27"/>
      <c r="AC62" s="27"/>
      <c r="AD62" s="28">
        <v>77</v>
      </c>
      <c r="AE62" s="27"/>
      <c r="AF62" s="30">
        <v>0.00288421920065925</v>
      </c>
      <c r="AG62" s="27"/>
      <c r="AH62" s="29">
        <v>259971.45</v>
      </c>
      <c r="AI62" s="27"/>
      <c r="AJ62" s="30">
        <v>0.0019466940889219866</v>
      </c>
    </row>
    <row r="63" spans="1:36" s="11" customFormat="1" ht="18">
      <c r="A63" s="27" t="s">
        <v>52</v>
      </c>
      <c r="B63" s="27"/>
      <c r="C63" s="27"/>
      <c r="D63" s="27"/>
      <c r="E63" s="28">
        <v>326</v>
      </c>
      <c r="F63" s="27"/>
      <c r="G63" s="30">
        <v>0.006822938467978233</v>
      </c>
      <c r="H63" s="27"/>
      <c r="I63" s="29">
        <v>3989845.39</v>
      </c>
      <c r="J63" s="27"/>
      <c r="K63" s="30">
        <v>0.014678406093326508</v>
      </c>
      <c r="L63" s="30"/>
      <c r="M63" s="27"/>
      <c r="N63" s="27" t="s">
        <v>52</v>
      </c>
      <c r="O63" s="27"/>
      <c r="P63" s="27"/>
      <c r="Q63" s="27"/>
      <c r="R63" s="28">
        <v>308</v>
      </c>
      <c r="S63" s="27"/>
      <c r="T63" s="30">
        <f t="shared" si="4"/>
        <v>0.011301093417480004</v>
      </c>
      <c r="U63" s="27"/>
      <c r="V63" s="29">
        <v>2108667.09</v>
      </c>
      <c r="W63" s="27"/>
      <c r="X63" s="30">
        <f t="shared" si="5"/>
        <v>0.015200920845283074</v>
      </c>
      <c r="Y63" s="27"/>
      <c r="Z63" s="27" t="s">
        <v>52</v>
      </c>
      <c r="AA63" s="27"/>
      <c r="AB63" s="27"/>
      <c r="AC63" s="27"/>
      <c r="AD63" s="28">
        <v>304</v>
      </c>
      <c r="AE63" s="27"/>
      <c r="AF63" s="30">
        <v>0.011387047233771585</v>
      </c>
      <c r="AG63" s="27"/>
      <c r="AH63" s="29">
        <v>2029852.68</v>
      </c>
      <c r="AI63" s="27"/>
      <c r="AJ63" s="30">
        <v>0.015199754486650162</v>
      </c>
    </row>
    <row r="64" spans="1:36" s="11" customFormat="1" ht="18">
      <c r="A64" s="27" t="s">
        <v>53</v>
      </c>
      <c r="B64" s="27"/>
      <c r="C64" s="27"/>
      <c r="D64" s="27"/>
      <c r="E64" s="28">
        <v>1059</v>
      </c>
      <c r="F64" s="27"/>
      <c r="G64" s="30">
        <v>0.022164085391377146</v>
      </c>
      <c r="H64" s="27"/>
      <c r="I64" s="29">
        <v>9658055.86</v>
      </c>
      <c r="J64" s="27"/>
      <c r="K64" s="30">
        <v>0.03553141842047964</v>
      </c>
      <c r="L64" s="30"/>
      <c r="M64" s="27"/>
      <c r="N64" s="27" t="s">
        <v>53</v>
      </c>
      <c r="O64" s="27"/>
      <c r="P64" s="27"/>
      <c r="Q64" s="27"/>
      <c r="R64" s="28">
        <v>1161</v>
      </c>
      <c r="S64" s="27"/>
      <c r="T64" s="30">
        <f t="shared" si="4"/>
        <v>0.0425992514860204</v>
      </c>
      <c r="U64" s="27"/>
      <c r="V64" s="29">
        <v>4789071.03</v>
      </c>
      <c r="W64" s="27"/>
      <c r="X64" s="30">
        <f t="shared" si="5"/>
        <v>0.03452336786337776</v>
      </c>
      <c r="Y64" s="27"/>
      <c r="Z64" s="27" t="s">
        <v>53</v>
      </c>
      <c r="AA64" s="27"/>
      <c r="AB64" s="27"/>
      <c r="AC64" s="27"/>
      <c r="AD64" s="28">
        <v>1143</v>
      </c>
      <c r="AE64" s="27"/>
      <c r="AF64" s="30">
        <v>0.0428137993032925</v>
      </c>
      <c r="AG64" s="27"/>
      <c r="AH64" s="29">
        <v>4673723.01</v>
      </c>
      <c r="AI64" s="27"/>
      <c r="AJ64" s="30">
        <v>0.034997338964819664</v>
      </c>
    </row>
    <row r="65" spans="1:36" s="11" customFormat="1" ht="18">
      <c r="A65" s="27" t="s">
        <v>54</v>
      </c>
      <c r="B65" s="27"/>
      <c r="C65" s="27"/>
      <c r="D65" s="27"/>
      <c r="E65" s="28">
        <v>4965</v>
      </c>
      <c r="F65" s="27"/>
      <c r="G65" s="30">
        <v>0.10391377145249059</v>
      </c>
      <c r="H65" s="27"/>
      <c r="I65" s="29">
        <v>20659267.39</v>
      </c>
      <c r="J65" s="27"/>
      <c r="K65" s="30">
        <v>0.0760042274071772</v>
      </c>
      <c r="L65" s="30"/>
      <c r="M65" s="27"/>
      <c r="N65" s="27" t="s">
        <v>54</v>
      </c>
      <c r="O65" s="27"/>
      <c r="P65" s="27"/>
      <c r="Q65" s="27"/>
      <c r="R65" s="28">
        <v>2847</v>
      </c>
      <c r="S65" s="27"/>
      <c r="T65" s="30">
        <f t="shared" si="4"/>
        <v>0.10446173038819989</v>
      </c>
      <c r="U65" s="27"/>
      <c r="V65" s="29">
        <v>10309682.84</v>
      </c>
      <c r="W65" s="27"/>
      <c r="X65" s="30">
        <f t="shared" si="5"/>
        <v>0.07432025355449219</v>
      </c>
      <c r="Y65" s="27"/>
      <c r="Z65" s="27" t="s">
        <v>54</v>
      </c>
      <c r="AA65" s="27"/>
      <c r="AB65" s="27"/>
      <c r="AC65" s="27"/>
      <c r="AD65" s="28">
        <v>2788</v>
      </c>
      <c r="AE65" s="27"/>
      <c r="AF65" s="30">
        <v>0.10443120949919467</v>
      </c>
      <c r="AG65" s="27"/>
      <c r="AH65" s="29">
        <v>10067209.24999999</v>
      </c>
      <c r="AI65" s="27"/>
      <c r="AJ65" s="30">
        <v>0.07538434216109394</v>
      </c>
    </row>
    <row r="66" spans="1:36" s="11" customFormat="1" ht="18">
      <c r="A66" s="27"/>
      <c r="B66" s="27"/>
      <c r="C66" s="27"/>
      <c r="D66" s="27"/>
      <c r="E66" s="28"/>
      <c r="F66" s="27"/>
      <c r="G66" s="27"/>
      <c r="H66" s="27"/>
      <c r="I66" s="29"/>
      <c r="J66" s="27"/>
      <c r="K66" s="27"/>
      <c r="L66" s="27"/>
      <c r="M66" s="27"/>
      <c r="N66" s="27"/>
      <c r="O66" s="27"/>
      <c r="P66" s="27"/>
      <c r="Q66" s="27"/>
      <c r="R66" s="28"/>
      <c r="S66" s="27"/>
      <c r="T66" s="30"/>
      <c r="U66" s="27"/>
      <c r="V66" s="29"/>
      <c r="W66" s="27"/>
      <c r="X66" s="30"/>
      <c r="Y66" s="27"/>
      <c r="Z66" s="27"/>
      <c r="AA66" s="27"/>
      <c r="AB66" s="27"/>
      <c r="AC66" s="27"/>
      <c r="AD66" s="28"/>
      <c r="AE66" s="27"/>
      <c r="AF66" s="30"/>
      <c r="AG66" s="27"/>
      <c r="AH66" s="29"/>
      <c r="AI66" s="27"/>
      <c r="AJ66" s="30"/>
    </row>
    <row r="67" spans="1:36" s="12" customFormat="1" ht="18.75" thickBot="1">
      <c r="A67" s="26"/>
      <c r="B67" s="26"/>
      <c r="C67" s="26"/>
      <c r="D67" s="26"/>
      <c r="E67" s="70">
        <v>47780</v>
      </c>
      <c r="F67" s="26"/>
      <c r="G67" s="26"/>
      <c r="H67" s="26"/>
      <c r="I67" s="71">
        <v>271817346.15</v>
      </c>
      <c r="J67" s="26"/>
      <c r="K67" s="26"/>
      <c r="L67" s="26"/>
      <c r="M67" s="26"/>
      <c r="N67" s="97"/>
      <c r="O67" s="97"/>
      <c r="P67" s="97"/>
      <c r="Q67" s="97"/>
      <c r="R67" s="98">
        <f>SUM(R55:R66)</f>
        <v>27254</v>
      </c>
      <c r="S67" s="97"/>
      <c r="T67" s="99"/>
      <c r="U67" s="97"/>
      <c r="V67" s="100">
        <f>SUM(V55:V66)</f>
        <v>138719694.12</v>
      </c>
      <c r="W67" s="97"/>
      <c r="X67" s="99"/>
      <c r="Y67" s="26"/>
      <c r="Z67" s="97"/>
      <c r="AA67" s="97"/>
      <c r="AB67" s="97"/>
      <c r="AC67" s="97"/>
      <c r="AD67" s="98">
        <v>26697</v>
      </c>
      <c r="AE67" s="97"/>
      <c r="AF67" s="99"/>
      <c r="AG67" s="97"/>
      <c r="AH67" s="100">
        <v>133545096.51999994</v>
      </c>
      <c r="AI67" s="97"/>
      <c r="AJ67" s="99"/>
    </row>
    <row r="68" spans="1:36" s="11" customFormat="1" ht="18.75" thickTop="1">
      <c r="A68" s="27"/>
      <c r="B68" s="27"/>
      <c r="C68" s="27"/>
      <c r="D68" s="27"/>
      <c r="E68" s="28"/>
      <c r="F68" s="27"/>
      <c r="G68" s="27"/>
      <c r="H68" s="27"/>
      <c r="I68" s="29"/>
      <c r="J68" s="27"/>
      <c r="K68" s="27"/>
      <c r="L68" s="27"/>
      <c r="M68" s="27"/>
      <c r="N68" s="27"/>
      <c r="O68" s="27"/>
      <c r="P68" s="27"/>
      <c r="Q68" s="27"/>
      <c r="R68" s="28"/>
      <c r="S68" s="27"/>
      <c r="T68" s="30"/>
      <c r="U68" s="27"/>
      <c r="V68" s="29"/>
      <c r="W68" s="27"/>
      <c r="X68" s="30"/>
      <c r="Y68" s="27"/>
      <c r="Z68" s="27"/>
      <c r="AA68" s="27"/>
      <c r="AB68" s="27"/>
      <c r="AC68" s="27"/>
      <c r="AD68" s="28"/>
      <c r="AE68" s="27"/>
      <c r="AF68" s="30"/>
      <c r="AG68" s="27"/>
      <c r="AH68" s="29"/>
      <c r="AI68" s="27"/>
      <c r="AJ68" s="30"/>
    </row>
    <row r="69" spans="1:36" s="11" customFormat="1" ht="18">
      <c r="A69" s="27"/>
      <c r="B69" s="27"/>
      <c r="C69" s="27"/>
      <c r="D69" s="27"/>
      <c r="E69" s="28"/>
      <c r="F69" s="27"/>
      <c r="G69" s="27"/>
      <c r="H69" s="27"/>
      <c r="I69" s="29"/>
      <c r="J69" s="27"/>
      <c r="K69" s="27"/>
      <c r="L69" s="27"/>
      <c r="M69" s="27"/>
      <c r="N69" s="27"/>
      <c r="O69" s="27"/>
      <c r="P69" s="27"/>
      <c r="Q69" s="27"/>
      <c r="R69" s="28"/>
      <c r="S69" s="27"/>
      <c r="T69" s="30"/>
      <c r="U69" s="27"/>
      <c r="V69" s="29"/>
      <c r="W69" s="27"/>
      <c r="X69" s="30"/>
      <c r="Y69" s="27"/>
      <c r="Z69" s="27"/>
      <c r="AA69" s="27"/>
      <c r="AB69" s="27"/>
      <c r="AC69" s="27"/>
      <c r="AD69" s="28"/>
      <c r="AE69" s="27"/>
      <c r="AF69" s="30"/>
      <c r="AG69" s="27"/>
      <c r="AH69" s="29"/>
      <c r="AI69" s="27"/>
      <c r="AJ69" s="30"/>
    </row>
    <row r="70" spans="1:36" s="11" customFormat="1" ht="18">
      <c r="A70" s="27"/>
      <c r="B70" s="27"/>
      <c r="C70" s="27"/>
      <c r="D70" s="27"/>
      <c r="E70" s="28"/>
      <c r="F70" s="27"/>
      <c r="G70" s="27"/>
      <c r="H70" s="27"/>
      <c r="I70" s="29"/>
      <c r="J70" s="27"/>
      <c r="K70" s="27"/>
      <c r="L70" s="27"/>
      <c r="M70" s="27"/>
      <c r="N70" s="27"/>
      <c r="O70" s="27"/>
      <c r="P70" s="27"/>
      <c r="Q70" s="27"/>
      <c r="R70" s="28"/>
      <c r="S70" s="27"/>
      <c r="T70" s="30"/>
      <c r="U70" s="27"/>
      <c r="V70" s="29"/>
      <c r="W70" s="27"/>
      <c r="X70" s="30"/>
      <c r="Y70" s="27"/>
      <c r="Z70" s="27"/>
      <c r="AA70" s="27"/>
      <c r="AB70" s="27"/>
      <c r="AC70" s="27"/>
      <c r="AD70" s="28"/>
      <c r="AE70" s="27"/>
      <c r="AF70" s="30"/>
      <c r="AG70" s="27"/>
      <c r="AH70" s="29"/>
      <c r="AI70" s="27"/>
      <c r="AJ70" s="30"/>
    </row>
    <row r="71" spans="1:36" s="11" customFormat="1" ht="18">
      <c r="A71" s="27"/>
      <c r="B71" s="27"/>
      <c r="C71" s="27"/>
      <c r="D71" s="27"/>
      <c r="E71" s="28"/>
      <c r="F71" s="27"/>
      <c r="G71" s="27"/>
      <c r="H71" s="27"/>
      <c r="I71" s="29"/>
      <c r="J71" s="27"/>
      <c r="K71" s="27"/>
      <c r="L71" s="27"/>
      <c r="M71" s="27"/>
      <c r="N71" s="27"/>
      <c r="O71" s="27"/>
      <c r="P71" s="27"/>
      <c r="Q71" s="27"/>
      <c r="R71" s="28"/>
      <c r="S71" s="27"/>
      <c r="T71" s="30"/>
      <c r="U71" s="27"/>
      <c r="V71" s="29"/>
      <c r="W71" s="27"/>
      <c r="X71" s="30"/>
      <c r="Y71" s="27"/>
      <c r="Z71" s="27"/>
      <c r="AA71" s="27"/>
      <c r="AB71" s="27"/>
      <c r="AC71" s="27"/>
      <c r="AD71" s="28"/>
      <c r="AE71" s="27"/>
      <c r="AF71" s="30"/>
      <c r="AG71" s="27"/>
      <c r="AH71" s="29"/>
      <c r="AI71" s="27"/>
      <c r="AJ71" s="30"/>
    </row>
    <row r="72" spans="1:36" s="13" customFormat="1" ht="18.75">
      <c r="A72" s="36" t="s">
        <v>95</v>
      </c>
      <c r="B72" s="37"/>
      <c r="C72" s="37"/>
      <c r="D72" s="37"/>
      <c r="E72" s="38"/>
      <c r="F72" s="37"/>
      <c r="G72" s="37"/>
      <c r="H72" s="37"/>
      <c r="I72" s="39"/>
      <c r="J72" s="37"/>
      <c r="K72" s="37"/>
      <c r="L72" s="37"/>
      <c r="M72" s="37"/>
      <c r="N72" s="36" t="s">
        <v>95</v>
      </c>
      <c r="O72" s="27"/>
      <c r="P72" s="27"/>
      <c r="Q72" s="27"/>
      <c r="R72" s="28"/>
      <c r="S72" s="27"/>
      <c r="T72" s="30"/>
      <c r="U72" s="27"/>
      <c r="V72" s="29"/>
      <c r="W72" s="27"/>
      <c r="X72" s="30"/>
      <c r="Y72" s="37"/>
      <c r="Z72" s="36" t="s">
        <v>95</v>
      </c>
      <c r="AA72" s="27"/>
      <c r="AB72" s="27"/>
      <c r="AC72" s="27"/>
      <c r="AD72" s="28"/>
      <c r="AE72" s="27"/>
      <c r="AF72" s="30"/>
      <c r="AG72" s="27"/>
      <c r="AH72" s="29"/>
      <c r="AI72" s="27"/>
      <c r="AJ72" s="30"/>
    </row>
    <row r="73" spans="1:36" s="11" customFormat="1" ht="18">
      <c r="A73" s="27"/>
      <c r="B73" s="27"/>
      <c r="C73" s="27"/>
      <c r="D73" s="27"/>
      <c r="E73" s="28"/>
      <c r="F73" s="27"/>
      <c r="G73" s="27"/>
      <c r="H73" s="27"/>
      <c r="I73" s="29"/>
      <c r="J73" s="27"/>
      <c r="K73" s="27"/>
      <c r="L73" s="27"/>
      <c r="M73" s="27"/>
      <c r="N73" s="27"/>
      <c r="O73" s="27"/>
      <c r="P73" s="27"/>
      <c r="Q73" s="27"/>
      <c r="R73" s="28"/>
      <c r="S73" s="27"/>
      <c r="T73" s="30"/>
      <c r="U73" s="27"/>
      <c r="V73" s="29"/>
      <c r="W73" s="27"/>
      <c r="X73" s="30"/>
      <c r="Y73" s="27"/>
      <c r="Z73" s="27"/>
      <c r="AA73" s="27"/>
      <c r="AB73" s="27"/>
      <c r="AC73" s="27"/>
      <c r="AD73" s="28"/>
      <c r="AE73" s="27"/>
      <c r="AF73" s="30"/>
      <c r="AG73" s="27"/>
      <c r="AH73" s="29"/>
      <c r="AI73" s="27"/>
      <c r="AJ73" s="30"/>
    </row>
    <row r="74" spans="1:36" s="65" customFormat="1" ht="18">
      <c r="A74" s="59"/>
      <c r="B74" s="59"/>
      <c r="C74" s="59"/>
      <c r="D74" s="59"/>
      <c r="E74" s="60" t="s">
        <v>83</v>
      </c>
      <c r="F74" s="59"/>
      <c r="G74" s="61" t="s">
        <v>84</v>
      </c>
      <c r="H74" s="59"/>
      <c r="I74" s="62" t="s">
        <v>85</v>
      </c>
      <c r="J74" s="59"/>
      <c r="K74" s="61" t="s">
        <v>84</v>
      </c>
      <c r="L74" s="61"/>
      <c r="M74" s="64"/>
      <c r="N74" s="97"/>
      <c r="O74" s="97"/>
      <c r="P74" s="97"/>
      <c r="Q74" s="97"/>
      <c r="R74" s="60" t="s">
        <v>83</v>
      </c>
      <c r="S74" s="59"/>
      <c r="T74" s="61" t="s">
        <v>84</v>
      </c>
      <c r="U74" s="59"/>
      <c r="V74" s="62" t="s">
        <v>85</v>
      </c>
      <c r="W74" s="59"/>
      <c r="X74" s="61" t="s">
        <v>84</v>
      </c>
      <c r="Y74" s="64"/>
      <c r="Z74" s="97"/>
      <c r="AA74" s="97"/>
      <c r="AB74" s="97"/>
      <c r="AC74" s="97"/>
      <c r="AD74" s="60" t="s">
        <v>83</v>
      </c>
      <c r="AE74" s="59"/>
      <c r="AF74" s="61" t="s">
        <v>84</v>
      </c>
      <c r="AG74" s="59"/>
      <c r="AH74" s="62" t="s">
        <v>85</v>
      </c>
      <c r="AI74" s="59"/>
      <c r="AJ74" s="61" t="s">
        <v>84</v>
      </c>
    </row>
    <row r="75" spans="1:36" s="11" customFormat="1" ht="18">
      <c r="A75" s="27"/>
      <c r="B75" s="27"/>
      <c r="C75" s="27"/>
      <c r="D75" s="27"/>
      <c r="E75" s="28"/>
      <c r="F75" s="27"/>
      <c r="G75" s="27"/>
      <c r="H75" s="27"/>
      <c r="I75" s="29"/>
      <c r="J75" s="27"/>
      <c r="K75" s="27"/>
      <c r="L75" s="27"/>
      <c r="M75" s="27"/>
      <c r="N75" s="27"/>
      <c r="O75" s="27"/>
      <c r="P75" s="27"/>
      <c r="Q75" s="27"/>
      <c r="R75" s="28"/>
      <c r="S75" s="27"/>
      <c r="T75" s="30"/>
      <c r="U75" s="27"/>
      <c r="V75" s="29"/>
      <c r="W75" s="27"/>
      <c r="X75" s="30"/>
      <c r="Y75" s="27"/>
      <c r="Z75" s="27"/>
      <c r="AA75" s="27"/>
      <c r="AB75" s="27"/>
      <c r="AC75" s="27"/>
      <c r="AD75" s="28"/>
      <c r="AE75" s="27"/>
      <c r="AF75" s="30"/>
      <c r="AG75" s="27"/>
      <c r="AH75" s="29"/>
      <c r="AI75" s="27"/>
      <c r="AJ75" s="30"/>
    </row>
    <row r="76" spans="1:36" s="11" customFormat="1" ht="18">
      <c r="A76" s="27" t="s">
        <v>55</v>
      </c>
      <c r="B76" s="27"/>
      <c r="C76" s="27"/>
      <c r="D76" s="27"/>
      <c r="E76" s="28">
        <v>767</v>
      </c>
      <c r="F76" s="27"/>
      <c r="G76" s="30">
        <v>0.016052741732942653</v>
      </c>
      <c r="H76" s="27"/>
      <c r="I76" s="29">
        <v>2707598.1</v>
      </c>
      <c r="J76" s="27"/>
      <c r="K76" s="30">
        <v>0.009961093879174892</v>
      </c>
      <c r="L76" s="30"/>
      <c r="M76" s="27"/>
      <c r="N76" s="27" t="s">
        <v>55</v>
      </c>
      <c r="O76" s="27"/>
      <c r="P76" s="27"/>
      <c r="Q76" s="27"/>
      <c r="R76" s="28">
        <v>423</v>
      </c>
      <c r="S76" s="27"/>
      <c r="T76" s="30">
        <f>+R76/$R$88</f>
        <v>0.015520657518162471</v>
      </c>
      <c r="U76" s="27"/>
      <c r="V76" s="29">
        <v>1485978.06</v>
      </c>
      <c r="W76" s="27"/>
      <c r="X76" s="30">
        <f>+V76/$V$88</f>
        <v>0.010712091526921541</v>
      </c>
      <c r="Y76" s="27"/>
      <c r="Z76" s="27" t="s">
        <v>55</v>
      </c>
      <c r="AA76" s="27"/>
      <c r="AB76" s="27"/>
      <c r="AC76" s="27"/>
      <c r="AD76" s="28">
        <v>3807</v>
      </c>
      <c r="AE76" s="27"/>
      <c r="AF76" s="30">
        <v>0.1426002921676593</v>
      </c>
      <c r="AG76" s="27"/>
      <c r="AH76" s="29">
        <v>1857655.6</v>
      </c>
      <c r="AI76" s="27"/>
      <c r="AJ76" s="30">
        <v>0.013910324290505066</v>
      </c>
    </row>
    <row r="77" spans="1:36" s="11" customFormat="1" ht="18">
      <c r="A77" s="27" t="s">
        <v>56</v>
      </c>
      <c r="B77" s="27"/>
      <c r="C77" s="27"/>
      <c r="D77" s="27"/>
      <c r="E77" s="28">
        <v>994</v>
      </c>
      <c r="F77" s="27"/>
      <c r="G77" s="30">
        <v>0.020803683549602343</v>
      </c>
      <c r="H77" s="27"/>
      <c r="I77" s="29">
        <v>1135042.18</v>
      </c>
      <c r="J77" s="27"/>
      <c r="K77" s="30">
        <v>0.004175753303935072</v>
      </c>
      <c r="L77" s="30"/>
      <c r="M77" s="27"/>
      <c r="N77" s="27" t="s">
        <v>56</v>
      </c>
      <c r="O77" s="27"/>
      <c r="P77" s="27"/>
      <c r="Q77" s="27"/>
      <c r="R77" s="28">
        <v>807</v>
      </c>
      <c r="S77" s="27"/>
      <c r="T77" s="30">
        <f aca="true" t="shared" si="6" ref="T77:T86">+R77/$R$88</f>
        <v>0.02961033242826741</v>
      </c>
      <c r="U77" s="27"/>
      <c r="V77" s="29">
        <v>1551464.72</v>
      </c>
      <c r="W77" s="27"/>
      <c r="X77" s="30">
        <f aca="true" t="shared" si="7" ref="X77:X86">+V77/$V$88</f>
        <v>0.011184170566710588</v>
      </c>
      <c r="Y77" s="27"/>
      <c r="Z77" s="27" t="s">
        <v>56</v>
      </c>
      <c r="AA77" s="27"/>
      <c r="AB77" s="27"/>
      <c r="AC77" s="27"/>
      <c r="AD77" s="28">
        <v>105</v>
      </c>
      <c r="AE77" s="27"/>
      <c r="AF77" s="30">
        <v>0.003933026182717159</v>
      </c>
      <c r="AG77" s="27"/>
      <c r="AH77" s="29">
        <v>136104.24</v>
      </c>
      <c r="AI77" s="27"/>
      <c r="AJ77" s="30">
        <v>0.0010191631407418745</v>
      </c>
    </row>
    <row r="78" spans="1:36" s="11" customFormat="1" ht="18">
      <c r="A78" s="27" t="s">
        <v>57</v>
      </c>
      <c r="B78" s="27"/>
      <c r="C78" s="27"/>
      <c r="D78" s="27"/>
      <c r="E78" s="28">
        <v>8533</v>
      </c>
      <c r="F78" s="27"/>
      <c r="G78" s="30">
        <v>0.17858936793637506</v>
      </c>
      <c r="H78" s="27"/>
      <c r="I78" s="29">
        <v>21588538.98</v>
      </c>
      <c r="J78" s="27"/>
      <c r="K78" s="30">
        <v>0.07942296291831737</v>
      </c>
      <c r="L78" s="30"/>
      <c r="M78" s="27"/>
      <c r="N78" s="27" t="s">
        <v>57</v>
      </c>
      <c r="O78" s="27"/>
      <c r="P78" s="27"/>
      <c r="Q78" s="27"/>
      <c r="R78" s="28">
        <v>3518</v>
      </c>
      <c r="S78" s="27"/>
      <c r="T78" s="30">
        <f t="shared" si="6"/>
        <v>0.12908196961913848</v>
      </c>
      <c r="U78" s="27"/>
      <c r="V78" s="29">
        <v>9624006.86</v>
      </c>
      <c r="W78" s="27"/>
      <c r="X78" s="30">
        <f t="shared" si="7"/>
        <v>0.06937736506018183</v>
      </c>
      <c r="Y78" s="27"/>
      <c r="Z78" s="27" t="s">
        <v>57</v>
      </c>
      <c r="AA78" s="27"/>
      <c r="AB78" s="27"/>
      <c r="AC78" s="27"/>
      <c r="AD78" s="28">
        <v>3041</v>
      </c>
      <c r="AE78" s="27"/>
      <c r="AF78" s="30">
        <v>0.1139079297299322</v>
      </c>
      <c r="AG78" s="27"/>
      <c r="AH78" s="29">
        <v>9598746.559999995</v>
      </c>
      <c r="AI78" s="27"/>
      <c r="AJ78" s="30">
        <v>0.07187644331488027</v>
      </c>
    </row>
    <row r="79" spans="1:36" s="11" customFormat="1" ht="18">
      <c r="A79" s="27" t="s">
        <v>58</v>
      </c>
      <c r="B79" s="27"/>
      <c r="C79" s="27"/>
      <c r="D79" s="27"/>
      <c r="E79" s="28">
        <v>3200</v>
      </c>
      <c r="F79" s="27"/>
      <c r="G79" s="30">
        <v>0.06697362913352867</v>
      </c>
      <c r="H79" s="27"/>
      <c r="I79" s="29">
        <v>12711430.59</v>
      </c>
      <c r="J79" s="27"/>
      <c r="K79" s="30">
        <v>0.04676460418760284</v>
      </c>
      <c r="L79" s="30"/>
      <c r="M79" s="27"/>
      <c r="N79" s="27" t="s">
        <v>58</v>
      </c>
      <c r="O79" s="27"/>
      <c r="P79" s="27"/>
      <c r="Q79" s="27"/>
      <c r="R79" s="28">
        <v>4142</v>
      </c>
      <c r="S79" s="27"/>
      <c r="T79" s="30">
        <f t="shared" si="6"/>
        <v>0.151977691348059</v>
      </c>
      <c r="U79" s="27"/>
      <c r="V79" s="29">
        <v>15140332.61</v>
      </c>
      <c r="W79" s="27"/>
      <c r="X79" s="30">
        <f t="shared" si="7"/>
        <v>0.1091433534801684</v>
      </c>
      <c r="Y79" s="27"/>
      <c r="Z79" s="27" t="s">
        <v>58</v>
      </c>
      <c r="AA79" s="27"/>
      <c r="AB79" s="27"/>
      <c r="AC79" s="27"/>
      <c r="AD79" s="28">
        <v>1329</v>
      </c>
      <c r="AE79" s="27"/>
      <c r="AF79" s="30">
        <v>0.04978087425553433</v>
      </c>
      <c r="AG79" s="27"/>
      <c r="AH79" s="29">
        <v>5414202.800000009</v>
      </c>
      <c r="AI79" s="27"/>
      <c r="AJ79" s="30">
        <v>0.04054213101855946</v>
      </c>
    </row>
    <row r="80" spans="1:36" s="11" customFormat="1" ht="18">
      <c r="A80" s="27" t="s">
        <v>59</v>
      </c>
      <c r="B80" s="27"/>
      <c r="C80" s="27"/>
      <c r="D80" s="27"/>
      <c r="E80" s="28">
        <v>15540</v>
      </c>
      <c r="F80" s="27"/>
      <c r="G80" s="30">
        <v>0.3252406864796986</v>
      </c>
      <c r="H80" s="27"/>
      <c r="I80" s="29">
        <v>83174918.37</v>
      </c>
      <c r="J80" s="27"/>
      <c r="K80" s="30">
        <v>0.30599562404637465</v>
      </c>
      <c r="L80" s="30"/>
      <c r="M80" s="27"/>
      <c r="N80" s="27" t="s">
        <v>59</v>
      </c>
      <c r="O80" s="27"/>
      <c r="P80" s="27"/>
      <c r="Q80" s="27"/>
      <c r="R80" s="28">
        <f>6211+125</f>
        <v>6336</v>
      </c>
      <c r="S80" s="27"/>
      <c r="T80" s="30">
        <f t="shared" si="6"/>
        <v>0.2324796360167315</v>
      </c>
      <c r="U80" s="27"/>
      <c r="V80" s="29">
        <f>29352855.26+664376.24</f>
        <v>30017231.5</v>
      </c>
      <c r="W80" s="27"/>
      <c r="X80" s="30">
        <f t="shared" si="7"/>
        <v>0.21638767076600873</v>
      </c>
      <c r="Y80" s="27"/>
      <c r="Z80" s="27" t="s">
        <v>59</v>
      </c>
      <c r="AA80" s="27"/>
      <c r="AB80" s="27"/>
      <c r="AC80" s="27"/>
      <c r="AD80" s="28">
        <v>7383</v>
      </c>
      <c r="AE80" s="27"/>
      <c r="AF80" s="30">
        <v>0.27654792673334083</v>
      </c>
      <c r="AG80" s="27"/>
      <c r="AH80" s="29">
        <v>36888931.589999944</v>
      </c>
      <c r="AI80" s="27"/>
      <c r="AJ80" s="30">
        <v>0.2762282745774599</v>
      </c>
    </row>
    <row r="81" spans="1:36" s="11" customFormat="1" ht="18">
      <c r="A81" s="27" t="s">
        <v>60</v>
      </c>
      <c r="B81" s="27"/>
      <c r="C81" s="27"/>
      <c r="D81" s="27"/>
      <c r="E81" s="28">
        <v>56</v>
      </c>
      <c r="F81" s="27"/>
      <c r="G81" s="30">
        <v>0.0011720385098367518</v>
      </c>
      <c r="H81" s="27"/>
      <c r="I81" s="29">
        <v>345803.98</v>
      </c>
      <c r="J81" s="27"/>
      <c r="K81" s="30">
        <v>0.0012721924677714601</v>
      </c>
      <c r="L81" s="30"/>
      <c r="M81" s="27"/>
      <c r="N81" s="27" t="s">
        <v>60</v>
      </c>
      <c r="O81" s="27"/>
      <c r="P81" s="27"/>
      <c r="Q81" s="27"/>
      <c r="R81" s="28">
        <v>917</v>
      </c>
      <c r="S81" s="27"/>
      <c r="T81" s="30">
        <f t="shared" si="6"/>
        <v>0.033646437220224555</v>
      </c>
      <c r="U81" s="27"/>
      <c r="V81" s="29">
        <v>6000703.55</v>
      </c>
      <c r="W81" s="27"/>
      <c r="X81" s="30">
        <f t="shared" si="7"/>
        <v>0.043257762267043844</v>
      </c>
      <c r="Y81" s="27"/>
      <c r="Z81" s="27" t="s">
        <v>60</v>
      </c>
      <c r="AA81" s="27"/>
      <c r="AB81" s="27"/>
      <c r="AC81" s="27"/>
      <c r="AD81" s="28">
        <v>239</v>
      </c>
      <c r="AE81" s="27"/>
      <c r="AF81" s="30">
        <v>0.008952316739708581</v>
      </c>
      <c r="AG81" s="27"/>
      <c r="AH81" s="29">
        <v>1662319.06</v>
      </c>
      <c r="AI81" s="27"/>
      <c r="AJ81" s="30">
        <v>0.012447623337117783</v>
      </c>
    </row>
    <row r="82" spans="1:36" s="11" customFormat="1" ht="18">
      <c r="A82" s="27" t="s">
        <v>61</v>
      </c>
      <c r="B82" s="27"/>
      <c r="C82" s="27"/>
      <c r="D82" s="27"/>
      <c r="E82" s="28">
        <v>5023</v>
      </c>
      <c r="F82" s="27"/>
      <c r="G82" s="30">
        <v>0.10512766848053579</v>
      </c>
      <c r="H82" s="27"/>
      <c r="I82" s="29">
        <v>45252990.41</v>
      </c>
      <c r="J82" s="27"/>
      <c r="K82" s="30">
        <v>0.16648308542815532</v>
      </c>
      <c r="L82" s="30"/>
      <c r="M82" s="27"/>
      <c r="N82" s="27" t="s">
        <v>61</v>
      </c>
      <c r="O82" s="27"/>
      <c r="P82" s="27"/>
      <c r="Q82" s="27"/>
      <c r="R82" s="28">
        <v>2083</v>
      </c>
      <c r="S82" s="27"/>
      <c r="T82" s="30">
        <f t="shared" si="6"/>
        <v>0.07642914801497028</v>
      </c>
      <c r="U82" s="27"/>
      <c r="V82" s="29">
        <v>15896344.23</v>
      </c>
      <c r="W82" s="27"/>
      <c r="X82" s="30">
        <f t="shared" si="7"/>
        <v>0.11459327625282108</v>
      </c>
      <c r="Y82" s="27"/>
      <c r="Z82" s="27" t="s">
        <v>61</v>
      </c>
      <c r="AA82" s="27"/>
      <c r="AB82" s="27"/>
      <c r="AC82" s="27"/>
      <c r="AD82" s="28">
        <v>2585</v>
      </c>
      <c r="AE82" s="27"/>
      <c r="AF82" s="30">
        <v>0.09682735887927482</v>
      </c>
      <c r="AG82" s="27"/>
      <c r="AH82" s="29">
        <v>20793065.269999996</v>
      </c>
      <c r="AI82" s="27"/>
      <c r="AJ82" s="30">
        <v>0.1557007019489179</v>
      </c>
    </row>
    <row r="83" spans="1:36" s="11" customFormat="1" ht="18">
      <c r="A83" s="27" t="s">
        <v>62</v>
      </c>
      <c r="B83" s="27"/>
      <c r="C83" s="27"/>
      <c r="D83" s="27"/>
      <c r="E83" s="28">
        <v>96</v>
      </c>
      <c r="F83" s="27"/>
      <c r="G83" s="30">
        <v>0.00200920887400586</v>
      </c>
      <c r="H83" s="27"/>
      <c r="I83" s="29">
        <v>821645.55</v>
      </c>
      <c r="J83" s="27"/>
      <c r="K83" s="30">
        <v>0.0030227855673839806</v>
      </c>
      <c r="L83" s="30"/>
      <c r="M83" s="27"/>
      <c r="N83" s="27" t="s">
        <v>62</v>
      </c>
      <c r="O83" s="27"/>
      <c r="P83" s="27"/>
      <c r="Q83" s="27"/>
      <c r="R83" s="28">
        <v>2405</v>
      </c>
      <c r="S83" s="27"/>
      <c r="T83" s="30">
        <f t="shared" si="6"/>
        <v>0.08824392749688119</v>
      </c>
      <c r="U83" s="27"/>
      <c r="V83" s="29">
        <v>20021234.9</v>
      </c>
      <c r="W83" s="27"/>
      <c r="X83" s="30">
        <f t="shared" si="7"/>
        <v>0.144328712855152</v>
      </c>
      <c r="Y83" s="27"/>
      <c r="Z83" s="27" t="s">
        <v>62</v>
      </c>
      <c r="AA83" s="27"/>
      <c r="AB83" s="27"/>
      <c r="AC83" s="27"/>
      <c r="AD83" s="28">
        <v>38</v>
      </c>
      <c r="AE83" s="27"/>
      <c r="AF83" s="30">
        <v>0.001423380904221448</v>
      </c>
      <c r="AG83" s="27"/>
      <c r="AH83" s="29">
        <v>273240.08</v>
      </c>
      <c r="AI83" s="27"/>
      <c r="AJ83" s="30">
        <v>0.002046051012880724</v>
      </c>
    </row>
    <row r="84" spans="1:36" s="11" customFormat="1" ht="18">
      <c r="A84" s="27" t="s">
        <v>63</v>
      </c>
      <c r="B84" s="27"/>
      <c r="C84" s="27"/>
      <c r="D84" s="27"/>
      <c r="E84" s="28">
        <v>42</v>
      </c>
      <c r="F84" s="27"/>
      <c r="G84" s="30">
        <v>0.0008790288823775638</v>
      </c>
      <c r="H84" s="27"/>
      <c r="I84" s="29">
        <v>252284.96</v>
      </c>
      <c r="J84" s="27"/>
      <c r="K84" s="30">
        <v>0.0009281415032991353</v>
      </c>
      <c r="L84" s="30"/>
      <c r="M84" s="27"/>
      <c r="N84" s="27" t="s">
        <v>63</v>
      </c>
      <c r="O84" s="27"/>
      <c r="P84" s="27"/>
      <c r="Q84" s="27"/>
      <c r="R84" s="28">
        <v>27</v>
      </c>
      <c r="S84" s="27"/>
      <c r="T84" s="30">
        <f t="shared" si="6"/>
        <v>0.0009906802671167535</v>
      </c>
      <c r="U84" s="27"/>
      <c r="V84" s="29">
        <v>103165.32</v>
      </c>
      <c r="W84" s="27"/>
      <c r="X84" s="30">
        <f t="shared" si="7"/>
        <v>0.0007436962765413572</v>
      </c>
      <c r="Y84" s="27"/>
      <c r="Z84" s="27" t="s">
        <v>63</v>
      </c>
      <c r="AA84" s="27"/>
      <c r="AB84" s="27"/>
      <c r="AC84" s="27"/>
      <c r="AD84" s="28">
        <v>2231</v>
      </c>
      <c r="AE84" s="27"/>
      <c r="AF84" s="30">
        <v>0.08356744203468555</v>
      </c>
      <c r="AG84" s="27"/>
      <c r="AH84" s="29">
        <v>19501883.28</v>
      </c>
      <c r="AI84" s="27"/>
      <c r="AJ84" s="30">
        <v>0.14603219278125543</v>
      </c>
    </row>
    <row r="85" spans="1:36" s="11" customFormat="1" ht="18">
      <c r="A85" s="27" t="s">
        <v>64</v>
      </c>
      <c r="B85" s="27"/>
      <c r="C85" s="27"/>
      <c r="D85" s="27"/>
      <c r="E85" s="28">
        <v>13529</v>
      </c>
      <c r="F85" s="27"/>
      <c r="G85" s="30">
        <v>0.2831519464210967</v>
      </c>
      <c r="H85" s="27"/>
      <c r="I85" s="29">
        <v>103827092.73</v>
      </c>
      <c r="J85" s="27"/>
      <c r="K85" s="30">
        <v>0.38197375669798517</v>
      </c>
      <c r="L85" s="30"/>
      <c r="M85" s="27"/>
      <c r="N85" s="27" t="s">
        <v>64</v>
      </c>
      <c r="O85" s="27"/>
      <c r="P85" s="27"/>
      <c r="Q85" s="27"/>
      <c r="R85" s="28">
        <v>6596</v>
      </c>
      <c r="S85" s="27"/>
      <c r="T85" s="30">
        <f t="shared" si="6"/>
        <v>0.24201952007044839</v>
      </c>
      <c r="U85" s="27"/>
      <c r="V85" s="29">
        <v>38879232.37</v>
      </c>
      <c r="W85" s="27"/>
      <c r="X85" s="30">
        <f t="shared" si="7"/>
        <v>0.28027190094845056</v>
      </c>
      <c r="Y85" s="27"/>
      <c r="Z85" s="27" t="s">
        <v>64</v>
      </c>
      <c r="AA85" s="27"/>
      <c r="AB85" s="27"/>
      <c r="AC85" s="27"/>
      <c r="AD85" s="28">
        <v>5939</v>
      </c>
      <c r="AE85" s="27"/>
      <c r="AF85" s="30">
        <v>0.2224594523729258</v>
      </c>
      <c r="AG85" s="27"/>
      <c r="AH85" s="29">
        <v>37418948.04000005</v>
      </c>
      <c r="AI85" s="27"/>
      <c r="AJ85" s="30">
        <v>0.28019709457768155</v>
      </c>
    </row>
    <row r="86" spans="1:36" s="11" customFormat="1" ht="18">
      <c r="A86" s="27" t="s">
        <v>65</v>
      </c>
      <c r="B86" s="27"/>
      <c r="C86" s="27"/>
      <c r="D86" s="27"/>
      <c r="E86" s="28">
        <v>0</v>
      </c>
      <c r="F86" s="27"/>
      <c r="G86" s="30">
        <v>0</v>
      </c>
      <c r="H86" s="27"/>
      <c r="I86" s="29">
        <v>0</v>
      </c>
      <c r="J86" s="27"/>
      <c r="K86" s="30">
        <v>0</v>
      </c>
      <c r="L86" s="30"/>
      <c r="M86" s="27"/>
      <c r="N86" s="27" t="s">
        <v>65</v>
      </c>
      <c r="O86" s="27"/>
      <c r="P86" s="27"/>
      <c r="Q86" s="27"/>
      <c r="R86" s="28">
        <v>0</v>
      </c>
      <c r="S86" s="27"/>
      <c r="T86" s="30">
        <f t="shared" si="6"/>
        <v>0</v>
      </c>
      <c r="U86" s="27"/>
      <c r="V86" s="29">
        <v>0</v>
      </c>
      <c r="W86" s="27"/>
      <c r="X86" s="30">
        <f t="shared" si="7"/>
        <v>0</v>
      </c>
      <c r="Y86" s="27"/>
      <c r="Z86" s="27" t="s">
        <v>65</v>
      </c>
      <c r="AA86" s="27"/>
      <c r="AB86" s="27"/>
      <c r="AC86" s="27"/>
      <c r="AD86" s="28">
        <v>0</v>
      </c>
      <c r="AE86" s="27"/>
      <c r="AF86" s="30">
        <v>0</v>
      </c>
      <c r="AG86" s="27"/>
      <c r="AH86" s="29">
        <v>0</v>
      </c>
      <c r="AI86" s="27"/>
      <c r="AJ86" s="30">
        <v>0</v>
      </c>
    </row>
    <row r="87" spans="1:36" s="11" customFormat="1" ht="18">
      <c r="A87" s="27"/>
      <c r="B87" s="27"/>
      <c r="C87" s="27"/>
      <c r="D87" s="27"/>
      <c r="E87" s="28"/>
      <c r="F87" s="27"/>
      <c r="G87" s="27"/>
      <c r="H87" s="27"/>
      <c r="I87" s="29"/>
      <c r="J87" s="27"/>
      <c r="K87" s="27"/>
      <c r="L87" s="27"/>
      <c r="M87" s="27"/>
      <c r="N87" s="27"/>
      <c r="O87" s="27"/>
      <c r="P87" s="27"/>
      <c r="Q87" s="27"/>
      <c r="R87" s="28"/>
      <c r="S87" s="27"/>
      <c r="T87" s="30"/>
      <c r="U87" s="27"/>
      <c r="V87" s="29"/>
      <c r="W87" s="27"/>
      <c r="X87" s="30"/>
      <c r="Y87" s="27"/>
      <c r="Z87" s="27"/>
      <c r="AA87" s="27"/>
      <c r="AB87" s="27"/>
      <c r="AC87" s="27"/>
      <c r="AD87" s="28"/>
      <c r="AE87" s="27"/>
      <c r="AF87" s="30"/>
      <c r="AG87" s="27"/>
      <c r="AH87" s="29"/>
      <c r="AI87" s="27"/>
      <c r="AJ87" s="30"/>
    </row>
    <row r="88" spans="1:36" s="12" customFormat="1" ht="18.75" thickBot="1">
      <c r="A88" s="26"/>
      <c r="B88" s="26"/>
      <c r="C88" s="26"/>
      <c r="D88" s="26"/>
      <c r="E88" s="70">
        <v>47780</v>
      </c>
      <c r="F88" s="26"/>
      <c r="G88" s="26"/>
      <c r="H88" s="26"/>
      <c r="I88" s="71">
        <v>271817345.85</v>
      </c>
      <c r="J88" s="26"/>
      <c r="K88" s="72"/>
      <c r="L88" s="72"/>
      <c r="M88" s="26"/>
      <c r="N88" s="97"/>
      <c r="O88" s="97"/>
      <c r="P88" s="97"/>
      <c r="Q88" s="97"/>
      <c r="R88" s="98">
        <f>SUM(R76:R87)</f>
        <v>27254</v>
      </c>
      <c r="S88" s="97"/>
      <c r="T88" s="99"/>
      <c r="U88" s="97"/>
      <c r="V88" s="100">
        <f>SUM(V76:V87)</f>
        <v>138719694.12</v>
      </c>
      <c r="W88" s="97"/>
      <c r="X88" s="99"/>
      <c r="Y88" s="26"/>
      <c r="Z88" s="97"/>
      <c r="AA88" s="97"/>
      <c r="AB88" s="97"/>
      <c r="AC88" s="97"/>
      <c r="AD88" s="98">
        <v>26697</v>
      </c>
      <c r="AE88" s="97"/>
      <c r="AF88" s="99"/>
      <c r="AG88" s="97"/>
      <c r="AH88" s="100">
        <v>133545096.52</v>
      </c>
      <c r="AI88" s="97"/>
      <c r="AJ88" s="99"/>
    </row>
    <row r="89" spans="1:36" s="11" customFormat="1" ht="18.75" thickTop="1">
      <c r="A89" s="27"/>
      <c r="B89" s="27"/>
      <c r="C89" s="27"/>
      <c r="D89" s="27"/>
      <c r="E89" s="28"/>
      <c r="F89" s="27"/>
      <c r="G89" s="27"/>
      <c r="H89" s="27"/>
      <c r="I89" s="29"/>
      <c r="J89" s="27"/>
      <c r="K89" s="27"/>
      <c r="L89" s="27"/>
      <c r="M89" s="27"/>
      <c r="N89" s="27"/>
      <c r="O89" s="27"/>
      <c r="P89" s="27"/>
      <c r="Q89" s="27"/>
      <c r="R89" s="28"/>
      <c r="S89" s="27"/>
      <c r="T89" s="30"/>
      <c r="U89" s="27"/>
      <c r="V89" s="29"/>
      <c r="W89" s="27"/>
      <c r="X89" s="30"/>
      <c r="Y89" s="27"/>
      <c r="Z89" s="27"/>
      <c r="AA89" s="27"/>
      <c r="AB89" s="27"/>
      <c r="AC89" s="27"/>
      <c r="AD89" s="28"/>
      <c r="AE89" s="27"/>
      <c r="AF89" s="30"/>
      <c r="AG89" s="27"/>
      <c r="AH89" s="29"/>
      <c r="AI89" s="27"/>
      <c r="AJ89" s="30"/>
    </row>
    <row r="90" spans="1:36" s="11" customFormat="1" ht="18">
      <c r="A90" s="27"/>
      <c r="B90" s="27"/>
      <c r="C90" s="27"/>
      <c r="D90" s="27"/>
      <c r="E90" s="28"/>
      <c r="F90" s="27"/>
      <c r="G90" s="27"/>
      <c r="H90" s="27"/>
      <c r="I90" s="29"/>
      <c r="J90" s="27"/>
      <c r="K90" s="27"/>
      <c r="L90" s="27"/>
      <c r="M90" s="27"/>
      <c r="N90" s="27"/>
      <c r="O90" s="27"/>
      <c r="P90" s="27"/>
      <c r="Q90" s="27"/>
      <c r="R90" s="28"/>
      <c r="S90" s="27"/>
      <c r="T90" s="30"/>
      <c r="U90" s="27"/>
      <c r="V90" s="29"/>
      <c r="W90" s="27"/>
      <c r="X90" s="30"/>
      <c r="Y90" s="27"/>
      <c r="Z90" s="27"/>
      <c r="AA90" s="27"/>
      <c r="AB90" s="27"/>
      <c r="AC90" s="27"/>
      <c r="AD90" s="28"/>
      <c r="AE90" s="27"/>
      <c r="AF90" s="30"/>
      <c r="AG90" s="27"/>
      <c r="AH90" s="29"/>
      <c r="AI90" s="27"/>
      <c r="AJ90" s="30"/>
    </row>
    <row r="91" spans="1:36" s="13" customFormat="1" ht="18.75">
      <c r="A91" s="36" t="s">
        <v>88</v>
      </c>
      <c r="B91" s="37"/>
      <c r="C91" s="37"/>
      <c r="D91" s="37"/>
      <c r="E91" s="38"/>
      <c r="F91" s="37"/>
      <c r="G91" s="37"/>
      <c r="H91" s="37"/>
      <c r="I91" s="39"/>
      <c r="J91" s="37"/>
      <c r="K91" s="37"/>
      <c r="L91" s="37"/>
      <c r="M91" s="37"/>
      <c r="N91" s="36" t="s">
        <v>88</v>
      </c>
      <c r="O91" s="27"/>
      <c r="P91" s="27"/>
      <c r="Q91" s="27"/>
      <c r="R91" s="28"/>
      <c r="S91" s="27"/>
      <c r="T91" s="30"/>
      <c r="U91" s="27"/>
      <c r="V91" s="29"/>
      <c r="W91" s="27"/>
      <c r="X91" s="30"/>
      <c r="Y91" s="37"/>
      <c r="Z91" s="36" t="s">
        <v>88</v>
      </c>
      <c r="AA91" s="27"/>
      <c r="AB91" s="27"/>
      <c r="AC91" s="27"/>
      <c r="AD91" s="28"/>
      <c r="AE91" s="27"/>
      <c r="AF91" s="30"/>
      <c r="AG91" s="27"/>
      <c r="AH91" s="29"/>
      <c r="AI91" s="27"/>
      <c r="AJ91" s="30"/>
    </row>
    <row r="92" spans="1:36" s="11" customFormat="1" ht="18">
      <c r="A92" s="27"/>
      <c r="B92" s="27"/>
      <c r="C92" s="27"/>
      <c r="D92" s="27"/>
      <c r="E92" s="28"/>
      <c r="F92" s="27"/>
      <c r="G92" s="27"/>
      <c r="H92" s="27"/>
      <c r="I92" s="29"/>
      <c r="J92" s="27"/>
      <c r="K92" s="27"/>
      <c r="L92" s="27"/>
      <c r="M92" s="27"/>
      <c r="N92" s="27"/>
      <c r="O92" s="27"/>
      <c r="P92" s="27"/>
      <c r="Q92" s="27"/>
      <c r="R92" s="28"/>
      <c r="S92" s="27"/>
      <c r="T92" s="30"/>
      <c r="U92" s="27"/>
      <c r="V92" s="29"/>
      <c r="W92" s="27"/>
      <c r="X92" s="30"/>
      <c r="Y92" s="27"/>
      <c r="Z92" s="27"/>
      <c r="AA92" s="27"/>
      <c r="AB92" s="27"/>
      <c r="AC92" s="27"/>
      <c r="AD92" s="28"/>
      <c r="AE92" s="27"/>
      <c r="AF92" s="30"/>
      <c r="AG92" s="27"/>
      <c r="AH92" s="29"/>
      <c r="AI92" s="27"/>
      <c r="AJ92" s="30"/>
    </row>
    <row r="93" spans="1:36" s="65" customFormat="1" ht="18">
      <c r="A93" s="59"/>
      <c r="B93" s="59"/>
      <c r="C93" s="59"/>
      <c r="D93" s="59"/>
      <c r="E93" s="60" t="s">
        <v>83</v>
      </c>
      <c r="F93" s="59"/>
      <c r="G93" s="61" t="s">
        <v>84</v>
      </c>
      <c r="H93" s="59"/>
      <c r="I93" s="62" t="s">
        <v>85</v>
      </c>
      <c r="J93" s="59"/>
      <c r="K93" s="61" t="s">
        <v>84</v>
      </c>
      <c r="L93" s="61"/>
      <c r="M93" s="64"/>
      <c r="N93" s="97"/>
      <c r="O93" s="97"/>
      <c r="P93" s="97"/>
      <c r="Q93" s="97"/>
      <c r="R93" s="60" t="s">
        <v>83</v>
      </c>
      <c r="S93" s="59"/>
      <c r="T93" s="61" t="s">
        <v>84</v>
      </c>
      <c r="U93" s="59"/>
      <c r="V93" s="62" t="s">
        <v>85</v>
      </c>
      <c r="W93" s="59"/>
      <c r="X93" s="61" t="s">
        <v>84</v>
      </c>
      <c r="Y93" s="64"/>
      <c r="Z93" s="97"/>
      <c r="AA93" s="97"/>
      <c r="AB93" s="97"/>
      <c r="AC93" s="97"/>
      <c r="AD93" s="60" t="s">
        <v>83</v>
      </c>
      <c r="AE93" s="59"/>
      <c r="AF93" s="61" t="s">
        <v>84</v>
      </c>
      <c r="AG93" s="59"/>
      <c r="AH93" s="62" t="s">
        <v>85</v>
      </c>
      <c r="AI93" s="59"/>
      <c r="AJ93" s="61" t="s">
        <v>84</v>
      </c>
    </row>
    <row r="94" spans="1:36" s="11" customFormat="1" ht="18">
      <c r="A94" s="27"/>
      <c r="B94" s="27"/>
      <c r="C94" s="27"/>
      <c r="D94" s="27"/>
      <c r="E94" s="28"/>
      <c r="F94" s="27"/>
      <c r="G94" s="27"/>
      <c r="H94" s="27"/>
      <c r="I94" s="29"/>
      <c r="J94" s="27"/>
      <c r="K94" s="27"/>
      <c r="L94" s="27"/>
      <c r="M94" s="27"/>
      <c r="N94" s="27"/>
      <c r="O94" s="27"/>
      <c r="P94" s="27"/>
      <c r="Q94" s="27"/>
      <c r="R94" s="28"/>
      <c r="S94" s="27"/>
      <c r="T94" s="30"/>
      <c r="U94" s="27"/>
      <c r="V94" s="29"/>
      <c r="W94" s="27"/>
      <c r="X94" s="30"/>
      <c r="Y94" s="27"/>
      <c r="Z94" s="27"/>
      <c r="AA94" s="27"/>
      <c r="AB94" s="27"/>
      <c r="AC94" s="27"/>
      <c r="AD94" s="28"/>
      <c r="AE94" s="27"/>
      <c r="AF94" s="30"/>
      <c r="AG94" s="27"/>
      <c r="AH94" s="29"/>
      <c r="AI94" s="27"/>
      <c r="AJ94" s="30"/>
    </row>
    <row r="95" spans="1:36" s="11" customFormat="1" ht="18">
      <c r="A95" s="27" t="s">
        <v>55</v>
      </c>
      <c r="B95" s="27"/>
      <c r="C95" s="27"/>
      <c r="D95" s="27"/>
      <c r="E95" s="28">
        <v>3900</v>
      </c>
      <c r="F95" s="27"/>
      <c r="G95" s="30">
        <v>0.08162411050648807</v>
      </c>
      <c r="H95" s="27"/>
      <c r="I95" s="29">
        <v>2248914.57</v>
      </c>
      <c r="J95" s="27"/>
      <c r="K95" s="30">
        <v>0.008273624188645254</v>
      </c>
      <c r="L95" s="30"/>
      <c r="M95" s="27"/>
      <c r="N95" s="27" t="s">
        <v>55</v>
      </c>
      <c r="O95" s="27"/>
      <c r="P95" s="27"/>
      <c r="Q95" s="27"/>
      <c r="R95" s="28">
        <v>5466</v>
      </c>
      <c r="S95" s="27"/>
      <c r="T95" s="30">
        <f>+R95/$R$107</f>
        <v>0.20055771629852498</v>
      </c>
      <c r="U95" s="27"/>
      <c r="V95" s="29">
        <v>10689276.68</v>
      </c>
      <c r="W95" s="27"/>
      <c r="X95" s="30">
        <f>+V95/$V$107</f>
        <v>0.07705666270250855</v>
      </c>
      <c r="Y95" s="27"/>
      <c r="Z95" s="27" t="s">
        <v>55</v>
      </c>
      <c r="AA95" s="27"/>
      <c r="AB95" s="27"/>
      <c r="AC95" s="27"/>
      <c r="AD95" s="28">
        <v>5857</v>
      </c>
      <c r="AE95" s="27"/>
      <c r="AF95" s="30">
        <v>0.21938794621118476</v>
      </c>
      <c r="AG95" s="27"/>
      <c r="AH95" s="29">
        <v>11704104.43999999</v>
      </c>
      <c r="AI95" s="27"/>
      <c r="AJ95" s="30">
        <v>0.08764158883397974</v>
      </c>
    </row>
    <row r="96" spans="1:36" s="11" customFormat="1" ht="18">
      <c r="A96" s="27" t="s">
        <v>56</v>
      </c>
      <c r="B96" s="27"/>
      <c r="C96" s="27"/>
      <c r="D96" s="27"/>
      <c r="E96" s="28">
        <v>4023</v>
      </c>
      <c r="F96" s="27"/>
      <c r="G96" s="30">
        <v>0.08419840937630808</v>
      </c>
      <c r="H96" s="27"/>
      <c r="I96" s="29">
        <v>7298835.86</v>
      </c>
      <c r="J96" s="27"/>
      <c r="K96" s="30">
        <v>0.0268519870544693</v>
      </c>
      <c r="L96" s="30"/>
      <c r="M96" s="27"/>
      <c r="N96" s="27" t="s">
        <v>56</v>
      </c>
      <c r="O96" s="27"/>
      <c r="P96" s="27"/>
      <c r="Q96" s="27"/>
      <c r="R96" s="28">
        <v>2588</v>
      </c>
      <c r="S96" s="27"/>
      <c r="T96" s="30">
        <f aca="true" t="shared" si="8" ref="T96:T105">+R96/$R$107</f>
        <v>0.09495853819622807</v>
      </c>
      <c r="U96" s="27"/>
      <c r="V96" s="29">
        <v>7963849.25</v>
      </c>
      <c r="W96" s="27"/>
      <c r="X96" s="30">
        <f aca="true" t="shared" si="9" ref="X96:X105">+V96/$V$107</f>
        <v>0.05740965117116566</v>
      </c>
      <c r="Y96" s="27"/>
      <c r="Z96" s="27" t="s">
        <v>56</v>
      </c>
      <c r="AA96" s="27"/>
      <c r="AB96" s="27"/>
      <c r="AC96" s="27"/>
      <c r="AD96" s="28">
        <v>2286</v>
      </c>
      <c r="AE96" s="27"/>
      <c r="AF96" s="30">
        <v>0.085627598606585</v>
      </c>
      <c r="AG96" s="27"/>
      <c r="AH96" s="29">
        <v>7078412.339999993</v>
      </c>
      <c r="AI96" s="27"/>
      <c r="AJ96" s="30">
        <v>0.05300391047259386</v>
      </c>
    </row>
    <row r="97" spans="1:36" s="11" customFormat="1" ht="18">
      <c r="A97" s="27" t="s">
        <v>57</v>
      </c>
      <c r="B97" s="27"/>
      <c r="C97" s="27"/>
      <c r="D97" s="27"/>
      <c r="E97" s="28">
        <v>4679</v>
      </c>
      <c r="F97" s="27"/>
      <c r="G97" s="30">
        <v>0.09792800334868146</v>
      </c>
      <c r="H97" s="27"/>
      <c r="I97" s="29">
        <v>13818994.65</v>
      </c>
      <c r="J97" s="27"/>
      <c r="K97" s="30">
        <v>0.05083926705094866</v>
      </c>
      <c r="L97" s="30"/>
      <c r="M97" s="27"/>
      <c r="N97" s="27" t="s">
        <v>57</v>
      </c>
      <c r="O97" s="27"/>
      <c r="P97" s="27"/>
      <c r="Q97" s="27"/>
      <c r="R97" s="28">
        <v>1617</v>
      </c>
      <c r="S97" s="27"/>
      <c r="T97" s="30">
        <f t="shared" si="8"/>
        <v>0.059330740441770016</v>
      </c>
      <c r="U97" s="27"/>
      <c r="V97" s="29">
        <v>6775327.97</v>
      </c>
      <c r="W97" s="27"/>
      <c r="X97" s="30">
        <f t="shared" si="9"/>
        <v>0.04884186065274175</v>
      </c>
      <c r="Y97" s="27"/>
      <c r="Z97" s="27" t="s">
        <v>57</v>
      </c>
      <c r="AA97" s="27"/>
      <c r="AB97" s="27"/>
      <c r="AC97" s="27"/>
      <c r="AD97" s="28">
        <v>1705</v>
      </c>
      <c r="AE97" s="27"/>
      <c r="AF97" s="30">
        <v>0.0638648537288834</v>
      </c>
      <c r="AG97" s="27"/>
      <c r="AH97" s="29">
        <v>7139561.500000007</v>
      </c>
      <c r="AI97" s="27"/>
      <c r="AJ97" s="30">
        <v>0.053461801938424335</v>
      </c>
    </row>
    <row r="98" spans="1:36" s="11" customFormat="1" ht="18">
      <c r="A98" s="27" t="s">
        <v>58</v>
      </c>
      <c r="B98" s="27"/>
      <c r="C98" s="27"/>
      <c r="D98" s="27"/>
      <c r="E98" s="28">
        <v>4489</v>
      </c>
      <c r="F98" s="27"/>
      <c r="G98" s="30">
        <v>0.0939514441188782</v>
      </c>
      <c r="H98" s="27"/>
      <c r="I98" s="29">
        <v>19783283.66</v>
      </c>
      <c r="J98" s="27"/>
      <c r="K98" s="30">
        <v>0.07278153488071645</v>
      </c>
      <c r="L98" s="30"/>
      <c r="M98" s="27"/>
      <c r="N98" s="27" t="s">
        <v>58</v>
      </c>
      <c r="O98" s="27"/>
      <c r="P98" s="27"/>
      <c r="Q98" s="27"/>
      <c r="R98" s="28">
        <v>1685</v>
      </c>
      <c r="S98" s="27"/>
      <c r="T98" s="30">
        <f t="shared" si="8"/>
        <v>0.061825787040434434</v>
      </c>
      <c r="U98" s="27"/>
      <c r="V98" s="29">
        <v>8438370.37</v>
      </c>
      <c r="W98" s="27"/>
      <c r="X98" s="30">
        <f t="shared" si="9"/>
        <v>0.06083037036327628</v>
      </c>
      <c r="Y98" s="27"/>
      <c r="Z98" s="27" t="s">
        <v>58</v>
      </c>
      <c r="AA98" s="27"/>
      <c r="AB98" s="27"/>
      <c r="AC98" s="27"/>
      <c r="AD98" s="28">
        <v>1518</v>
      </c>
      <c r="AE98" s="27"/>
      <c r="AF98" s="30">
        <v>0.05686032138442522</v>
      </c>
      <c r="AG98" s="27"/>
      <c r="AH98" s="29">
        <v>7109214.730000009</v>
      </c>
      <c r="AI98" s="27"/>
      <c r="AJ98" s="30">
        <v>0.05323456207121248</v>
      </c>
    </row>
    <row r="99" spans="1:36" s="11" customFormat="1" ht="18">
      <c r="A99" s="27" t="s">
        <v>59</v>
      </c>
      <c r="B99" s="27"/>
      <c r="C99" s="27"/>
      <c r="D99" s="27"/>
      <c r="E99" s="28">
        <v>5044</v>
      </c>
      <c r="F99" s="27"/>
      <c r="G99" s="30">
        <v>0.10556718292172457</v>
      </c>
      <c r="H99" s="27"/>
      <c r="I99" s="29">
        <v>29109177.66</v>
      </c>
      <c r="J99" s="27"/>
      <c r="K99" s="30">
        <v>0.10709094939046443</v>
      </c>
      <c r="L99" s="30"/>
      <c r="M99" s="27"/>
      <c r="N99" s="27" t="s">
        <v>59</v>
      </c>
      <c r="O99" s="27"/>
      <c r="P99" s="27"/>
      <c r="Q99" s="27"/>
      <c r="R99" s="28">
        <v>1169</v>
      </c>
      <c r="S99" s="27"/>
      <c r="T99" s="30">
        <f t="shared" si="8"/>
        <v>0.04289278637998092</v>
      </c>
      <c r="U99" s="27"/>
      <c r="V99" s="29">
        <v>5175648.89</v>
      </c>
      <c r="W99" s="27"/>
      <c r="X99" s="30">
        <f t="shared" si="9"/>
        <v>0.037310123287345086</v>
      </c>
      <c r="Y99" s="27"/>
      <c r="Z99" s="27" t="s">
        <v>59</v>
      </c>
      <c r="AA99" s="27"/>
      <c r="AB99" s="27"/>
      <c r="AC99" s="27"/>
      <c r="AD99" s="28">
        <v>1242</v>
      </c>
      <c r="AE99" s="27"/>
      <c r="AF99" s="30">
        <v>0.04652208113271154</v>
      </c>
      <c r="AG99" s="27"/>
      <c r="AH99" s="29">
        <v>5140904.510000005</v>
      </c>
      <c r="AI99" s="27"/>
      <c r="AJ99" s="30">
        <v>0.03849564412295803</v>
      </c>
    </row>
    <row r="100" spans="1:36" s="11" customFormat="1" ht="18">
      <c r="A100" s="27" t="s">
        <v>60</v>
      </c>
      <c r="B100" s="27"/>
      <c r="C100" s="27"/>
      <c r="D100" s="27"/>
      <c r="E100" s="28">
        <v>2599</v>
      </c>
      <c r="F100" s="27"/>
      <c r="G100" s="30">
        <v>0.05439514441188782</v>
      </c>
      <c r="H100" s="27"/>
      <c r="I100" s="29">
        <v>17345766.08</v>
      </c>
      <c r="J100" s="27"/>
      <c r="K100" s="30">
        <v>0.06381405133146982</v>
      </c>
      <c r="L100" s="30"/>
      <c r="M100" s="27"/>
      <c r="N100" s="27" t="s">
        <v>60</v>
      </c>
      <c r="O100" s="27"/>
      <c r="P100" s="27"/>
      <c r="Q100" s="27"/>
      <c r="R100" s="28">
        <v>1633</v>
      </c>
      <c r="S100" s="27"/>
      <c r="T100" s="30">
        <f t="shared" si="8"/>
        <v>0.05991781022969105</v>
      </c>
      <c r="U100" s="27"/>
      <c r="V100" s="29">
        <v>8587624.22</v>
      </c>
      <c r="W100" s="27"/>
      <c r="X100" s="30">
        <f t="shared" si="9"/>
        <v>0.061906308793985974</v>
      </c>
      <c r="Y100" s="27"/>
      <c r="Z100" s="27" t="s">
        <v>60</v>
      </c>
      <c r="AA100" s="27"/>
      <c r="AB100" s="27"/>
      <c r="AC100" s="27"/>
      <c r="AD100" s="28">
        <v>1937</v>
      </c>
      <c r="AE100" s="27"/>
      <c r="AF100" s="30">
        <v>0.0725549687230775</v>
      </c>
      <c r="AG100" s="27"/>
      <c r="AH100" s="29">
        <v>11234803.01</v>
      </c>
      <c r="AI100" s="27"/>
      <c r="AJ100" s="30">
        <v>0.08412740941272553</v>
      </c>
    </row>
    <row r="101" spans="1:36" s="11" customFormat="1" ht="18">
      <c r="A101" s="27" t="s">
        <v>61</v>
      </c>
      <c r="B101" s="27"/>
      <c r="C101" s="27"/>
      <c r="D101" s="27"/>
      <c r="E101" s="28">
        <v>2750</v>
      </c>
      <c r="F101" s="27"/>
      <c r="G101" s="30">
        <v>0.057555462536626203</v>
      </c>
      <c r="H101" s="27"/>
      <c r="I101" s="29">
        <v>21273073.52</v>
      </c>
      <c r="J101" s="27"/>
      <c r="K101" s="30">
        <v>0.07826238399171422</v>
      </c>
      <c r="L101" s="30"/>
      <c r="M101" s="27"/>
      <c r="N101" s="27" t="s">
        <v>61</v>
      </c>
      <c r="O101" s="27"/>
      <c r="P101" s="27"/>
      <c r="Q101" s="27"/>
      <c r="R101" s="28">
        <v>2399</v>
      </c>
      <c r="S101" s="27"/>
      <c r="T101" s="30">
        <f t="shared" si="8"/>
        <v>0.0880237763264108</v>
      </c>
      <c r="U101" s="27"/>
      <c r="V101" s="29">
        <f>16872134.05</f>
        <v>16872134.05</v>
      </c>
      <c r="W101" s="27"/>
      <c r="X101" s="30">
        <f t="shared" si="9"/>
        <v>0.12162753210373069</v>
      </c>
      <c r="Y101" s="27"/>
      <c r="Z101" s="27" t="s">
        <v>61</v>
      </c>
      <c r="AA101" s="27"/>
      <c r="AB101" s="27"/>
      <c r="AC101" s="27"/>
      <c r="AD101" s="28">
        <v>1803</v>
      </c>
      <c r="AE101" s="27"/>
      <c r="AF101" s="30">
        <v>0.06753567816608608</v>
      </c>
      <c r="AG101" s="27"/>
      <c r="AH101" s="29">
        <v>12892642.499999983</v>
      </c>
      <c r="AI101" s="27"/>
      <c r="AJ101" s="30">
        <v>0.09654148924943223</v>
      </c>
    </row>
    <row r="102" spans="1:36" s="11" customFormat="1" ht="18">
      <c r="A102" s="27" t="s">
        <v>62</v>
      </c>
      <c r="B102" s="27"/>
      <c r="C102" s="27"/>
      <c r="D102" s="27"/>
      <c r="E102" s="28">
        <v>1781</v>
      </c>
      <c r="F102" s="27"/>
      <c r="G102" s="30">
        <v>0.037275010464629554</v>
      </c>
      <c r="H102" s="27"/>
      <c r="I102" s="29">
        <v>10877745.34</v>
      </c>
      <c r="J102" s="27"/>
      <c r="K102" s="30">
        <v>0.04001858414877325</v>
      </c>
      <c r="L102" s="30"/>
      <c r="M102" s="27"/>
      <c r="N102" s="27" t="s">
        <v>62</v>
      </c>
      <c r="O102" s="27"/>
      <c r="P102" s="27"/>
      <c r="Q102" s="27"/>
      <c r="R102" s="28">
        <v>563</v>
      </c>
      <c r="S102" s="27"/>
      <c r="T102" s="30">
        <f t="shared" si="8"/>
        <v>0.020657518162471564</v>
      </c>
      <c r="U102" s="27"/>
      <c r="V102" s="29">
        <v>4348873.29</v>
      </c>
      <c r="W102" s="27"/>
      <c r="X102" s="30">
        <f t="shared" si="9"/>
        <v>0.03135007842677328</v>
      </c>
      <c r="Y102" s="27"/>
      <c r="Z102" s="27" t="s">
        <v>62</v>
      </c>
      <c r="AA102" s="27"/>
      <c r="AB102" s="27"/>
      <c r="AC102" s="27"/>
      <c r="AD102" s="28">
        <v>567</v>
      </c>
      <c r="AE102" s="27"/>
      <c r="AF102" s="30">
        <v>0.02123834138667266</v>
      </c>
      <c r="AG102" s="27"/>
      <c r="AH102" s="29">
        <v>4222467.48</v>
      </c>
      <c r="AI102" s="27"/>
      <c r="AJ102" s="30">
        <v>0.031618289177451235</v>
      </c>
    </row>
    <row r="103" spans="1:36" s="11" customFormat="1" ht="18">
      <c r="A103" s="27" t="s">
        <v>63</v>
      </c>
      <c r="B103" s="27"/>
      <c r="C103" s="27"/>
      <c r="D103" s="27"/>
      <c r="E103" s="28">
        <v>2608</v>
      </c>
      <c r="F103" s="27"/>
      <c r="G103" s="30">
        <v>0.054583507743825865</v>
      </c>
      <c r="H103" s="27"/>
      <c r="I103" s="29">
        <v>17245887.29</v>
      </c>
      <c r="J103" s="27"/>
      <c r="K103" s="30">
        <v>0.06344660314828844</v>
      </c>
      <c r="L103" s="30"/>
      <c r="M103" s="27"/>
      <c r="N103" s="27" t="s">
        <v>63</v>
      </c>
      <c r="O103" s="27"/>
      <c r="P103" s="27"/>
      <c r="Q103" s="27"/>
      <c r="R103" s="28">
        <v>519</v>
      </c>
      <c r="S103" s="27"/>
      <c r="T103" s="30">
        <f t="shared" si="8"/>
        <v>0.019043076245688705</v>
      </c>
      <c r="U103" s="27"/>
      <c r="V103" s="29">
        <v>4171711.51</v>
      </c>
      <c r="W103" s="27"/>
      <c r="X103" s="30">
        <f t="shared" si="9"/>
        <v>0.0300729578194661</v>
      </c>
      <c r="Y103" s="27"/>
      <c r="Z103" s="27" t="s">
        <v>63</v>
      </c>
      <c r="AA103" s="27"/>
      <c r="AB103" s="27"/>
      <c r="AC103" s="27"/>
      <c r="AD103" s="28">
        <v>464</v>
      </c>
      <c r="AE103" s="27"/>
      <c r="AF103" s="30">
        <v>0.01738022998838821</v>
      </c>
      <c r="AG103" s="27"/>
      <c r="AH103" s="29">
        <v>3782137.22</v>
      </c>
      <c r="AI103" s="27"/>
      <c r="AJ103" s="30">
        <v>0.028321048983131872</v>
      </c>
    </row>
    <row r="104" spans="1:36" s="11" customFormat="1" ht="18">
      <c r="A104" s="27" t="s">
        <v>64</v>
      </c>
      <c r="B104" s="27"/>
      <c r="C104" s="27"/>
      <c r="D104" s="27"/>
      <c r="E104" s="28">
        <v>4991</v>
      </c>
      <c r="F104" s="27"/>
      <c r="G104" s="30">
        <v>0.1044579321892005</v>
      </c>
      <c r="H104" s="27"/>
      <c r="I104" s="29">
        <v>43155631.93</v>
      </c>
      <c r="J104" s="27"/>
      <c r="K104" s="30">
        <v>0.15876702698062894</v>
      </c>
      <c r="L104" s="30"/>
      <c r="M104" s="27"/>
      <c r="N104" s="27" t="s">
        <v>64</v>
      </c>
      <c r="O104" s="27"/>
      <c r="P104" s="27"/>
      <c r="Q104" s="27"/>
      <c r="R104" s="28">
        <v>493</v>
      </c>
      <c r="S104" s="27"/>
      <c r="T104" s="30">
        <f t="shared" si="8"/>
        <v>0.018089087840317018</v>
      </c>
      <c r="U104" s="27"/>
      <c r="V104" s="29">
        <v>4132780</v>
      </c>
      <c r="W104" s="27"/>
      <c r="X104" s="30">
        <f t="shared" si="9"/>
        <v>0.029792309060492326</v>
      </c>
      <c r="Y104" s="27"/>
      <c r="Z104" s="27" t="s">
        <v>64</v>
      </c>
      <c r="AA104" s="27"/>
      <c r="AB104" s="27"/>
      <c r="AC104" s="27"/>
      <c r="AD104" s="28">
        <v>628</v>
      </c>
      <c r="AE104" s="27"/>
      <c r="AF104" s="30">
        <v>0.023523242311870248</v>
      </c>
      <c r="AG104" s="27"/>
      <c r="AH104" s="29">
        <v>5063218.83</v>
      </c>
      <c r="AI104" s="27"/>
      <c r="AJ104" s="30">
        <v>0.03791392542250114</v>
      </c>
    </row>
    <row r="105" spans="1:36" s="11" customFormat="1" ht="18">
      <c r="A105" s="27" t="s">
        <v>65</v>
      </c>
      <c r="B105" s="27"/>
      <c r="C105" s="27"/>
      <c r="D105" s="27"/>
      <c r="E105" s="28">
        <v>10916</v>
      </c>
      <c r="F105" s="27"/>
      <c r="G105" s="30">
        <v>0.2284637923817497</v>
      </c>
      <c r="H105" s="27"/>
      <c r="I105" s="29">
        <v>89660035.59</v>
      </c>
      <c r="J105" s="27"/>
      <c r="K105" s="30">
        <v>0.3298539878338813</v>
      </c>
      <c r="L105" s="30"/>
      <c r="M105" s="27"/>
      <c r="N105" s="27" t="s">
        <v>65</v>
      </c>
      <c r="O105" s="27"/>
      <c r="P105" s="27"/>
      <c r="Q105" s="27"/>
      <c r="R105" s="28">
        <f>8997+125</f>
        <v>9122</v>
      </c>
      <c r="S105" s="27"/>
      <c r="T105" s="30">
        <f t="shared" si="8"/>
        <v>0.33470316283848245</v>
      </c>
      <c r="U105" s="27"/>
      <c r="V105" s="29">
        <f>60899721.65+664376.24</f>
        <v>61564097.89</v>
      </c>
      <c r="W105" s="27"/>
      <c r="X105" s="30">
        <f t="shared" si="9"/>
        <v>0.4438021456185143</v>
      </c>
      <c r="Y105" s="27"/>
      <c r="Z105" s="27" t="s">
        <v>65</v>
      </c>
      <c r="AA105" s="27"/>
      <c r="AB105" s="27"/>
      <c r="AC105" s="27"/>
      <c r="AD105" s="28">
        <v>8690</v>
      </c>
      <c r="AE105" s="27"/>
      <c r="AF105" s="30">
        <v>0.32550473836011534</v>
      </c>
      <c r="AG105" s="27"/>
      <c r="AH105" s="29">
        <v>58177629.96000015</v>
      </c>
      <c r="AI105" s="27"/>
      <c r="AJ105" s="30">
        <v>0.4356403303155896</v>
      </c>
    </row>
    <row r="106" spans="1:36" s="11" customFormat="1" ht="18">
      <c r="A106" s="27"/>
      <c r="B106" s="27"/>
      <c r="C106" s="27"/>
      <c r="D106" s="27"/>
      <c r="E106" s="28"/>
      <c r="F106" s="27"/>
      <c r="G106" s="27"/>
      <c r="H106" s="27"/>
      <c r="I106" s="29"/>
      <c r="J106" s="27"/>
      <c r="K106" s="27"/>
      <c r="L106" s="27"/>
      <c r="M106" s="27"/>
      <c r="N106" s="27"/>
      <c r="O106" s="27"/>
      <c r="P106" s="27"/>
      <c r="Q106" s="27"/>
      <c r="R106" s="28"/>
      <c r="S106" s="27"/>
      <c r="T106" s="30"/>
      <c r="U106" s="27"/>
      <c r="V106" s="29"/>
      <c r="W106" s="27"/>
      <c r="X106" s="30"/>
      <c r="Y106" s="27"/>
      <c r="Z106" s="27"/>
      <c r="AA106" s="27"/>
      <c r="AB106" s="27"/>
      <c r="AC106" s="27"/>
      <c r="AD106" s="28"/>
      <c r="AE106" s="27"/>
      <c r="AF106" s="30"/>
      <c r="AG106" s="27"/>
      <c r="AH106" s="29"/>
      <c r="AI106" s="27"/>
      <c r="AJ106" s="30"/>
    </row>
    <row r="107" spans="1:36" s="13" customFormat="1" ht="18.75" thickBot="1">
      <c r="A107" s="26"/>
      <c r="B107" s="26"/>
      <c r="C107" s="26"/>
      <c r="D107" s="26"/>
      <c r="E107" s="70">
        <v>47780</v>
      </c>
      <c r="F107" s="26"/>
      <c r="G107" s="26"/>
      <c r="H107" s="26"/>
      <c r="I107" s="71">
        <v>271817346.15</v>
      </c>
      <c r="J107" s="26"/>
      <c r="K107" s="72"/>
      <c r="L107" s="72"/>
      <c r="M107" s="37"/>
      <c r="N107" s="97"/>
      <c r="O107" s="97"/>
      <c r="P107" s="97"/>
      <c r="Q107" s="97"/>
      <c r="R107" s="98">
        <f>SUM(R95:R106)</f>
        <v>27254</v>
      </c>
      <c r="S107" s="97"/>
      <c r="T107" s="99"/>
      <c r="U107" s="97"/>
      <c r="V107" s="100">
        <f>SUM(V95:V106)</f>
        <v>138719694.12</v>
      </c>
      <c r="W107" s="97"/>
      <c r="X107" s="99"/>
      <c r="Y107" s="37"/>
      <c r="Z107" s="97"/>
      <c r="AA107" s="97"/>
      <c r="AB107" s="97"/>
      <c r="AC107" s="97"/>
      <c r="AD107" s="98">
        <v>26697</v>
      </c>
      <c r="AE107" s="97"/>
      <c r="AF107" s="99"/>
      <c r="AG107" s="97"/>
      <c r="AH107" s="100">
        <v>133545096.52000013</v>
      </c>
      <c r="AI107" s="97"/>
      <c r="AJ107" s="99"/>
    </row>
    <row r="108" spans="1:36" s="11" customFormat="1" ht="18.75" thickTop="1">
      <c r="A108" s="27"/>
      <c r="B108" s="27"/>
      <c r="C108" s="27"/>
      <c r="D108" s="27"/>
      <c r="E108" s="28"/>
      <c r="F108" s="27"/>
      <c r="G108" s="27"/>
      <c r="H108" s="27"/>
      <c r="I108" s="29"/>
      <c r="J108" s="27"/>
      <c r="K108" s="27"/>
      <c r="L108" s="27"/>
      <c r="M108" s="27"/>
      <c r="N108" s="27"/>
      <c r="O108" s="27"/>
      <c r="P108" s="27"/>
      <c r="Q108" s="27"/>
      <c r="R108" s="28"/>
      <c r="S108" s="27"/>
      <c r="T108" s="30"/>
      <c r="U108" s="27"/>
      <c r="V108" s="29"/>
      <c r="W108" s="27"/>
      <c r="X108" s="30"/>
      <c r="Y108" s="27"/>
      <c r="Z108" s="27"/>
      <c r="AA108" s="27"/>
      <c r="AB108" s="27"/>
      <c r="AC108" s="27"/>
      <c r="AD108" s="28"/>
      <c r="AE108" s="27"/>
      <c r="AF108" s="30"/>
      <c r="AG108" s="27"/>
      <c r="AH108" s="29"/>
      <c r="AI108" s="27"/>
      <c r="AJ108" s="30"/>
    </row>
    <row r="109" spans="1:36" s="11" customFormat="1" ht="18">
      <c r="A109" s="27"/>
      <c r="B109" s="27"/>
      <c r="C109" s="27"/>
      <c r="D109" s="27"/>
      <c r="E109" s="28"/>
      <c r="F109" s="27"/>
      <c r="G109" s="27"/>
      <c r="H109" s="27"/>
      <c r="I109" s="29"/>
      <c r="J109" s="27"/>
      <c r="K109" s="27"/>
      <c r="L109" s="27"/>
      <c r="M109" s="27"/>
      <c r="N109" s="27"/>
      <c r="O109" s="27"/>
      <c r="P109" s="27"/>
      <c r="Q109" s="27"/>
      <c r="R109" s="28"/>
      <c r="S109" s="27"/>
      <c r="T109" s="30"/>
      <c r="U109" s="27"/>
      <c r="V109" s="29"/>
      <c r="W109" s="27"/>
      <c r="X109" s="30"/>
      <c r="Y109" s="27"/>
      <c r="Z109" s="27"/>
      <c r="AA109" s="27"/>
      <c r="AB109" s="27"/>
      <c r="AC109" s="27"/>
      <c r="AD109" s="28"/>
      <c r="AE109" s="27"/>
      <c r="AF109" s="30"/>
      <c r="AG109" s="27"/>
      <c r="AH109" s="29"/>
      <c r="AI109" s="27"/>
      <c r="AJ109" s="30"/>
    </row>
    <row r="110" spans="1:36" s="13" customFormat="1" ht="18.75">
      <c r="A110" s="36" t="s">
        <v>89</v>
      </c>
      <c r="B110" s="37"/>
      <c r="C110" s="37"/>
      <c r="D110" s="37"/>
      <c r="E110" s="38"/>
      <c r="F110" s="37"/>
      <c r="G110" s="37"/>
      <c r="H110" s="37"/>
      <c r="I110" s="39"/>
      <c r="J110" s="37"/>
      <c r="K110" s="37"/>
      <c r="L110" s="37"/>
      <c r="M110" s="37"/>
      <c r="N110" s="36" t="s">
        <v>89</v>
      </c>
      <c r="O110" s="27"/>
      <c r="P110" s="27"/>
      <c r="Q110" s="27"/>
      <c r="R110" s="28"/>
      <c r="S110" s="27"/>
      <c r="T110" s="30"/>
      <c r="U110" s="27"/>
      <c r="V110" s="29"/>
      <c r="W110" s="27"/>
      <c r="X110" s="30"/>
      <c r="Y110" s="37"/>
      <c r="Z110" s="36" t="s">
        <v>89</v>
      </c>
      <c r="AA110" s="27"/>
      <c r="AB110" s="27"/>
      <c r="AC110" s="27"/>
      <c r="AD110" s="28"/>
      <c r="AE110" s="27"/>
      <c r="AF110" s="30"/>
      <c r="AG110" s="27"/>
      <c r="AH110" s="29"/>
      <c r="AI110" s="27"/>
      <c r="AJ110" s="30"/>
    </row>
    <row r="111" spans="1:36" s="11" customFormat="1" ht="18">
      <c r="A111" s="27"/>
      <c r="B111" s="27"/>
      <c r="C111" s="27"/>
      <c r="D111" s="27"/>
      <c r="E111" s="28"/>
      <c r="F111" s="27"/>
      <c r="G111" s="27"/>
      <c r="H111" s="27"/>
      <c r="I111" s="29"/>
      <c r="J111" s="27"/>
      <c r="K111" s="27"/>
      <c r="L111" s="27"/>
      <c r="M111" s="27"/>
      <c r="N111" s="27"/>
      <c r="O111" s="27"/>
      <c r="P111" s="27"/>
      <c r="Q111" s="27"/>
      <c r="R111" s="28"/>
      <c r="S111" s="27"/>
      <c r="T111" s="30"/>
      <c r="U111" s="27"/>
      <c r="V111" s="29"/>
      <c r="W111" s="27"/>
      <c r="X111" s="30"/>
      <c r="Y111" s="27"/>
      <c r="Z111" s="27"/>
      <c r="AA111" s="27"/>
      <c r="AB111" s="27"/>
      <c r="AC111" s="27"/>
      <c r="AD111" s="28"/>
      <c r="AE111" s="27"/>
      <c r="AF111" s="30"/>
      <c r="AG111" s="27"/>
      <c r="AH111" s="29"/>
      <c r="AI111" s="27"/>
      <c r="AJ111" s="30"/>
    </row>
    <row r="112" spans="1:36" s="65" customFormat="1" ht="18">
      <c r="A112" s="59"/>
      <c r="B112" s="59"/>
      <c r="C112" s="59"/>
      <c r="D112" s="59"/>
      <c r="E112" s="60" t="s">
        <v>83</v>
      </c>
      <c r="F112" s="59"/>
      <c r="G112" s="61" t="s">
        <v>84</v>
      </c>
      <c r="H112" s="59"/>
      <c r="I112" s="62" t="s">
        <v>85</v>
      </c>
      <c r="J112" s="59"/>
      <c r="K112" s="61" t="s">
        <v>84</v>
      </c>
      <c r="L112" s="61"/>
      <c r="M112" s="64"/>
      <c r="N112" s="97"/>
      <c r="O112" s="97"/>
      <c r="P112" s="97"/>
      <c r="Q112" s="97"/>
      <c r="R112" s="60" t="s">
        <v>83</v>
      </c>
      <c r="S112" s="59"/>
      <c r="T112" s="61" t="s">
        <v>84</v>
      </c>
      <c r="U112" s="59"/>
      <c r="V112" s="62" t="s">
        <v>85</v>
      </c>
      <c r="W112" s="59"/>
      <c r="X112" s="61" t="s">
        <v>84</v>
      </c>
      <c r="Y112" s="64"/>
      <c r="Z112" s="97"/>
      <c r="AA112" s="97"/>
      <c r="AB112" s="97"/>
      <c r="AC112" s="97"/>
      <c r="AD112" s="60" t="s">
        <v>83</v>
      </c>
      <c r="AE112" s="59"/>
      <c r="AF112" s="61" t="s">
        <v>84</v>
      </c>
      <c r="AG112" s="59"/>
      <c r="AH112" s="62" t="s">
        <v>85</v>
      </c>
      <c r="AI112" s="59"/>
      <c r="AJ112" s="61" t="s">
        <v>84</v>
      </c>
    </row>
    <row r="113" spans="1:36" s="11" customFormat="1" ht="18">
      <c r="A113" s="27"/>
      <c r="B113" s="27"/>
      <c r="C113" s="27"/>
      <c r="D113" s="27"/>
      <c r="E113" s="28"/>
      <c r="F113" s="27"/>
      <c r="G113" s="27"/>
      <c r="H113" s="27"/>
      <c r="I113" s="29"/>
      <c r="J113" s="27"/>
      <c r="K113" s="27"/>
      <c r="L113" s="27"/>
      <c r="M113" s="27"/>
      <c r="N113" s="27"/>
      <c r="O113" s="27"/>
      <c r="P113" s="27"/>
      <c r="Q113" s="27"/>
      <c r="R113" s="28"/>
      <c r="S113" s="27"/>
      <c r="T113" s="30"/>
      <c r="U113" s="27"/>
      <c r="V113" s="29"/>
      <c r="W113" s="27"/>
      <c r="X113" s="30"/>
      <c r="Y113" s="27"/>
      <c r="Z113" s="27"/>
      <c r="AA113" s="27"/>
      <c r="AB113" s="27"/>
      <c r="AC113" s="27"/>
      <c r="AD113" s="28"/>
      <c r="AE113" s="27"/>
      <c r="AF113" s="30"/>
      <c r="AG113" s="27"/>
      <c r="AH113" s="29"/>
      <c r="AI113" s="27"/>
      <c r="AJ113" s="30"/>
    </row>
    <row r="114" spans="1:36" s="11" customFormat="1" ht="18">
      <c r="A114" s="27" t="s">
        <v>66</v>
      </c>
      <c r="B114" s="27"/>
      <c r="C114" s="27"/>
      <c r="D114" s="27"/>
      <c r="E114" s="28">
        <v>2670</v>
      </c>
      <c r="F114" s="27"/>
      <c r="G114" s="30">
        <v>0.055881121808287984</v>
      </c>
      <c r="H114" s="27"/>
      <c r="I114" s="29">
        <v>16379270.87</v>
      </c>
      <c r="J114" s="27"/>
      <c r="K114" s="30">
        <v>0.06025837240336106</v>
      </c>
      <c r="L114" s="30"/>
      <c r="M114" s="27"/>
      <c r="N114" s="27" t="s">
        <v>66</v>
      </c>
      <c r="O114" s="27"/>
      <c r="P114" s="27"/>
      <c r="Q114" s="27"/>
      <c r="R114" s="28">
        <v>1652</v>
      </c>
      <c r="S114" s="27"/>
      <c r="T114" s="30">
        <f>+R114/$R$128</f>
        <v>0.06061495560284729</v>
      </c>
      <c r="U114" s="27"/>
      <c r="V114" s="29">
        <v>9376991.51</v>
      </c>
      <c r="W114" s="27"/>
      <c r="X114" s="30">
        <f>+V114/$V$128</f>
        <v>0.06759668531195287</v>
      </c>
      <c r="Y114" s="27"/>
      <c r="Z114" s="27" t="s">
        <v>66</v>
      </c>
      <c r="AA114" s="27"/>
      <c r="AB114" s="27"/>
      <c r="AC114" s="27"/>
      <c r="AD114" s="28">
        <v>1459</v>
      </c>
      <c r="AE114" s="27"/>
      <c r="AF114" s="30">
        <v>0.054650335243660336</v>
      </c>
      <c r="AG114" s="27"/>
      <c r="AH114" s="29">
        <v>9131333.72999999</v>
      </c>
      <c r="AI114" s="27"/>
      <c r="AJ114" s="30">
        <v>0.06837640593290122</v>
      </c>
    </row>
    <row r="115" spans="1:36" s="11" customFormat="1" ht="18">
      <c r="A115" s="27" t="s">
        <v>67</v>
      </c>
      <c r="B115" s="27"/>
      <c r="C115" s="27"/>
      <c r="D115" s="27"/>
      <c r="E115" s="28">
        <v>4648</v>
      </c>
      <c r="F115" s="27"/>
      <c r="G115" s="30">
        <v>0.09727919631645039</v>
      </c>
      <c r="H115" s="27"/>
      <c r="I115" s="29">
        <v>26506089.91</v>
      </c>
      <c r="J115" s="27"/>
      <c r="K115" s="30">
        <v>0.0975143429417961</v>
      </c>
      <c r="L115" s="30"/>
      <c r="M115" s="27"/>
      <c r="N115" s="27" t="s">
        <v>67</v>
      </c>
      <c r="O115" s="27"/>
      <c r="P115" s="27"/>
      <c r="Q115" s="27"/>
      <c r="R115" s="28">
        <v>2712</v>
      </c>
      <c r="S115" s="27"/>
      <c r="T115" s="30">
        <f aca="true" t="shared" si="10" ref="T115:T126">+R115/$R$128</f>
        <v>0.09950832905261613</v>
      </c>
      <c r="U115" s="27"/>
      <c r="V115" s="29">
        <v>13969286.17</v>
      </c>
      <c r="W115" s="27"/>
      <c r="X115" s="30">
        <f aca="true" t="shared" si="11" ref="X115:X126">+V115/$V$128</f>
        <v>0.1007015352695041</v>
      </c>
      <c r="Y115" s="27"/>
      <c r="Z115" s="27" t="s">
        <v>67</v>
      </c>
      <c r="AA115" s="27"/>
      <c r="AB115" s="27"/>
      <c r="AC115" s="27"/>
      <c r="AD115" s="28">
        <v>2414</v>
      </c>
      <c r="AE115" s="27"/>
      <c r="AF115" s="30">
        <v>0.09042214481027831</v>
      </c>
      <c r="AG115" s="27"/>
      <c r="AH115" s="29">
        <v>13804027.520000001</v>
      </c>
      <c r="AI115" s="27"/>
      <c r="AJ115" s="30">
        <v>0.10336603798801917</v>
      </c>
    </row>
    <row r="116" spans="1:36" s="11" customFormat="1" ht="18">
      <c r="A116" s="27" t="s">
        <v>68</v>
      </c>
      <c r="B116" s="27"/>
      <c r="C116" s="27"/>
      <c r="D116" s="27"/>
      <c r="E116" s="28">
        <v>3469</v>
      </c>
      <c r="F116" s="27"/>
      <c r="G116" s="30">
        <v>0.07260359983256592</v>
      </c>
      <c r="H116" s="27"/>
      <c r="I116" s="29">
        <v>21645422.65</v>
      </c>
      <c r="J116" s="27"/>
      <c r="K116" s="30">
        <v>0.07963223450079292</v>
      </c>
      <c r="L116" s="30"/>
      <c r="M116" s="27"/>
      <c r="N116" s="27" t="s">
        <v>68</v>
      </c>
      <c r="O116" s="27"/>
      <c r="P116" s="27"/>
      <c r="Q116" s="27"/>
      <c r="R116" s="28">
        <v>2124</v>
      </c>
      <c r="S116" s="27"/>
      <c r="T116" s="30">
        <f t="shared" si="10"/>
        <v>0.07793351434651795</v>
      </c>
      <c r="U116" s="27"/>
      <c r="V116" s="29">
        <v>12286170.49</v>
      </c>
      <c r="W116" s="27"/>
      <c r="X116" s="30">
        <f t="shared" si="11"/>
        <v>0.08856832166434711</v>
      </c>
      <c r="Y116" s="27"/>
      <c r="Z116" s="27" t="s">
        <v>68</v>
      </c>
      <c r="AA116" s="27"/>
      <c r="AB116" s="27"/>
      <c r="AC116" s="27"/>
      <c r="AD116" s="28">
        <v>1857</v>
      </c>
      <c r="AE116" s="27"/>
      <c r="AF116" s="30">
        <v>0.06955837734576918</v>
      </c>
      <c r="AG116" s="27"/>
      <c r="AH116" s="29">
        <v>11911820.879999995</v>
      </c>
      <c r="AI116" s="27"/>
      <c r="AJ116" s="30">
        <v>0.08919699180580591</v>
      </c>
    </row>
    <row r="117" spans="1:36" s="11" customFormat="1" ht="18">
      <c r="A117" s="27" t="s">
        <v>69</v>
      </c>
      <c r="B117" s="27"/>
      <c r="C117" s="27"/>
      <c r="D117" s="27"/>
      <c r="E117" s="28">
        <v>3188</v>
      </c>
      <c r="F117" s="27"/>
      <c r="G117" s="30">
        <v>0.06672247802427794</v>
      </c>
      <c r="H117" s="27"/>
      <c r="I117" s="29">
        <v>18559313.85</v>
      </c>
      <c r="J117" s="27"/>
      <c r="K117" s="30">
        <v>0.06827862207056576</v>
      </c>
      <c r="L117" s="30"/>
      <c r="M117" s="27"/>
      <c r="N117" s="27" t="s">
        <v>69</v>
      </c>
      <c r="O117" s="27"/>
      <c r="P117" s="27"/>
      <c r="Q117" s="27"/>
      <c r="R117" s="28">
        <v>1853</v>
      </c>
      <c r="S117" s="27"/>
      <c r="T117" s="30">
        <f t="shared" si="10"/>
        <v>0.06799001981360535</v>
      </c>
      <c r="U117" s="27"/>
      <c r="V117" s="29">
        <v>9840608.31</v>
      </c>
      <c r="W117" s="27"/>
      <c r="X117" s="30">
        <f t="shared" si="11"/>
        <v>0.0709387976409993</v>
      </c>
      <c r="Y117" s="27"/>
      <c r="Z117" s="27" t="s">
        <v>69</v>
      </c>
      <c r="AA117" s="27"/>
      <c r="AB117" s="27"/>
      <c r="AC117" s="27"/>
      <c r="AD117" s="28">
        <v>1560</v>
      </c>
      <c r="AE117" s="27"/>
      <c r="AF117" s="30">
        <v>0.05843353185751208</v>
      </c>
      <c r="AG117" s="27"/>
      <c r="AH117" s="29">
        <v>9295699.439999988</v>
      </c>
      <c r="AI117" s="27"/>
      <c r="AJ117" s="30">
        <v>0.06960719399089167</v>
      </c>
    </row>
    <row r="118" spans="1:36" s="11" customFormat="1" ht="18">
      <c r="A118" s="27" t="s">
        <v>70</v>
      </c>
      <c r="B118" s="27"/>
      <c r="C118" s="27"/>
      <c r="D118" s="27"/>
      <c r="E118" s="28">
        <v>3913</v>
      </c>
      <c r="F118" s="27"/>
      <c r="G118" s="30">
        <v>0.08189619087484303</v>
      </c>
      <c r="H118" s="27"/>
      <c r="I118" s="29">
        <v>23124319.97</v>
      </c>
      <c r="J118" s="27"/>
      <c r="K118" s="30">
        <v>0.08507301059895953</v>
      </c>
      <c r="L118" s="30"/>
      <c r="M118" s="27"/>
      <c r="N118" s="27" t="s">
        <v>70</v>
      </c>
      <c r="O118" s="27"/>
      <c r="P118" s="27"/>
      <c r="Q118" s="27"/>
      <c r="R118" s="28">
        <v>2278</v>
      </c>
      <c r="S118" s="27"/>
      <c r="T118" s="30">
        <f t="shared" si="10"/>
        <v>0.08358406105525794</v>
      </c>
      <c r="U118" s="27"/>
      <c r="V118" s="29">
        <v>12322806.82</v>
      </c>
      <c r="W118" s="27"/>
      <c r="X118" s="30">
        <f t="shared" si="11"/>
        <v>0.08883242497161296</v>
      </c>
      <c r="Y118" s="27"/>
      <c r="Z118" s="27" t="s">
        <v>70</v>
      </c>
      <c r="AA118" s="27"/>
      <c r="AB118" s="27"/>
      <c r="AC118" s="27"/>
      <c r="AD118" s="28">
        <v>2000</v>
      </c>
      <c r="AE118" s="27"/>
      <c r="AF118" s="30">
        <v>0.0749147844327078</v>
      </c>
      <c r="AG118" s="27"/>
      <c r="AH118" s="29">
        <v>12096063.350000024</v>
      </c>
      <c r="AI118" s="27"/>
      <c r="AJ118" s="30">
        <v>0.09057661917364743</v>
      </c>
    </row>
    <row r="119" spans="1:36" s="11" customFormat="1" ht="18">
      <c r="A119" s="27" t="s">
        <v>78</v>
      </c>
      <c r="B119" s="27"/>
      <c r="C119" s="27"/>
      <c r="D119" s="27"/>
      <c r="E119" s="28">
        <v>2100</v>
      </c>
      <c r="F119" s="27"/>
      <c r="G119" s="30">
        <v>0.04395144411887819</v>
      </c>
      <c r="H119" s="27"/>
      <c r="I119" s="29">
        <v>12639310.1</v>
      </c>
      <c r="J119" s="27"/>
      <c r="K119" s="30">
        <v>0.04649927710288625</v>
      </c>
      <c r="L119" s="30"/>
      <c r="M119" s="27"/>
      <c r="N119" s="27" t="s">
        <v>78</v>
      </c>
      <c r="O119" s="27"/>
      <c r="P119" s="27"/>
      <c r="Q119" s="27"/>
      <c r="R119" s="28">
        <v>1176</v>
      </c>
      <c r="S119" s="27"/>
      <c r="T119" s="30">
        <f t="shared" si="10"/>
        <v>0.043149629412196376</v>
      </c>
      <c r="U119" s="27"/>
      <c r="V119" s="29">
        <v>5975644.51</v>
      </c>
      <c r="W119" s="27"/>
      <c r="X119" s="30">
        <f t="shared" si="11"/>
        <v>0.043077117116699704</v>
      </c>
      <c r="Y119" s="27"/>
      <c r="Z119" s="27" t="s">
        <v>78</v>
      </c>
      <c r="AA119" s="27"/>
      <c r="AB119" s="27"/>
      <c r="AC119" s="27"/>
      <c r="AD119" s="28">
        <v>1009</v>
      </c>
      <c r="AE119" s="27"/>
      <c r="AF119" s="30">
        <v>0.03779450874630108</v>
      </c>
      <c r="AG119" s="27"/>
      <c r="AH119" s="29">
        <v>5749803.979999996</v>
      </c>
      <c r="AI119" s="27"/>
      <c r="AJ119" s="30">
        <v>0.043055148633921535</v>
      </c>
    </row>
    <row r="120" spans="1:36" s="11" customFormat="1" ht="18">
      <c r="A120" s="27" t="s">
        <v>71</v>
      </c>
      <c r="B120" s="27"/>
      <c r="C120" s="27"/>
      <c r="D120" s="27"/>
      <c r="E120" s="28">
        <v>11189</v>
      </c>
      <c r="F120" s="27"/>
      <c r="G120" s="30">
        <v>0.23417748011720385</v>
      </c>
      <c r="H120" s="27"/>
      <c r="I120" s="29">
        <v>62748563.7</v>
      </c>
      <c r="J120" s="27"/>
      <c r="K120" s="30">
        <v>0.2308482684742745</v>
      </c>
      <c r="L120" s="30"/>
      <c r="M120" s="27"/>
      <c r="N120" s="27" t="s">
        <v>71</v>
      </c>
      <c r="O120" s="27"/>
      <c r="P120" s="27"/>
      <c r="Q120" s="27"/>
      <c r="R120" s="28">
        <f>5962+125</f>
        <v>6087</v>
      </c>
      <c r="S120" s="27"/>
      <c r="T120" s="30">
        <f t="shared" si="10"/>
        <v>0.2233433624422103</v>
      </c>
      <c r="U120" s="27"/>
      <c r="V120" s="29">
        <f>27902632.87+664376.24</f>
        <v>28567009.11</v>
      </c>
      <c r="W120" s="27"/>
      <c r="X120" s="30">
        <f t="shared" si="11"/>
        <v>0.2059333340606129</v>
      </c>
      <c r="Y120" s="27"/>
      <c r="Z120" s="27" t="s">
        <v>71</v>
      </c>
      <c r="AA120" s="27"/>
      <c r="AB120" s="27"/>
      <c r="AC120" s="27"/>
      <c r="AD120" s="28">
        <v>4974</v>
      </c>
      <c r="AE120" s="27"/>
      <c r="AF120" s="30">
        <v>0.18631306888414428</v>
      </c>
      <c r="AG120" s="27"/>
      <c r="AH120" s="29">
        <v>27837552.72999997</v>
      </c>
      <c r="AI120" s="27"/>
      <c r="AJ120" s="30">
        <v>0.20845057928301372</v>
      </c>
    </row>
    <row r="121" spans="1:36" s="11" customFormat="1" ht="18">
      <c r="A121" s="27" t="s">
        <v>72</v>
      </c>
      <c r="B121" s="27"/>
      <c r="C121" s="27"/>
      <c r="D121" s="27"/>
      <c r="E121" s="28">
        <v>4020</v>
      </c>
      <c r="F121" s="27"/>
      <c r="G121" s="30">
        <v>0.08413562159899539</v>
      </c>
      <c r="H121" s="27"/>
      <c r="I121" s="29">
        <v>21964967.53</v>
      </c>
      <c r="J121" s="27"/>
      <c r="K121" s="30">
        <v>0.08080782128554383</v>
      </c>
      <c r="L121" s="30"/>
      <c r="M121" s="27"/>
      <c r="N121" s="27" t="s">
        <v>72</v>
      </c>
      <c r="O121" s="27"/>
      <c r="P121" s="27"/>
      <c r="Q121" s="27"/>
      <c r="R121" s="28">
        <v>2157</v>
      </c>
      <c r="S121" s="27"/>
      <c r="T121" s="30">
        <f t="shared" si="10"/>
        <v>0.07914434578410509</v>
      </c>
      <c r="U121" s="27"/>
      <c r="V121" s="29">
        <v>9944701.81</v>
      </c>
      <c r="W121" s="27"/>
      <c r="X121" s="30">
        <f t="shared" si="11"/>
        <v>0.0716891849645898</v>
      </c>
      <c r="Y121" s="27"/>
      <c r="Z121" s="27" t="s">
        <v>72</v>
      </c>
      <c r="AA121" s="27"/>
      <c r="AB121" s="27"/>
      <c r="AC121" s="27"/>
      <c r="AD121" s="28">
        <v>1788</v>
      </c>
      <c r="AE121" s="27"/>
      <c r="AF121" s="30">
        <v>0.06697381728284077</v>
      </c>
      <c r="AG121" s="27"/>
      <c r="AH121" s="29">
        <v>9294944.22000002</v>
      </c>
      <c r="AI121" s="27"/>
      <c r="AJ121" s="30">
        <v>0.0696015388225654</v>
      </c>
    </row>
    <row r="122" spans="1:36" s="11" customFormat="1" ht="18">
      <c r="A122" s="27" t="s">
        <v>73</v>
      </c>
      <c r="B122" s="27"/>
      <c r="C122" s="27"/>
      <c r="D122" s="27"/>
      <c r="E122" s="28">
        <v>2665</v>
      </c>
      <c r="F122" s="27"/>
      <c r="G122" s="30">
        <v>0.05577647551276685</v>
      </c>
      <c r="H122" s="27"/>
      <c r="I122" s="29">
        <v>13894157.63</v>
      </c>
      <c r="J122" s="27"/>
      <c r="K122" s="30">
        <v>0.0511157872254872</v>
      </c>
      <c r="L122" s="30"/>
      <c r="M122" s="27"/>
      <c r="N122" s="27" t="s">
        <v>73</v>
      </c>
      <c r="O122" s="27"/>
      <c r="P122" s="27"/>
      <c r="Q122" s="27"/>
      <c r="R122" s="28">
        <v>1534</v>
      </c>
      <c r="S122" s="27"/>
      <c r="T122" s="30">
        <f t="shared" si="10"/>
        <v>0.056285315916929625</v>
      </c>
      <c r="U122" s="27"/>
      <c r="V122" s="29">
        <v>7209003.72</v>
      </c>
      <c r="W122" s="27"/>
      <c r="X122" s="30">
        <f t="shared" si="11"/>
        <v>0.051968134486829416</v>
      </c>
      <c r="Y122" s="27"/>
      <c r="Z122" s="27" t="s">
        <v>73</v>
      </c>
      <c r="AA122" s="27"/>
      <c r="AB122" s="27"/>
      <c r="AC122" s="27"/>
      <c r="AD122" s="28">
        <v>1325</v>
      </c>
      <c r="AE122" s="27"/>
      <c r="AF122" s="30">
        <v>0.049631044686668915</v>
      </c>
      <c r="AG122" s="27"/>
      <c r="AH122" s="29">
        <v>7062070.010000012</v>
      </c>
      <c r="AI122" s="27"/>
      <c r="AJ122" s="30">
        <v>0.05288153735350653</v>
      </c>
    </row>
    <row r="123" spans="1:36" s="11" customFormat="1" ht="18">
      <c r="A123" s="27" t="s">
        <v>74</v>
      </c>
      <c r="B123" s="27"/>
      <c r="C123" s="27"/>
      <c r="D123" s="27"/>
      <c r="E123" s="28">
        <v>2735</v>
      </c>
      <c r="F123" s="27"/>
      <c r="G123" s="30">
        <v>0.05724152365006279</v>
      </c>
      <c r="H123" s="27"/>
      <c r="I123" s="29">
        <v>14486638.35</v>
      </c>
      <c r="J123" s="27"/>
      <c r="K123" s="30">
        <v>0.053295488883206434</v>
      </c>
      <c r="L123" s="30"/>
      <c r="M123" s="27"/>
      <c r="N123" s="27" t="s">
        <v>74</v>
      </c>
      <c r="O123" s="27"/>
      <c r="P123" s="27"/>
      <c r="Q123" s="27"/>
      <c r="R123" s="28">
        <v>1615</v>
      </c>
      <c r="S123" s="27"/>
      <c r="T123" s="30">
        <f t="shared" si="10"/>
        <v>0.059257356718279884</v>
      </c>
      <c r="U123" s="27"/>
      <c r="V123" s="29">
        <v>7498320.56</v>
      </c>
      <c r="W123" s="27"/>
      <c r="X123" s="30">
        <f t="shared" si="11"/>
        <v>0.054053756444370105</v>
      </c>
      <c r="Y123" s="27"/>
      <c r="Z123" s="27" t="s">
        <v>74</v>
      </c>
      <c r="AA123" s="27"/>
      <c r="AB123" s="27"/>
      <c r="AC123" s="27"/>
      <c r="AD123" s="28">
        <v>1388</v>
      </c>
      <c r="AE123" s="27"/>
      <c r="AF123" s="30">
        <v>0.05199086039629921</v>
      </c>
      <c r="AG123" s="27"/>
      <c r="AH123" s="29">
        <v>7136942.209999999</v>
      </c>
      <c r="AI123" s="27"/>
      <c r="AJ123" s="30">
        <v>0.05344218841409245</v>
      </c>
    </row>
    <row r="124" spans="1:36" s="11" customFormat="1" ht="18">
      <c r="A124" s="27" t="s">
        <v>75</v>
      </c>
      <c r="B124" s="27"/>
      <c r="C124" s="27"/>
      <c r="D124" s="27"/>
      <c r="E124" s="28">
        <v>4717</v>
      </c>
      <c r="F124" s="27"/>
      <c r="G124" s="30">
        <v>0.09872331519464211</v>
      </c>
      <c r="H124" s="27"/>
      <c r="I124" s="29">
        <v>26540441.01</v>
      </c>
      <c r="J124" s="27"/>
      <c r="K124" s="30">
        <v>0.09764071861460194</v>
      </c>
      <c r="L124" s="30"/>
      <c r="M124" s="27"/>
      <c r="N124" s="27" t="s">
        <v>75</v>
      </c>
      <c r="O124" s="27"/>
      <c r="P124" s="27"/>
      <c r="Q124" s="27"/>
      <c r="R124" s="28">
        <v>2709</v>
      </c>
      <c r="S124" s="27"/>
      <c r="T124" s="30">
        <f t="shared" si="10"/>
        <v>0.09939825346738093</v>
      </c>
      <c r="U124" s="27"/>
      <c r="V124" s="29">
        <v>13625670.09</v>
      </c>
      <c r="W124" s="27"/>
      <c r="X124" s="30">
        <f t="shared" si="11"/>
        <v>0.09822448194135334</v>
      </c>
      <c r="Y124" s="27"/>
      <c r="Z124" s="27" t="s">
        <v>75</v>
      </c>
      <c r="AA124" s="27"/>
      <c r="AB124" s="27"/>
      <c r="AC124" s="27"/>
      <c r="AD124" s="28">
        <v>2277</v>
      </c>
      <c r="AE124" s="27"/>
      <c r="AF124" s="30">
        <v>0.08529048207663782</v>
      </c>
      <c r="AG124" s="27"/>
      <c r="AH124" s="29">
        <v>12955218.399999991</v>
      </c>
      <c r="AI124" s="27"/>
      <c r="AJ124" s="30">
        <v>0.0970100642973424</v>
      </c>
    </row>
    <row r="125" spans="1:36" s="11" customFormat="1" ht="18">
      <c r="A125" s="27" t="s">
        <v>76</v>
      </c>
      <c r="B125" s="27"/>
      <c r="C125" s="27"/>
      <c r="D125" s="27"/>
      <c r="E125" s="28">
        <v>390</v>
      </c>
      <c r="F125" s="27"/>
      <c r="G125" s="30">
        <v>0.008162411050648808</v>
      </c>
      <c r="H125" s="27"/>
      <c r="I125" s="29">
        <v>2660935.17</v>
      </c>
      <c r="J125" s="27"/>
      <c r="K125" s="30">
        <v>0.009789423698263858</v>
      </c>
      <c r="L125" s="30"/>
      <c r="M125" s="27"/>
      <c r="N125" s="27" t="s">
        <v>76</v>
      </c>
      <c r="O125" s="27"/>
      <c r="P125" s="27"/>
      <c r="Q125" s="27"/>
      <c r="R125" s="28">
        <v>250</v>
      </c>
      <c r="S125" s="27"/>
      <c r="T125" s="30">
        <f t="shared" si="10"/>
        <v>0.009172965436266237</v>
      </c>
      <c r="U125" s="27"/>
      <c r="V125" s="29">
        <v>1021895.65</v>
      </c>
      <c r="W125" s="27"/>
      <c r="X125" s="30">
        <f t="shared" si="11"/>
        <v>0.007366622717002283</v>
      </c>
      <c r="Y125" s="27"/>
      <c r="Z125" s="27" t="s">
        <v>76</v>
      </c>
      <c r="AA125" s="27"/>
      <c r="AB125" s="27"/>
      <c r="AC125" s="27"/>
      <c r="AD125" s="28">
        <v>195</v>
      </c>
      <c r="AE125" s="27"/>
      <c r="AF125" s="30">
        <v>0.00730419148218901</v>
      </c>
      <c r="AG125" s="27"/>
      <c r="AH125" s="29">
        <v>1344697.29</v>
      </c>
      <c r="AI125" s="27"/>
      <c r="AJ125" s="30">
        <v>0.010069237471393162</v>
      </c>
    </row>
    <row r="126" spans="1:36" s="11" customFormat="1" ht="18">
      <c r="A126" s="27" t="s">
        <v>77</v>
      </c>
      <c r="B126" s="27"/>
      <c r="C126" s="27"/>
      <c r="D126" s="27"/>
      <c r="E126" s="28">
        <v>2076</v>
      </c>
      <c r="F126" s="27"/>
      <c r="G126" s="30">
        <v>0.04344914190037673</v>
      </c>
      <c r="H126" s="27"/>
      <c r="I126" s="29">
        <v>10667915.41</v>
      </c>
      <c r="J126" s="27"/>
      <c r="K126" s="30">
        <v>0.03924663220026071</v>
      </c>
      <c r="L126" s="30"/>
      <c r="M126" s="27"/>
      <c r="N126" s="27" t="s">
        <v>77</v>
      </c>
      <c r="O126" s="27"/>
      <c r="P126" s="27"/>
      <c r="Q126" s="27"/>
      <c r="R126" s="28">
        <v>1107</v>
      </c>
      <c r="S126" s="27"/>
      <c r="T126" s="30">
        <f t="shared" si="10"/>
        <v>0.040617890951786896</v>
      </c>
      <c r="U126" s="27"/>
      <c r="V126" s="29">
        <f>7103481.02-21895.65</f>
        <v>7081585.369999999</v>
      </c>
      <c r="W126" s="27"/>
      <c r="X126" s="30">
        <f t="shared" si="11"/>
        <v>0.051049603410126085</v>
      </c>
      <c r="Y126" s="27"/>
      <c r="Z126" s="27" t="s">
        <v>77</v>
      </c>
      <c r="AA126" s="27"/>
      <c r="AB126" s="27"/>
      <c r="AC126" s="27"/>
      <c r="AD126" s="28">
        <v>4451</v>
      </c>
      <c r="AE126" s="27"/>
      <c r="AF126" s="30">
        <v>0.16672285275499119</v>
      </c>
      <c r="AG126" s="27"/>
      <c r="AH126" s="29">
        <v>5924922.7599999765</v>
      </c>
      <c r="AI126" s="27"/>
      <c r="AJ126" s="30">
        <v>0.04436645683289951</v>
      </c>
    </row>
    <row r="127" spans="1:36" s="11" customFormat="1" ht="18">
      <c r="A127" s="27"/>
      <c r="B127" s="27"/>
      <c r="C127" s="27"/>
      <c r="D127" s="27"/>
      <c r="E127" s="28"/>
      <c r="F127" s="27"/>
      <c r="G127" s="27"/>
      <c r="H127" s="27"/>
      <c r="I127" s="29"/>
      <c r="J127" s="27"/>
      <c r="K127" s="27"/>
      <c r="L127" s="27"/>
      <c r="M127" s="27"/>
      <c r="N127" s="27"/>
      <c r="O127" s="27"/>
      <c r="P127" s="27"/>
      <c r="Q127" s="27"/>
      <c r="R127" s="28"/>
      <c r="S127" s="27"/>
      <c r="T127" s="30"/>
      <c r="U127" s="27"/>
      <c r="V127" s="29"/>
      <c r="W127" s="27"/>
      <c r="X127" s="30"/>
      <c r="Y127" s="27"/>
      <c r="Z127" s="27"/>
      <c r="AA127" s="27"/>
      <c r="AB127" s="27"/>
      <c r="AC127" s="27"/>
      <c r="AD127" s="28"/>
      <c r="AE127" s="27"/>
      <c r="AF127" s="30"/>
      <c r="AG127" s="27"/>
      <c r="AH127" s="29"/>
      <c r="AI127" s="27"/>
      <c r="AJ127" s="30"/>
    </row>
    <row r="128" spans="1:36" s="12" customFormat="1" ht="18.75" thickBot="1">
      <c r="A128" s="26"/>
      <c r="B128" s="26"/>
      <c r="C128" s="26"/>
      <c r="D128" s="26"/>
      <c r="E128" s="70">
        <v>47780</v>
      </c>
      <c r="F128" s="26"/>
      <c r="G128" s="72"/>
      <c r="H128" s="26"/>
      <c r="I128" s="71">
        <v>271817346.15</v>
      </c>
      <c r="J128" s="26"/>
      <c r="K128" s="72"/>
      <c r="L128" s="72"/>
      <c r="M128" s="26"/>
      <c r="N128" s="97"/>
      <c r="O128" s="97"/>
      <c r="P128" s="97"/>
      <c r="Q128" s="97"/>
      <c r="R128" s="98">
        <f>SUM(R114:R127)</f>
        <v>27254</v>
      </c>
      <c r="S128" s="97"/>
      <c r="T128" s="99"/>
      <c r="U128" s="97"/>
      <c r="V128" s="100">
        <f>SUM(V114:V127)</f>
        <v>138719694.12</v>
      </c>
      <c r="W128" s="97"/>
      <c r="X128" s="99"/>
      <c r="Y128" s="26"/>
      <c r="Z128" s="97"/>
      <c r="AA128" s="97"/>
      <c r="AB128" s="97"/>
      <c r="AC128" s="97"/>
      <c r="AD128" s="98">
        <v>26697</v>
      </c>
      <c r="AE128" s="97"/>
      <c r="AF128" s="99"/>
      <c r="AG128" s="97"/>
      <c r="AH128" s="100">
        <v>133545096.51999995</v>
      </c>
      <c r="AI128" s="97"/>
      <c r="AJ128" s="99"/>
    </row>
    <row r="129" spans="1:36" s="11" customFormat="1" ht="18.75" thickTop="1">
      <c r="A129" s="27"/>
      <c r="B129" s="27"/>
      <c r="C129" s="27"/>
      <c r="D129" s="27"/>
      <c r="E129" s="28"/>
      <c r="F129" s="27"/>
      <c r="G129" s="27"/>
      <c r="H129" s="27"/>
      <c r="I129" s="29"/>
      <c r="J129" s="27"/>
      <c r="K129" s="27"/>
      <c r="L129" s="27"/>
      <c r="M129" s="27"/>
      <c r="N129" s="27"/>
      <c r="O129" s="27"/>
      <c r="P129" s="27"/>
      <c r="Q129" s="27"/>
      <c r="R129" s="28"/>
      <c r="S129" s="27"/>
      <c r="T129" s="30"/>
      <c r="U129" s="27"/>
      <c r="V129" s="29"/>
      <c r="W129" s="27"/>
      <c r="X129" s="30"/>
      <c r="Y129" s="27"/>
      <c r="Z129" s="27"/>
      <c r="AA129" s="27"/>
      <c r="AB129" s="27"/>
      <c r="AC129" s="27"/>
      <c r="AD129" s="28"/>
      <c r="AE129" s="27"/>
      <c r="AF129" s="30"/>
      <c r="AG129" s="27"/>
      <c r="AH129" s="29"/>
      <c r="AI129" s="27"/>
      <c r="AJ129" s="30"/>
    </row>
    <row r="130" spans="1:36" s="11" customFormat="1" ht="18">
      <c r="A130" s="27" t="s">
        <v>79</v>
      </c>
      <c r="B130" s="27"/>
      <c r="C130" s="27"/>
      <c r="D130" s="27"/>
      <c r="E130" s="28"/>
      <c r="F130" s="27"/>
      <c r="G130" s="27"/>
      <c r="H130" s="27"/>
      <c r="I130" s="29"/>
      <c r="J130" s="27"/>
      <c r="K130" s="27"/>
      <c r="L130" s="27"/>
      <c r="M130" s="27"/>
      <c r="N130" s="27" t="s">
        <v>79</v>
      </c>
      <c r="O130" s="27"/>
      <c r="P130" s="27"/>
      <c r="Q130" s="27"/>
      <c r="R130" s="28"/>
      <c r="S130" s="27"/>
      <c r="T130" s="30"/>
      <c r="U130" s="27"/>
      <c r="V130" s="29"/>
      <c r="W130" s="27"/>
      <c r="X130" s="30"/>
      <c r="Y130" s="27"/>
      <c r="Z130" s="27" t="s">
        <v>79</v>
      </c>
      <c r="AA130" s="27"/>
      <c r="AB130" s="27"/>
      <c r="AC130" s="27"/>
      <c r="AD130" s="28"/>
      <c r="AE130" s="27"/>
      <c r="AF130" s="30"/>
      <c r="AG130" s="27"/>
      <c r="AH130" s="29"/>
      <c r="AI130" s="27"/>
      <c r="AJ130" s="30"/>
    </row>
    <row r="131" spans="1:36" s="11" customFormat="1" ht="18">
      <c r="A131" s="27"/>
      <c r="B131" s="27"/>
      <c r="C131" s="27"/>
      <c r="D131" s="27"/>
      <c r="E131" s="28"/>
      <c r="F131" s="27"/>
      <c r="G131" s="27"/>
      <c r="H131" s="27"/>
      <c r="I131" s="29"/>
      <c r="J131" s="27"/>
      <c r="K131" s="27"/>
      <c r="L131" s="27"/>
      <c r="M131" s="27"/>
      <c r="N131" s="27"/>
      <c r="O131" s="27"/>
      <c r="P131" s="27"/>
      <c r="Q131" s="27"/>
      <c r="R131" s="28"/>
      <c r="S131" s="27"/>
      <c r="T131" s="30"/>
      <c r="U131" s="27"/>
      <c r="V131" s="29"/>
      <c r="W131" s="27"/>
      <c r="X131" s="30"/>
      <c r="Y131" s="27"/>
      <c r="Z131" s="27"/>
      <c r="AA131" s="27"/>
      <c r="AB131" s="27"/>
      <c r="AC131" s="27"/>
      <c r="AD131" s="28"/>
      <c r="AE131" s="27"/>
      <c r="AF131" s="30"/>
      <c r="AG131" s="27"/>
      <c r="AH131" s="29"/>
      <c r="AI131" s="27"/>
      <c r="AJ131" s="30"/>
    </row>
    <row r="132" spans="1:36" s="11" customFormat="1" ht="18">
      <c r="A132" s="27"/>
      <c r="B132" s="27"/>
      <c r="C132" s="27"/>
      <c r="D132" s="27"/>
      <c r="E132" s="28"/>
      <c r="F132" s="27"/>
      <c r="G132" s="27"/>
      <c r="H132" s="27"/>
      <c r="I132" s="29"/>
      <c r="J132" s="27"/>
      <c r="K132" s="27"/>
      <c r="L132" s="27"/>
      <c r="M132" s="27"/>
      <c r="N132" s="27"/>
      <c r="O132" s="27"/>
      <c r="P132" s="27"/>
      <c r="Q132" s="27"/>
      <c r="R132" s="28"/>
      <c r="S132" s="27"/>
      <c r="T132" s="30"/>
      <c r="U132" s="27"/>
      <c r="V132" s="29"/>
      <c r="W132" s="27"/>
      <c r="X132" s="30"/>
      <c r="Y132" s="27"/>
      <c r="Z132" s="27"/>
      <c r="AA132" s="27"/>
      <c r="AB132" s="27"/>
      <c r="AC132" s="27"/>
      <c r="AD132" s="28"/>
      <c r="AE132" s="27"/>
      <c r="AF132" s="30"/>
      <c r="AG132" s="27"/>
      <c r="AH132" s="29"/>
      <c r="AI132" s="27"/>
      <c r="AJ132" s="30"/>
    </row>
    <row r="133" spans="1:36" s="11" customFormat="1" ht="18">
      <c r="A133" s="27"/>
      <c r="B133" s="27"/>
      <c r="C133" s="27"/>
      <c r="D133" s="27"/>
      <c r="E133" s="28"/>
      <c r="F133" s="27"/>
      <c r="G133" s="27"/>
      <c r="H133" s="27"/>
      <c r="I133" s="29"/>
      <c r="J133" s="27"/>
      <c r="K133" s="27"/>
      <c r="L133" s="27"/>
      <c r="M133" s="27"/>
      <c r="N133" s="27"/>
      <c r="O133" s="27"/>
      <c r="P133" s="27"/>
      <c r="Q133" s="27"/>
      <c r="R133" s="28"/>
      <c r="S133" s="27"/>
      <c r="T133" s="30"/>
      <c r="U133" s="27"/>
      <c r="V133" s="29"/>
      <c r="W133" s="27"/>
      <c r="X133" s="30"/>
      <c r="Y133" s="27"/>
      <c r="Z133" s="27"/>
      <c r="AA133" s="27"/>
      <c r="AB133" s="27"/>
      <c r="AC133" s="27"/>
      <c r="AD133" s="28"/>
      <c r="AE133" s="27"/>
      <c r="AF133" s="30"/>
      <c r="AG133" s="27"/>
      <c r="AH133" s="29"/>
      <c r="AI133" s="27"/>
      <c r="AJ133" s="30"/>
    </row>
    <row r="134" spans="1:36" s="13" customFormat="1" ht="18.75">
      <c r="A134" s="36" t="s">
        <v>90</v>
      </c>
      <c r="B134" s="37"/>
      <c r="C134" s="37"/>
      <c r="D134" s="37"/>
      <c r="E134" s="38"/>
      <c r="F134" s="37"/>
      <c r="G134" s="37"/>
      <c r="H134" s="37"/>
      <c r="I134" s="39"/>
      <c r="J134" s="37"/>
      <c r="K134" s="37"/>
      <c r="L134" s="37"/>
      <c r="M134" s="37"/>
      <c r="N134" s="36" t="s">
        <v>90</v>
      </c>
      <c r="O134" s="27"/>
      <c r="P134" s="27"/>
      <c r="Q134" s="27"/>
      <c r="R134" s="28"/>
      <c r="S134" s="27"/>
      <c r="T134" s="30"/>
      <c r="U134" s="27"/>
      <c r="V134" s="29"/>
      <c r="W134" s="27"/>
      <c r="X134" s="30"/>
      <c r="Y134" s="37"/>
      <c r="Z134" s="36" t="s">
        <v>90</v>
      </c>
      <c r="AA134" s="27"/>
      <c r="AB134" s="27"/>
      <c r="AC134" s="27"/>
      <c r="AD134" s="28"/>
      <c r="AE134" s="27"/>
      <c r="AF134" s="30"/>
      <c r="AG134" s="27"/>
      <c r="AH134" s="29"/>
      <c r="AI134" s="27"/>
      <c r="AJ134" s="30"/>
    </row>
    <row r="135" spans="1:36" s="11" customFormat="1" ht="18">
      <c r="A135" s="27"/>
      <c r="B135" s="27"/>
      <c r="C135" s="27"/>
      <c r="D135" s="27"/>
      <c r="E135" s="28"/>
      <c r="F135" s="27"/>
      <c r="G135" s="27"/>
      <c r="H135" s="27"/>
      <c r="I135" s="29"/>
      <c r="J135" s="27"/>
      <c r="K135" s="27"/>
      <c r="L135" s="27"/>
      <c r="M135" s="27"/>
      <c r="N135" s="27"/>
      <c r="O135" s="27"/>
      <c r="P135" s="27"/>
      <c r="Q135" s="27"/>
      <c r="R135" s="28"/>
      <c r="S135" s="27"/>
      <c r="T135" s="30"/>
      <c r="U135" s="27"/>
      <c r="V135" s="29"/>
      <c r="W135" s="27"/>
      <c r="X135" s="30"/>
      <c r="Y135" s="27"/>
      <c r="Z135" s="27"/>
      <c r="AA135" s="27"/>
      <c r="AB135" s="27"/>
      <c r="AC135" s="27"/>
      <c r="AD135" s="28"/>
      <c r="AE135" s="27"/>
      <c r="AF135" s="30"/>
      <c r="AG135" s="27"/>
      <c r="AH135" s="29"/>
      <c r="AI135" s="27"/>
      <c r="AJ135" s="30"/>
    </row>
    <row r="136" spans="1:36" s="65" customFormat="1" ht="18">
      <c r="A136" s="59"/>
      <c r="B136" s="59"/>
      <c r="C136" s="59"/>
      <c r="D136" s="59"/>
      <c r="E136" s="60" t="s">
        <v>83</v>
      </c>
      <c r="F136" s="59"/>
      <c r="G136" s="61" t="s">
        <v>84</v>
      </c>
      <c r="H136" s="59"/>
      <c r="I136" s="62" t="s">
        <v>85</v>
      </c>
      <c r="J136" s="59"/>
      <c r="K136" s="61" t="s">
        <v>84</v>
      </c>
      <c r="L136" s="61"/>
      <c r="M136" s="64"/>
      <c r="N136" s="97"/>
      <c r="O136" s="97"/>
      <c r="P136" s="97"/>
      <c r="Q136" s="97"/>
      <c r="R136" s="60" t="s">
        <v>83</v>
      </c>
      <c r="S136" s="59"/>
      <c r="T136" s="61" t="s">
        <v>84</v>
      </c>
      <c r="U136" s="59"/>
      <c r="V136" s="62" t="s">
        <v>85</v>
      </c>
      <c r="W136" s="59"/>
      <c r="X136" s="61" t="s">
        <v>84</v>
      </c>
      <c r="Y136" s="64"/>
      <c r="Z136" s="97"/>
      <c r="AA136" s="97"/>
      <c r="AB136" s="97"/>
      <c r="AC136" s="97"/>
      <c r="AD136" s="60" t="s">
        <v>83</v>
      </c>
      <c r="AE136" s="59"/>
      <c r="AF136" s="61" t="s">
        <v>84</v>
      </c>
      <c r="AG136" s="59"/>
      <c r="AH136" s="62" t="s">
        <v>85</v>
      </c>
      <c r="AI136" s="59"/>
      <c r="AJ136" s="61" t="s">
        <v>84</v>
      </c>
    </row>
    <row r="137" spans="1:36" s="11" customFormat="1" ht="18">
      <c r="A137" s="27"/>
      <c r="B137" s="27"/>
      <c r="C137" s="27"/>
      <c r="D137" s="27"/>
      <c r="E137" s="28"/>
      <c r="F137" s="27"/>
      <c r="G137" s="27"/>
      <c r="H137" s="27"/>
      <c r="I137" s="29"/>
      <c r="J137" s="27"/>
      <c r="K137" s="27"/>
      <c r="L137" s="27"/>
      <c r="M137" s="27"/>
      <c r="N137" s="27"/>
      <c r="O137" s="27"/>
      <c r="P137" s="27"/>
      <c r="Q137" s="27"/>
      <c r="R137" s="28"/>
      <c r="S137" s="27"/>
      <c r="T137" s="30"/>
      <c r="U137" s="27"/>
      <c r="V137" s="29"/>
      <c r="W137" s="27"/>
      <c r="X137" s="30"/>
      <c r="Y137" s="27"/>
      <c r="Z137" s="27"/>
      <c r="AA137" s="27"/>
      <c r="AB137" s="27"/>
      <c r="AC137" s="27"/>
      <c r="AD137" s="28"/>
      <c r="AE137" s="27"/>
      <c r="AF137" s="30"/>
      <c r="AG137" s="27"/>
      <c r="AH137" s="29"/>
      <c r="AI137" s="27"/>
      <c r="AJ137" s="30"/>
    </row>
    <row r="138" spans="1:36" s="11" customFormat="1" ht="18">
      <c r="A138" s="27" t="s">
        <v>55</v>
      </c>
      <c r="B138" s="27"/>
      <c r="C138" s="27"/>
      <c r="D138" s="27"/>
      <c r="E138" s="28">
        <v>12333</v>
      </c>
      <c r="F138" s="27"/>
      <c r="G138" s="30">
        <v>0.2581205525324404</v>
      </c>
      <c r="H138" s="27"/>
      <c r="I138" s="29">
        <v>82561939.21</v>
      </c>
      <c r="J138" s="27"/>
      <c r="K138" s="30">
        <v>0.3037405094980175</v>
      </c>
      <c r="L138" s="30"/>
      <c r="M138" s="27"/>
      <c r="N138" s="27" t="s">
        <v>55</v>
      </c>
      <c r="O138" s="27"/>
      <c r="P138" s="27"/>
      <c r="Q138" s="27"/>
      <c r="R138" s="28">
        <v>0</v>
      </c>
      <c r="S138" s="27"/>
      <c r="T138" s="30">
        <f>+R138/$R$150</f>
        <v>0</v>
      </c>
      <c r="U138" s="27"/>
      <c r="V138" s="29">
        <v>0</v>
      </c>
      <c r="W138" s="27"/>
      <c r="X138" s="30">
        <f>+V138/$V$150</f>
        <v>0</v>
      </c>
      <c r="Y138" s="27"/>
      <c r="Z138" s="27" t="s">
        <v>55</v>
      </c>
      <c r="AA138" s="27"/>
      <c r="AB138" s="27"/>
      <c r="AC138" s="27"/>
      <c r="AD138" s="28">
        <v>0</v>
      </c>
      <c r="AE138" s="27"/>
      <c r="AF138" s="30">
        <v>0</v>
      </c>
      <c r="AG138" s="27"/>
      <c r="AH138" s="29">
        <v>0</v>
      </c>
      <c r="AI138" s="27"/>
      <c r="AJ138" s="30">
        <v>0</v>
      </c>
    </row>
    <row r="139" spans="1:36" s="11" customFormat="1" ht="18">
      <c r="A139" s="27" t="s">
        <v>56</v>
      </c>
      <c r="B139" s="27"/>
      <c r="C139" s="27"/>
      <c r="D139" s="27"/>
      <c r="E139" s="28">
        <v>12200</v>
      </c>
      <c r="F139" s="27"/>
      <c r="G139" s="30">
        <v>0.25533696107157805</v>
      </c>
      <c r="H139" s="27"/>
      <c r="I139" s="29">
        <v>72565392.65</v>
      </c>
      <c r="J139" s="27"/>
      <c r="K139" s="30">
        <v>0.26696380373736495</v>
      </c>
      <c r="L139" s="30"/>
      <c r="M139" s="27"/>
      <c r="N139" s="27" t="s">
        <v>56</v>
      </c>
      <c r="O139" s="27"/>
      <c r="P139" s="27"/>
      <c r="Q139" s="27"/>
      <c r="R139" s="28">
        <v>0</v>
      </c>
      <c r="S139" s="27"/>
      <c r="T139" s="30">
        <f aca="true" t="shared" si="12" ref="T139:T148">+R139/$R$150</f>
        <v>0</v>
      </c>
      <c r="U139" s="27"/>
      <c r="V139" s="29">
        <v>0</v>
      </c>
      <c r="W139" s="27"/>
      <c r="X139" s="30">
        <f aca="true" t="shared" si="13" ref="X139:X148">+V139/$V$150</f>
        <v>0</v>
      </c>
      <c r="Y139" s="27"/>
      <c r="Z139" s="27" t="s">
        <v>56</v>
      </c>
      <c r="AA139" s="27"/>
      <c r="AB139" s="27"/>
      <c r="AC139" s="27"/>
      <c r="AD139" s="28">
        <v>0</v>
      </c>
      <c r="AE139" s="27"/>
      <c r="AF139" s="30">
        <v>0</v>
      </c>
      <c r="AG139" s="27"/>
      <c r="AH139" s="29">
        <v>0</v>
      </c>
      <c r="AI139" s="27"/>
      <c r="AJ139" s="30">
        <v>0</v>
      </c>
    </row>
    <row r="140" spans="1:36" s="11" customFormat="1" ht="18">
      <c r="A140" s="27" t="s">
        <v>57</v>
      </c>
      <c r="B140" s="27"/>
      <c r="C140" s="27"/>
      <c r="D140" s="27"/>
      <c r="E140" s="28">
        <v>7644</v>
      </c>
      <c r="F140" s="27"/>
      <c r="G140" s="30">
        <v>0.15998325659271662</v>
      </c>
      <c r="H140" s="27"/>
      <c r="I140" s="29">
        <v>35975136.67</v>
      </c>
      <c r="J140" s="27"/>
      <c r="K140" s="30">
        <v>0.1323504080204927</v>
      </c>
      <c r="L140" s="30"/>
      <c r="M140" s="27"/>
      <c r="N140" s="27" t="s">
        <v>57</v>
      </c>
      <c r="O140" s="27"/>
      <c r="P140" s="27"/>
      <c r="Q140" s="27"/>
      <c r="R140" s="28">
        <v>1071</v>
      </c>
      <c r="S140" s="27"/>
      <c r="T140" s="30">
        <f t="shared" si="12"/>
        <v>0.03929698392896456</v>
      </c>
      <c r="U140" s="27"/>
      <c r="V140" s="29">
        <v>6417617.96</v>
      </c>
      <c r="W140" s="27"/>
      <c r="X140" s="30">
        <f t="shared" si="13"/>
        <v>0.04626320725915395</v>
      </c>
      <c r="Y140" s="27"/>
      <c r="Z140" s="27" t="s">
        <v>57</v>
      </c>
      <c r="AA140" s="27"/>
      <c r="AB140" s="27"/>
      <c r="AC140" s="27"/>
      <c r="AD140" s="28">
        <v>1052</v>
      </c>
      <c r="AE140" s="27"/>
      <c r="AF140" s="30">
        <v>0.0394051766116043</v>
      </c>
      <c r="AG140" s="27"/>
      <c r="AH140" s="29">
        <v>6164707.889999992</v>
      </c>
      <c r="AI140" s="27"/>
      <c r="AJ140" s="30">
        <v>0.04616199359350311</v>
      </c>
    </row>
    <row r="141" spans="1:36" s="11" customFormat="1" ht="18">
      <c r="A141" s="27" t="s">
        <v>58</v>
      </c>
      <c r="B141" s="27"/>
      <c r="C141" s="27"/>
      <c r="D141" s="27"/>
      <c r="E141" s="28">
        <v>5375</v>
      </c>
      <c r="F141" s="27"/>
      <c r="G141" s="30">
        <v>0.11249476768522394</v>
      </c>
      <c r="H141" s="27"/>
      <c r="I141" s="29">
        <v>26635527.61</v>
      </c>
      <c r="J141" s="27"/>
      <c r="K141" s="30">
        <v>0.09799053661314688</v>
      </c>
      <c r="L141" s="30"/>
      <c r="M141" s="27"/>
      <c r="N141" s="27" t="s">
        <v>58</v>
      </c>
      <c r="O141" s="27"/>
      <c r="P141" s="27"/>
      <c r="Q141" s="27"/>
      <c r="R141" s="28">
        <v>7214</v>
      </c>
      <c r="S141" s="27"/>
      <c r="T141" s="30">
        <f t="shared" si="12"/>
        <v>0.2646950906288985</v>
      </c>
      <c r="U141" s="27"/>
      <c r="V141" s="29">
        <v>36137706</v>
      </c>
      <c r="W141" s="27"/>
      <c r="X141" s="30">
        <f t="shared" si="13"/>
        <v>0.2605088356721645</v>
      </c>
      <c r="Y141" s="27"/>
      <c r="Z141" s="27" t="s">
        <v>58</v>
      </c>
      <c r="AA141" s="27"/>
      <c r="AB141" s="27"/>
      <c r="AC141" s="27"/>
      <c r="AD141" s="28">
        <v>7117</v>
      </c>
      <c r="AE141" s="27"/>
      <c r="AF141" s="30">
        <v>0.2665842604037907</v>
      </c>
      <c r="AG141" s="27"/>
      <c r="AH141" s="29">
        <v>35626536.78000009</v>
      </c>
      <c r="AI141" s="27"/>
      <c r="AJ141" s="30">
        <v>0.2667753268998881</v>
      </c>
    </row>
    <row r="142" spans="1:36" s="11" customFormat="1" ht="18">
      <c r="A142" s="27" t="s">
        <v>59</v>
      </c>
      <c r="B142" s="27"/>
      <c r="C142" s="27"/>
      <c r="D142" s="27"/>
      <c r="E142" s="28">
        <v>3417</v>
      </c>
      <c r="F142" s="27"/>
      <c r="G142" s="30">
        <v>0.07151527835914609</v>
      </c>
      <c r="H142" s="27"/>
      <c r="I142" s="29">
        <v>16644397.46</v>
      </c>
      <c r="J142" s="27"/>
      <c r="K142" s="30">
        <v>0.06123375750572936</v>
      </c>
      <c r="L142" s="30"/>
      <c r="M142" s="27"/>
      <c r="N142" s="27" t="s">
        <v>59</v>
      </c>
      <c r="O142" s="27"/>
      <c r="P142" s="27"/>
      <c r="Q142" s="27"/>
      <c r="R142" s="28">
        <v>6482</v>
      </c>
      <c r="S142" s="27"/>
      <c r="T142" s="30">
        <f t="shared" si="12"/>
        <v>0.23783664783151098</v>
      </c>
      <c r="U142" s="27"/>
      <c r="V142" s="29">
        <v>31097538.08</v>
      </c>
      <c r="W142" s="27"/>
      <c r="X142" s="30">
        <f t="shared" si="13"/>
        <v>0.22417536512947436</v>
      </c>
      <c r="Y142" s="27"/>
      <c r="Z142" s="27" t="s">
        <v>59</v>
      </c>
      <c r="AA142" s="27"/>
      <c r="AB142" s="27"/>
      <c r="AC142" s="27"/>
      <c r="AD142" s="28">
        <v>6366</v>
      </c>
      <c r="AE142" s="27"/>
      <c r="AF142" s="30">
        <v>0.23845375884930892</v>
      </c>
      <c r="AG142" s="27"/>
      <c r="AH142" s="29">
        <v>30053814.67999991</v>
      </c>
      <c r="AI142" s="27"/>
      <c r="AJ142" s="30">
        <v>0.22504618636820556</v>
      </c>
    </row>
    <row r="143" spans="1:36" s="11" customFormat="1" ht="18">
      <c r="A143" s="27" t="s">
        <v>60</v>
      </c>
      <c r="B143" s="27"/>
      <c r="C143" s="27"/>
      <c r="D143" s="27"/>
      <c r="E143" s="28">
        <v>2108</v>
      </c>
      <c r="F143" s="27"/>
      <c r="G143" s="30">
        <v>0.044118878191712015</v>
      </c>
      <c r="H143" s="27"/>
      <c r="I143" s="29">
        <v>10931107.26</v>
      </c>
      <c r="J143" s="27"/>
      <c r="K143" s="30">
        <v>0.04021489950817106</v>
      </c>
      <c r="L143" s="30"/>
      <c r="M143" s="27"/>
      <c r="N143" s="27" t="s">
        <v>60</v>
      </c>
      <c r="O143" s="27"/>
      <c r="P143" s="27"/>
      <c r="Q143" s="27"/>
      <c r="R143" s="28">
        <v>4076</v>
      </c>
      <c r="S143" s="27"/>
      <c r="T143" s="30">
        <f t="shared" si="12"/>
        <v>0.1495560284728847</v>
      </c>
      <c r="U143" s="27"/>
      <c r="V143" s="29">
        <v>18623425.51</v>
      </c>
      <c r="W143" s="27"/>
      <c r="X143" s="30">
        <f t="shared" si="13"/>
        <v>0.1342522100278691</v>
      </c>
      <c r="Y143" s="27"/>
      <c r="Z143" s="27" t="s">
        <v>60</v>
      </c>
      <c r="AA143" s="27"/>
      <c r="AB143" s="27"/>
      <c r="AC143" s="27"/>
      <c r="AD143" s="28">
        <v>4014</v>
      </c>
      <c r="AE143" s="27"/>
      <c r="AF143" s="30">
        <v>0.15035397235644454</v>
      </c>
      <c r="AG143" s="27"/>
      <c r="AH143" s="29">
        <v>18080791.229999974</v>
      </c>
      <c r="AI143" s="27"/>
      <c r="AJ143" s="30">
        <v>0.1353909031567637</v>
      </c>
    </row>
    <row r="144" spans="1:36" s="11" customFormat="1" ht="18">
      <c r="A144" s="27" t="s">
        <v>61</v>
      </c>
      <c r="B144" s="27"/>
      <c r="C144" s="27"/>
      <c r="D144" s="27"/>
      <c r="E144" s="28">
        <v>1214</v>
      </c>
      <c r="F144" s="27"/>
      <c r="G144" s="30">
        <v>0.02540812055253244</v>
      </c>
      <c r="H144" s="27"/>
      <c r="I144" s="29">
        <v>7958996.87</v>
      </c>
      <c r="J144" s="27"/>
      <c r="K144" s="30">
        <v>0.029280680511124913</v>
      </c>
      <c r="L144" s="30"/>
      <c r="M144" s="27"/>
      <c r="N144" s="27" t="s">
        <v>61</v>
      </c>
      <c r="O144" s="27"/>
      <c r="P144" s="27"/>
      <c r="Q144" s="27"/>
      <c r="R144" s="28">
        <v>2637</v>
      </c>
      <c r="S144" s="27"/>
      <c r="T144" s="30">
        <f t="shared" si="12"/>
        <v>0.09675643942173626</v>
      </c>
      <c r="U144" s="27"/>
      <c r="V144" s="29">
        <v>13204143.38</v>
      </c>
      <c r="W144" s="27"/>
      <c r="X144" s="30">
        <f t="shared" si="13"/>
        <v>0.0951857878851557</v>
      </c>
      <c r="Y144" s="27"/>
      <c r="Z144" s="27" t="s">
        <v>61</v>
      </c>
      <c r="AA144" s="27"/>
      <c r="AB144" s="27"/>
      <c r="AC144" s="27"/>
      <c r="AD144" s="28">
        <v>2593</v>
      </c>
      <c r="AE144" s="27"/>
      <c r="AF144" s="30">
        <v>0.09712701801700566</v>
      </c>
      <c r="AG144" s="27"/>
      <c r="AH144" s="29">
        <v>12756278.00999998</v>
      </c>
      <c r="AI144" s="27"/>
      <c r="AJ144" s="30">
        <v>0.09552037732878928</v>
      </c>
    </row>
    <row r="145" spans="1:36" s="11" customFormat="1" ht="18">
      <c r="A145" s="27" t="s">
        <v>62</v>
      </c>
      <c r="B145" s="27"/>
      <c r="C145" s="27"/>
      <c r="D145" s="27"/>
      <c r="E145" s="28">
        <v>1250</v>
      </c>
      <c r="F145" s="27"/>
      <c r="G145" s="30">
        <v>0.026161573880284637</v>
      </c>
      <c r="H145" s="27"/>
      <c r="I145" s="29">
        <v>7561862.89</v>
      </c>
      <c r="J145" s="27"/>
      <c r="K145" s="30">
        <v>0.027819647999311463</v>
      </c>
      <c r="L145" s="30"/>
      <c r="M145" s="27"/>
      <c r="N145" s="27" t="s">
        <v>62</v>
      </c>
      <c r="O145" s="27"/>
      <c r="P145" s="27"/>
      <c r="Q145" s="27"/>
      <c r="R145" s="28">
        <v>1789</v>
      </c>
      <c r="S145" s="27"/>
      <c r="T145" s="30">
        <f t="shared" si="12"/>
        <v>0.06564174066192119</v>
      </c>
      <c r="U145" s="27"/>
      <c r="V145" s="29">
        <v>9219129.59</v>
      </c>
      <c r="W145" s="27"/>
      <c r="X145" s="30">
        <f t="shared" si="13"/>
        <v>0.06645869318328337</v>
      </c>
      <c r="Y145" s="27"/>
      <c r="Z145" s="27" t="s">
        <v>62</v>
      </c>
      <c r="AA145" s="27"/>
      <c r="AB145" s="27"/>
      <c r="AC145" s="27"/>
      <c r="AD145" s="28">
        <v>1768</v>
      </c>
      <c r="AE145" s="27"/>
      <c r="AF145" s="30">
        <v>0.0662246694385137</v>
      </c>
      <c r="AG145" s="27"/>
      <c r="AH145" s="29">
        <v>8964103.040000016</v>
      </c>
      <c r="AI145" s="27"/>
      <c r="AJ145" s="30">
        <v>0.06712416459751883</v>
      </c>
    </row>
    <row r="146" spans="1:36" s="11" customFormat="1" ht="18">
      <c r="A146" s="27" t="s">
        <v>63</v>
      </c>
      <c r="B146" s="27"/>
      <c r="C146" s="27"/>
      <c r="D146" s="27"/>
      <c r="E146" s="28">
        <v>924</v>
      </c>
      <c r="F146" s="27"/>
      <c r="G146" s="30">
        <v>0.019338635412306404</v>
      </c>
      <c r="H146" s="27"/>
      <c r="I146" s="29">
        <v>5389574.46</v>
      </c>
      <c r="J146" s="27"/>
      <c r="K146" s="30">
        <v>0.019827926864629936</v>
      </c>
      <c r="L146" s="30"/>
      <c r="M146" s="27"/>
      <c r="N146" s="27" t="s">
        <v>63</v>
      </c>
      <c r="O146" s="27"/>
      <c r="P146" s="27"/>
      <c r="Q146" s="27"/>
      <c r="R146" s="28">
        <v>1080</v>
      </c>
      <c r="S146" s="27"/>
      <c r="T146" s="30">
        <f t="shared" si="12"/>
        <v>0.03962721068467014</v>
      </c>
      <c r="U146" s="27"/>
      <c r="V146" s="29">
        <v>5821355.79</v>
      </c>
      <c r="W146" s="27"/>
      <c r="X146" s="30">
        <f t="shared" si="13"/>
        <v>0.04196488340699637</v>
      </c>
      <c r="Y146" s="27"/>
      <c r="Z146" s="27" t="s">
        <v>63</v>
      </c>
      <c r="AA146" s="27"/>
      <c r="AB146" s="27"/>
      <c r="AC146" s="27"/>
      <c r="AD146" s="28">
        <v>1047</v>
      </c>
      <c r="AE146" s="27"/>
      <c r="AF146" s="30">
        <v>0.03921788965052253</v>
      </c>
      <c r="AG146" s="27"/>
      <c r="AH146" s="29">
        <v>5692761.470000001</v>
      </c>
      <c r="AI146" s="27"/>
      <c r="AJ146" s="30">
        <v>0.042628008203561725</v>
      </c>
    </row>
    <row r="147" spans="1:36" s="11" customFormat="1" ht="18">
      <c r="A147" s="27" t="s">
        <v>64</v>
      </c>
      <c r="B147" s="27"/>
      <c r="C147" s="27"/>
      <c r="D147" s="27"/>
      <c r="E147" s="28">
        <v>635</v>
      </c>
      <c r="F147" s="27"/>
      <c r="G147" s="30">
        <v>0.013290079531184596</v>
      </c>
      <c r="H147" s="27"/>
      <c r="I147" s="29">
        <v>2947823.76</v>
      </c>
      <c r="J147" s="27"/>
      <c r="K147" s="30">
        <v>0.010844869916334437</v>
      </c>
      <c r="L147" s="30"/>
      <c r="M147" s="27"/>
      <c r="N147" s="27" t="s">
        <v>64</v>
      </c>
      <c r="O147" s="27"/>
      <c r="P147" s="27"/>
      <c r="Q147" s="27"/>
      <c r="R147" s="28">
        <v>824</v>
      </c>
      <c r="S147" s="27"/>
      <c r="T147" s="30">
        <f t="shared" si="12"/>
        <v>0.030234094077933513</v>
      </c>
      <c r="U147" s="27"/>
      <c r="V147" s="29">
        <v>5613808.6</v>
      </c>
      <c r="W147" s="27"/>
      <c r="X147" s="30">
        <f t="shared" si="13"/>
        <v>0.04046872101046988</v>
      </c>
      <c r="Y147" s="27"/>
      <c r="Z147" s="27" t="s">
        <v>64</v>
      </c>
      <c r="AA147" s="27"/>
      <c r="AB147" s="27"/>
      <c r="AC147" s="27"/>
      <c r="AD147" s="28">
        <v>808</v>
      </c>
      <c r="AE147" s="27"/>
      <c r="AF147" s="30">
        <v>0.03026557291081395</v>
      </c>
      <c r="AG147" s="27"/>
      <c r="AH147" s="29">
        <v>5513150.379999998</v>
      </c>
      <c r="AI147" s="27"/>
      <c r="AJ147" s="30">
        <v>0.04128306110568679</v>
      </c>
    </row>
    <row r="148" spans="1:36" s="11" customFormat="1" ht="18">
      <c r="A148" s="27" t="s">
        <v>65</v>
      </c>
      <c r="B148" s="27"/>
      <c r="C148" s="27"/>
      <c r="D148" s="27"/>
      <c r="E148" s="28">
        <v>680</v>
      </c>
      <c r="F148" s="27"/>
      <c r="G148" s="30">
        <v>0.014231896190874843</v>
      </c>
      <c r="H148" s="27"/>
      <c r="I148" s="29">
        <v>2645587.31</v>
      </c>
      <c r="J148" s="27"/>
      <c r="K148" s="30">
        <v>0.009732959825676672</v>
      </c>
      <c r="L148" s="30"/>
      <c r="M148" s="27"/>
      <c r="N148" s="27" t="s">
        <v>65</v>
      </c>
      <c r="O148" s="27"/>
      <c r="P148" s="27"/>
      <c r="Q148" s="27"/>
      <c r="R148" s="28">
        <v>2081</v>
      </c>
      <c r="S148" s="27"/>
      <c r="T148" s="30">
        <f t="shared" si="12"/>
        <v>0.07635576429148015</v>
      </c>
      <c r="U148" s="27"/>
      <c r="V148" s="29">
        <v>12584969.21</v>
      </c>
      <c r="W148" s="27"/>
      <c r="X148" s="30">
        <f t="shared" si="13"/>
        <v>0.09072229642543275</v>
      </c>
      <c r="Y148" s="27"/>
      <c r="Z148" s="27" t="s">
        <v>65</v>
      </c>
      <c r="AA148" s="27"/>
      <c r="AB148" s="27"/>
      <c r="AC148" s="27"/>
      <c r="AD148" s="28">
        <v>1932</v>
      </c>
      <c r="AE148" s="27"/>
      <c r="AF148" s="30">
        <v>0.07236768176199573</v>
      </c>
      <c r="AG148" s="27"/>
      <c r="AH148" s="29">
        <v>10692953.039999992</v>
      </c>
      <c r="AI148" s="27"/>
      <c r="AJ148" s="30">
        <v>0.08006997874608295</v>
      </c>
    </row>
    <row r="149" spans="1:36" s="11" customFormat="1" ht="18">
      <c r="A149" s="27"/>
      <c r="B149" s="27"/>
      <c r="C149" s="27"/>
      <c r="D149" s="27"/>
      <c r="E149" s="28"/>
      <c r="F149" s="27"/>
      <c r="G149" s="27"/>
      <c r="H149" s="27"/>
      <c r="I149" s="29"/>
      <c r="J149" s="27"/>
      <c r="K149" s="27"/>
      <c r="L149" s="27"/>
      <c r="M149" s="27"/>
      <c r="N149" s="27"/>
      <c r="O149" s="27"/>
      <c r="P149" s="27"/>
      <c r="Q149" s="27"/>
      <c r="R149" s="28"/>
      <c r="S149" s="27"/>
      <c r="T149" s="30"/>
      <c r="U149" s="27"/>
      <c r="V149" s="29"/>
      <c r="W149" s="27"/>
      <c r="X149" s="30"/>
      <c r="Y149" s="27"/>
      <c r="Z149" s="27"/>
      <c r="AA149" s="27"/>
      <c r="AB149" s="27"/>
      <c r="AC149" s="27"/>
      <c r="AD149" s="28"/>
      <c r="AE149" s="27"/>
      <c r="AF149" s="30"/>
      <c r="AG149" s="27"/>
      <c r="AH149" s="29"/>
      <c r="AI149" s="27"/>
      <c r="AJ149" s="30"/>
    </row>
    <row r="150" spans="1:36" s="12" customFormat="1" ht="18.75" thickBot="1">
      <c r="A150" s="26"/>
      <c r="B150" s="26"/>
      <c r="C150" s="26"/>
      <c r="D150" s="26"/>
      <c r="E150" s="73">
        <v>47780</v>
      </c>
      <c r="F150" s="26"/>
      <c r="G150" s="26"/>
      <c r="H150" s="26"/>
      <c r="I150" s="71">
        <v>271817346.15000004</v>
      </c>
      <c r="J150" s="26"/>
      <c r="K150" s="26"/>
      <c r="L150" s="26"/>
      <c r="M150" s="26"/>
      <c r="N150" s="97"/>
      <c r="O150" s="97"/>
      <c r="P150" s="97"/>
      <c r="Q150" s="97"/>
      <c r="R150" s="98">
        <f>SUM(R138:R149)</f>
        <v>27254</v>
      </c>
      <c r="S150" s="97"/>
      <c r="T150" s="99"/>
      <c r="U150" s="97"/>
      <c r="V150" s="100">
        <f>SUM(V138:V149)</f>
        <v>138719694.12</v>
      </c>
      <c r="W150" s="97"/>
      <c r="X150" s="99"/>
      <c r="Y150" s="26"/>
      <c r="Z150" s="97"/>
      <c r="AA150" s="97"/>
      <c r="AB150" s="97"/>
      <c r="AC150" s="97"/>
      <c r="AD150" s="98">
        <v>26697</v>
      </c>
      <c r="AE150" s="97"/>
      <c r="AF150" s="99"/>
      <c r="AG150" s="97"/>
      <c r="AH150" s="100">
        <v>133545096.51999995</v>
      </c>
      <c r="AI150" s="97"/>
      <c r="AJ150" s="99"/>
    </row>
    <row r="151" spans="1:36" s="11" customFormat="1" ht="18.75" thickTop="1">
      <c r="A151" s="27"/>
      <c r="B151" s="27"/>
      <c r="C151" s="27"/>
      <c r="D151" s="27"/>
      <c r="E151" s="28"/>
      <c r="F151" s="27"/>
      <c r="G151" s="27"/>
      <c r="H151" s="27"/>
      <c r="I151" s="29"/>
      <c r="J151" s="27"/>
      <c r="K151" s="27"/>
      <c r="L151" s="27"/>
      <c r="M151" s="27"/>
      <c r="N151" s="27"/>
      <c r="O151" s="27"/>
      <c r="P151" s="27"/>
      <c r="Q151" s="27"/>
      <c r="R151" s="28"/>
      <c r="S151" s="27"/>
      <c r="T151" s="30"/>
      <c r="U151" s="27"/>
      <c r="V151" s="101"/>
      <c r="W151" s="27"/>
      <c r="X151" s="30"/>
      <c r="Y151" s="27"/>
      <c r="Z151" s="27"/>
      <c r="AA151" s="27"/>
      <c r="AB151" s="27"/>
      <c r="AC151" s="27"/>
      <c r="AD151" s="28"/>
      <c r="AE151" s="27"/>
      <c r="AF151" s="30"/>
      <c r="AG151" s="27"/>
      <c r="AH151" s="101"/>
      <c r="AI151" s="27"/>
      <c r="AJ151" s="30"/>
    </row>
    <row r="152" spans="1:36" s="11" customFormat="1" ht="18">
      <c r="A152" s="27"/>
      <c r="B152" s="27"/>
      <c r="C152" s="27"/>
      <c r="D152" s="27"/>
      <c r="E152" s="28"/>
      <c r="F152" s="27"/>
      <c r="G152" s="27"/>
      <c r="H152" s="27"/>
      <c r="I152" s="29"/>
      <c r="J152" s="27"/>
      <c r="K152" s="27"/>
      <c r="L152" s="27"/>
      <c r="M152" s="27"/>
      <c r="N152" s="27"/>
      <c r="O152" s="27"/>
      <c r="P152" s="27"/>
      <c r="Q152" s="27"/>
      <c r="R152" s="28"/>
      <c r="S152" s="27"/>
      <c r="T152" s="30"/>
      <c r="U152" s="27"/>
      <c r="V152" s="29"/>
      <c r="W152" s="27"/>
      <c r="X152" s="30"/>
      <c r="Y152" s="27"/>
      <c r="Z152" s="27"/>
      <c r="AA152" s="27"/>
      <c r="AB152" s="27"/>
      <c r="AC152" s="27"/>
      <c r="AD152" s="28"/>
      <c r="AE152" s="27"/>
      <c r="AF152" s="30"/>
      <c r="AG152" s="27"/>
      <c r="AH152" s="29"/>
      <c r="AI152" s="27"/>
      <c r="AJ152" s="30"/>
    </row>
    <row r="153" spans="1:36" s="13" customFormat="1" ht="18.75">
      <c r="A153" s="36" t="s">
        <v>91</v>
      </c>
      <c r="B153" s="37"/>
      <c r="C153" s="37"/>
      <c r="D153" s="37"/>
      <c r="E153" s="38"/>
      <c r="F153" s="37"/>
      <c r="G153" s="37"/>
      <c r="H153" s="37"/>
      <c r="I153" s="39"/>
      <c r="J153" s="37"/>
      <c r="K153" s="37"/>
      <c r="L153" s="37"/>
      <c r="M153" s="37"/>
      <c r="N153" s="36" t="s">
        <v>91</v>
      </c>
      <c r="O153" s="27"/>
      <c r="P153" s="27"/>
      <c r="Q153" s="27"/>
      <c r="R153" s="28"/>
      <c r="S153" s="27"/>
      <c r="T153" s="30"/>
      <c r="U153" s="27"/>
      <c r="V153" s="29"/>
      <c r="W153" s="27"/>
      <c r="X153" s="30"/>
      <c r="Y153" s="37"/>
      <c r="Z153" s="36" t="s">
        <v>91</v>
      </c>
      <c r="AA153" s="27"/>
      <c r="AB153" s="27"/>
      <c r="AC153" s="27"/>
      <c r="AD153" s="28"/>
      <c r="AE153" s="27"/>
      <c r="AF153" s="30"/>
      <c r="AG153" s="27"/>
      <c r="AH153" s="29"/>
      <c r="AI153" s="27"/>
      <c r="AJ153" s="30"/>
    </row>
    <row r="154" spans="1:36" s="11" customFormat="1" ht="18">
      <c r="A154" s="27"/>
      <c r="B154" s="27"/>
      <c r="C154" s="27"/>
      <c r="D154" s="27"/>
      <c r="E154" s="28"/>
      <c r="F154" s="27"/>
      <c r="G154" s="27"/>
      <c r="H154" s="27"/>
      <c r="I154" s="29"/>
      <c r="J154" s="27"/>
      <c r="K154" s="27"/>
      <c r="L154" s="27"/>
      <c r="M154" s="27"/>
      <c r="N154" s="27"/>
      <c r="O154" s="27"/>
      <c r="P154" s="27"/>
      <c r="Q154" s="27"/>
      <c r="R154" s="28"/>
      <c r="S154" s="27"/>
      <c r="T154" s="30"/>
      <c r="U154" s="27"/>
      <c r="V154" s="29"/>
      <c r="W154" s="27"/>
      <c r="X154" s="30"/>
      <c r="Y154" s="27"/>
      <c r="Z154" s="27"/>
      <c r="AA154" s="27"/>
      <c r="AB154" s="27"/>
      <c r="AC154" s="27"/>
      <c r="AD154" s="28"/>
      <c r="AE154" s="27"/>
      <c r="AF154" s="30"/>
      <c r="AG154" s="27"/>
      <c r="AH154" s="29"/>
      <c r="AI154" s="27"/>
      <c r="AJ154" s="30"/>
    </row>
    <row r="155" spans="1:36" s="65" customFormat="1" ht="18">
      <c r="A155" s="59"/>
      <c r="B155" s="59"/>
      <c r="C155" s="59"/>
      <c r="D155" s="59"/>
      <c r="E155" s="60" t="s">
        <v>83</v>
      </c>
      <c r="F155" s="59"/>
      <c r="G155" s="61" t="s">
        <v>84</v>
      </c>
      <c r="H155" s="59"/>
      <c r="I155" s="62" t="s">
        <v>85</v>
      </c>
      <c r="J155" s="59"/>
      <c r="K155" s="61" t="s">
        <v>84</v>
      </c>
      <c r="L155" s="61"/>
      <c r="M155" s="64"/>
      <c r="N155" s="97"/>
      <c r="O155" s="97"/>
      <c r="P155" s="97"/>
      <c r="Q155" s="97"/>
      <c r="R155" s="60" t="s">
        <v>83</v>
      </c>
      <c r="S155" s="59"/>
      <c r="T155" s="61" t="s">
        <v>84</v>
      </c>
      <c r="U155" s="59"/>
      <c r="V155" s="62" t="s">
        <v>85</v>
      </c>
      <c r="W155" s="59"/>
      <c r="X155" s="61" t="s">
        <v>84</v>
      </c>
      <c r="Y155" s="64"/>
      <c r="Z155" s="97"/>
      <c r="AA155" s="97"/>
      <c r="AB155" s="97"/>
      <c r="AC155" s="97"/>
      <c r="AD155" s="60" t="s">
        <v>83</v>
      </c>
      <c r="AE155" s="59"/>
      <c r="AF155" s="61" t="s">
        <v>84</v>
      </c>
      <c r="AG155" s="59"/>
      <c r="AH155" s="62" t="s">
        <v>85</v>
      </c>
      <c r="AI155" s="59"/>
      <c r="AJ155" s="61" t="s">
        <v>84</v>
      </c>
    </row>
    <row r="156" spans="1:36" s="11" customFormat="1" ht="18">
      <c r="A156" s="27"/>
      <c r="B156" s="27"/>
      <c r="C156" s="27"/>
      <c r="D156" s="27"/>
      <c r="E156" s="28"/>
      <c r="F156" s="27"/>
      <c r="G156" s="27"/>
      <c r="H156" s="27"/>
      <c r="I156" s="29"/>
      <c r="J156" s="27"/>
      <c r="K156" s="27"/>
      <c r="L156" s="27"/>
      <c r="M156" s="27"/>
      <c r="N156" s="27"/>
      <c r="O156" s="27"/>
      <c r="P156" s="27"/>
      <c r="Q156" s="27"/>
      <c r="R156" s="28"/>
      <c r="S156" s="27"/>
      <c r="T156" s="30"/>
      <c r="U156" s="27"/>
      <c r="V156" s="29"/>
      <c r="W156" s="27"/>
      <c r="X156" s="30"/>
      <c r="Y156" s="27"/>
      <c r="Z156" s="27"/>
      <c r="AA156" s="27"/>
      <c r="AB156" s="27"/>
      <c r="AC156" s="27"/>
      <c r="AD156" s="28"/>
      <c r="AE156" s="27"/>
      <c r="AF156" s="30"/>
      <c r="AG156" s="27"/>
      <c r="AH156" s="29"/>
      <c r="AI156" s="27"/>
      <c r="AJ156" s="30"/>
    </row>
    <row r="157" spans="1:44" s="11" customFormat="1" ht="18">
      <c r="A157" s="27" t="s">
        <v>3</v>
      </c>
      <c r="B157" s="27"/>
      <c r="C157" s="27"/>
      <c r="D157" s="27"/>
      <c r="E157" s="28">
        <v>35376</v>
      </c>
      <c r="F157" s="27"/>
      <c r="G157" s="30">
        <v>0.7403934700711595</v>
      </c>
      <c r="H157" s="27"/>
      <c r="I157" s="29">
        <v>194822501.67</v>
      </c>
      <c r="J157" s="27"/>
      <c r="K157" s="30">
        <v>0.71674050397979</v>
      </c>
      <c r="L157" s="30"/>
      <c r="M157" s="27"/>
      <c r="N157" s="27" t="s">
        <v>3</v>
      </c>
      <c r="O157" s="27"/>
      <c r="P157" s="27"/>
      <c r="Q157" s="27"/>
      <c r="R157" s="28">
        <v>10424</v>
      </c>
      <c r="S157" s="27"/>
      <c r="T157" s="30">
        <f>+R157/$R$171</f>
        <v>0.38247596683055696</v>
      </c>
      <c r="U157" s="27"/>
      <c r="V157" s="29">
        <f>49031279.31+326687.26</f>
        <v>49357966.57</v>
      </c>
      <c r="W157" s="27"/>
      <c r="X157" s="30">
        <f>+V157/$V$171</f>
        <v>0.35581080886253036</v>
      </c>
      <c r="Y157" s="27"/>
      <c r="Z157" s="27" t="s">
        <v>3</v>
      </c>
      <c r="AA157" s="27"/>
      <c r="AB157" s="27"/>
      <c r="AC157" s="27"/>
      <c r="AD157" s="28">
        <v>9546</v>
      </c>
      <c r="AE157" s="27"/>
      <c r="AF157" s="30">
        <v>0.3575682660973143</v>
      </c>
      <c r="AG157" s="27"/>
      <c r="AH157" s="29">
        <v>45777901.4899998</v>
      </c>
      <c r="AI157" s="27"/>
      <c r="AJ157" s="30">
        <v>0.34278983416769615</v>
      </c>
      <c r="AL157" s="107"/>
      <c r="AN157" s="108"/>
      <c r="AQ157" s="107"/>
      <c r="AR157" s="107"/>
    </row>
    <row r="158" spans="1:44" s="11" customFormat="1" ht="18">
      <c r="A158" s="27" t="s">
        <v>4</v>
      </c>
      <c r="B158" s="27"/>
      <c r="C158" s="27"/>
      <c r="D158" s="27"/>
      <c r="E158" s="28">
        <v>1815</v>
      </c>
      <c r="F158" s="27"/>
      <c r="G158" s="30">
        <v>0.037986605274173295</v>
      </c>
      <c r="H158" s="27"/>
      <c r="I158" s="29">
        <v>10364824.47</v>
      </c>
      <c r="J158" s="27"/>
      <c r="K158" s="30">
        <v>0.038131578491242664</v>
      </c>
      <c r="L158" s="30"/>
      <c r="M158" s="27"/>
      <c r="N158" s="27" t="s">
        <v>4</v>
      </c>
      <c r="O158" s="27"/>
      <c r="P158" s="27"/>
      <c r="Q158" s="27"/>
      <c r="R158" s="28">
        <v>485</v>
      </c>
      <c r="S158" s="27"/>
      <c r="T158" s="30">
        <f aca="true" t="shared" si="14" ref="T158:T169">+R158/$R$171</f>
        <v>0.0177955529463565</v>
      </c>
      <c r="U158" s="27"/>
      <c r="V158" s="29">
        <f>1532010.59-27296.35</f>
        <v>1504714.24</v>
      </c>
      <c r="W158" s="27"/>
      <c r="X158" s="30">
        <f aca="true" t="shared" si="15" ref="X158:X169">+V158/$V$171</f>
        <v>0.01084715655945969</v>
      </c>
      <c r="Y158" s="27"/>
      <c r="Z158" s="27" t="s">
        <v>4</v>
      </c>
      <c r="AA158" s="27"/>
      <c r="AB158" s="27"/>
      <c r="AC158" s="27"/>
      <c r="AD158" s="28">
        <v>406</v>
      </c>
      <c r="AE158" s="27"/>
      <c r="AF158" s="30">
        <v>0.015207701239839682</v>
      </c>
      <c r="AG158" s="27"/>
      <c r="AH158" s="29">
        <v>1424074.63</v>
      </c>
      <c r="AI158" s="27"/>
      <c r="AJ158" s="30">
        <v>0.010663623503291468</v>
      </c>
      <c r="AL158" s="107"/>
      <c r="AN158" s="108"/>
      <c r="AQ158" s="107"/>
      <c r="AR158" s="107"/>
    </row>
    <row r="159" spans="1:44" s="11" customFormat="1" ht="18">
      <c r="A159" s="27" t="s">
        <v>5</v>
      </c>
      <c r="B159" s="27"/>
      <c r="C159" s="27"/>
      <c r="D159" s="27"/>
      <c r="E159" s="28">
        <v>1359</v>
      </c>
      <c r="F159" s="27"/>
      <c r="G159" s="30">
        <v>0.02844286312264546</v>
      </c>
      <c r="H159" s="27"/>
      <c r="I159" s="29">
        <v>8233013.92</v>
      </c>
      <c r="J159" s="27"/>
      <c r="K159" s="30">
        <v>0.03028877309197436</v>
      </c>
      <c r="L159" s="30"/>
      <c r="M159" s="27"/>
      <c r="N159" s="27" t="s">
        <v>5</v>
      </c>
      <c r="O159" s="27"/>
      <c r="P159" s="27"/>
      <c r="Q159" s="27"/>
      <c r="R159" s="28">
        <v>486</v>
      </c>
      <c r="S159" s="27"/>
      <c r="T159" s="30">
        <f t="shared" si="14"/>
        <v>0.017832244808101562</v>
      </c>
      <c r="U159" s="27"/>
      <c r="V159" s="29">
        <f>1718622.86-1853.1</f>
        <v>1716769.76</v>
      </c>
      <c r="W159" s="27"/>
      <c r="X159" s="30">
        <f t="shared" si="15"/>
        <v>0.012375818523034673</v>
      </c>
      <c r="Y159" s="27"/>
      <c r="Z159" s="27" t="s">
        <v>5</v>
      </c>
      <c r="AA159" s="27"/>
      <c r="AB159" s="27"/>
      <c r="AC159" s="27"/>
      <c r="AD159" s="28">
        <v>372</v>
      </c>
      <c r="AE159" s="27"/>
      <c r="AF159" s="30">
        <v>0.01393414990448365</v>
      </c>
      <c r="AG159" s="27"/>
      <c r="AH159" s="29">
        <v>1305458.92</v>
      </c>
      <c r="AI159" s="27"/>
      <c r="AJ159" s="30">
        <v>0.009775416350120272</v>
      </c>
      <c r="AL159" s="107"/>
      <c r="AN159" s="108"/>
      <c r="AQ159" s="107"/>
      <c r="AR159" s="107"/>
    </row>
    <row r="160" spans="1:44" s="11" customFormat="1" ht="18">
      <c r="A160" s="27" t="s">
        <v>6</v>
      </c>
      <c r="B160" s="27"/>
      <c r="C160" s="27"/>
      <c r="D160" s="27"/>
      <c r="E160" s="28">
        <v>1117</v>
      </c>
      <c r="F160" s="27"/>
      <c r="G160" s="30">
        <v>0.023377982419422353</v>
      </c>
      <c r="H160" s="27"/>
      <c r="I160" s="29">
        <v>6902905.35</v>
      </c>
      <c r="J160" s="27"/>
      <c r="K160" s="30">
        <v>0.025395382037872935</v>
      </c>
      <c r="L160" s="30"/>
      <c r="M160" s="27"/>
      <c r="N160" s="27" t="s">
        <v>6</v>
      </c>
      <c r="O160" s="27"/>
      <c r="P160" s="27"/>
      <c r="Q160" s="27"/>
      <c r="R160" s="28">
        <v>433</v>
      </c>
      <c r="S160" s="27"/>
      <c r="T160" s="30">
        <f t="shared" si="14"/>
        <v>0.015887576135613122</v>
      </c>
      <c r="U160" s="27"/>
      <c r="V160" s="29">
        <f>1589413.17+44784.37</f>
        <v>1634197.54</v>
      </c>
      <c r="W160" s="27"/>
      <c r="X160" s="30">
        <f t="shared" si="15"/>
        <v>0.01178057341004754</v>
      </c>
      <c r="Y160" s="27"/>
      <c r="Z160" s="27" t="s">
        <v>6</v>
      </c>
      <c r="AA160" s="27"/>
      <c r="AB160" s="27"/>
      <c r="AC160" s="27"/>
      <c r="AD160" s="28">
        <v>352</v>
      </c>
      <c r="AE160" s="27"/>
      <c r="AF160" s="30">
        <v>0.013185002060156572</v>
      </c>
      <c r="AG160" s="27"/>
      <c r="AH160" s="29">
        <v>1286400.46</v>
      </c>
      <c r="AI160" s="27"/>
      <c r="AJ160" s="30">
        <v>0.009632704558398705</v>
      </c>
      <c r="AL160" s="107"/>
      <c r="AN160" s="108"/>
      <c r="AQ160" s="107"/>
      <c r="AR160" s="107"/>
    </row>
    <row r="161" spans="1:40" s="11" customFormat="1" ht="18">
      <c r="A161" s="27" t="s">
        <v>7</v>
      </c>
      <c r="B161" s="27"/>
      <c r="C161" s="27"/>
      <c r="D161" s="27"/>
      <c r="E161" s="28">
        <v>926</v>
      </c>
      <c r="F161" s="27"/>
      <c r="G161" s="30">
        <v>0.019380493930514858</v>
      </c>
      <c r="H161" s="27"/>
      <c r="I161" s="29">
        <v>5501401.58</v>
      </c>
      <c r="J161" s="27"/>
      <c r="K161" s="30">
        <v>0.02023933224984141</v>
      </c>
      <c r="L161" s="30"/>
      <c r="M161" s="27"/>
      <c r="N161" s="27" t="s">
        <v>7</v>
      </c>
      <c r="O161" s="27"/>
      <c r="P161" s="27"/>
      <c r="Q161" s="27"/>
      <c r="R161" s="28">
        <v>461</v>
      </c>
      <c r="S161" s="27"/>
      <c r="T161" s="30">
        <f t="shared" si="14"/>
        <v>0.01691494826447494</v>
      </c>
      <c r="U161" s="27"/>
      <c r="V161" s="29">
        <v>1547916.44</v>
      </c>
      <c r="W161" s="27"/>
      <c r="X161" s="30">
        <f t="shared" si="15"/>
        <v>0.01115859179058576</v>
      </c>
      <c r="Y161" s="27"/>
      <c r="Z161" s="27" t="s">
        <v>7</v>
      </c>
      <c r="AA161" s="27"/>
      <c r="AB161" s="27"/>
      <c r="AC161" s="27"/>
      <c r="AD161" s="28">
        <v>410</v>
      </c>
      <c r="AE161" s="27"/>
      <c r="AF161" s="30">
        <v>0.015357530808705097</v>
      </c>
      <c r="AG161" s="27"/>
      <c r="AH161" s="29">
        <v>1460701.59</v>
      </c>
      <c r="AI161" s="27"/>
      <c r="AJ161" s="30">
        <v>0.01093789010651725</v>
      </c>
      <c r="AL161" s="107"/>
      <c r="AN161" s="108"/>
    </row>
    <row r="162" spans="1:40" s="11" customFormat="1" ht="18">
      <c r="A162" s="27" t="s">
        <v>8</v>
      </c>
      <c r="B162" s="27"/>
      <c r="C162" s="27"/>
      <c r="D162" s="27"/>
      <c r="E162" s="28">
        <v>764</v>
      </c>
      <c r="F162" s="27"/>
      <c r="G162" s="30">
        <v>0.015989953955629972</v>
      </c>
      <c r="H162" s="27"/>
      <c r="I162" s="29">
        <v>4758203.74</v>
      </c>
      <c r="J162" s="27"/>
      <c r="K162" s="30">
        <v>0.01750515118845369</v>
      </c>
      <c r="L162" s="30"/>
      <c r="M162" s="27"/>
      <c r="N162" s="27" t="s">
        <v>8</v>
      </c>
      <c r="O162" s="27"/>
      <c r="P162" s="27"/>
      <c r="Q162" s="27"/>
      <c r="R162" s="28">
        <v>437</v>
      </c>
      <c r="S162" s="27"/>
      <c r="T162" s="30">
        <f t="shared" si="14"/>
        <v>0.01603434358259338</v>
      </c>
      <c r="U162" s="27"/>
      <c r="V162" s="29">
        <v>1506198.09</v>
      </c>
      <c r="W162" s="27"/>
      <c r="X162" s="30">
        <f t="shared" si="15"/>
        <v>0.010857853310266513</v>
      </c>
      <c r="Y162" s="27"/>
      <c r="Z162" s="27" t="s">
        <v>8</v>
      </c>
      <c r="AA162" s="27"/>
      <c r="AB162" s="27"/>
      <c r="AC162" s="27"/>
      <c r="AD162" s="28">
        <v>386</v>
      </c>
      <c r="AE162" s="27"/>
      <c r="AF162" s="30">
        <v>0.014458553395512604</v>
      </c>
      <c r="AG162" s="27"/>
      <c r="AH162" s="29">
        <v>1491089.99</v>
      </c>
      <c r="AI162" s="27"/>
      <c r="AJ162" s="30">
        <v>0.01116544170363224</v>
      </c>
      <c r="AL162" s="107"/>
      <c r="AN162" s="108"/>
    </row>
    <row r="163" spans="1:40" s="11" customFormat="1" ht="18">
      <c r="A163" s="27" t="s">
        <v>9</v>
      </c>
      <c r="B163" s="27"/>
      <c r="C163" s="27"/>
      <c r="D163" s="27"/>
      <c r="E163" s="28">
        <v>660</v>
      </c>
      <c r="F163" s="27"/>
      <c r="G163" s="30">
        <v>0.01381331100879029</v>
      </c>
      <c r="H163" s="27"/>
      <c r="I163" s="29">
        <v>3785951.97</v>
      </c>
      <c r="J163" s="27"/>
      <c r="K163" s="30">
        <v>0.013928294215302789</v>
      </c>
      <c r="L163" s="30"/>
      <c r="M163" s="27"/>
      <c r="N163" s="27" t="s">
        <v>9</v>
      </c>
      <c r="O163" s="27"/>
      <c r="P163" s="27"/>
      <c r="Q163" s="27"/>
      <c r="R163" s="28">
        <v>379</v>
      </c>
      <c r="S163" s="27"/>
      <c r="T163" s="30">
        <f t="shared" si="14"/>
        <v>0.013906215601379614</v>
      </c>
      <c r="U163" s="27"/>
      <c r="V163" s="29">
        <v>1478067.67</v>
      </c>
      <c r="W163" s="27"/>
      <c r="X163" s="30">
        <f t="shared" si="15"/>
        <v>0.010655067251816398</v>
      </c>
      <c r="Y163" s="27"/>
      <c r="Z163" s="27" t="s">
        <v>9</v>
      </c>
      <c r="AA163" s="27"/>
      <c r="AB163" s="27"/>
      <c r="AC163" s="27"/>
      <c r="AD163" s="28">
        <v>358</v>
      </c>
      <c r="AE163" s="27"/>
      <c r="AF163" s="30">
        <v>0.013409746413454696</v>
      </c>
      <c r="AG163" s="27"/>
      <c r="AH163" s="29">
        <v>1129586.79</v>
      </c>
      <c r="AI163" s="27"/>
      <c r="AJ163" s="30">
        <v>0.008458466985576148</v>
      </c>
      <c r="AL163" s="107"/>
      <c r="AN163" s="108"/>
    </row>
    <row r="164" spans="1:40" s="11" customFormat="1" ht="18">
      <c r="A164" s="27" t="s">
        <v>10</v>
      </c>
      <c r="B164" s="27"/>
      <c r="C164" s="27"/>
      <c r="D164" s="27"/>
      <c r="E164" s="28">
        <v>609</v>
      </c>
      <c r="F164" s="27"/>
      <c r="G164" s="30">
        <v>0.012745918794474675</v>
      </c>
      <c r="H164" s="27"/>
      <c r="I164" s="29">
        <v>3598520.59</v>
      </c>
      <c r="J164" s="27"/>
      <c r="K164" s="30">
        <v>0.013238745212434634</v>
      </c>
      <c r="L164" s="30"/>
      <c r="M164" s="27"/>
      <c r="N164" s="27" t="s">
        <v>10</v>
      </c>
      <c r="O164" s="27"/>
      <c r="P164" s="27"/>
      <c r="Q164" s="27"/>
      <c r="R164" s="28">
        <v>453</v>
      </c>
      <c r="S164" s="27"/>
      <c r="T164" s="30">
        <f t="shared" si="14"/>
        <v>0.01662141337051442</v>
      </c>
      <c r="U164" s="27"/>
      <c r="V164" s="29">
        <v>1759276.67</v>
      </c>
      <c r="W164" s="27"/>
      <c r="X164" s="30">
        <f t="shared" si="15"/>
        <v>0.012682241560294466</v>
      </c>
      <c r="Y164" s="27"/>
      <c r="Z164" s="27" t="s">
        <v>10</v>
      </c>
      <c r="AA164" s="27"/>
      <c r="AB164" s="27"/>
      <c r="AC164" s="27"/>
      <c r="AD164" s="28">
        <v>425</v>
      </c>
      <c r="AE164" s="27"/>
      <c r="AF164" s="30">
        <v>0.015919391691950405</v>
      </c>
      <c r="AG164" s="27"/>
      <c r="AH164" s="29">
        <v>1635562.65</v>
      </c>
      <c r="AI164" s="27"/>
      <c r="AJ164" s="30">
        <v>0.012247268470505427</v>
      </c>
      <c r="AL164" s="107"/>
      <c r="AN164" s="108"/>
    </row>
    <row r="165" spans="1:40" s="11" customFormat="1" ht="18">
      <c r="A165" s="27" t="s">
        <v>11</v>
      </c>
      <c r="B165" s="27"/>
      <c r="C165" s="27"/>
      <c r="D165" s="27"/>
      <c r="E165" s="28">
        <v>516</v>
      </c>
      <c r="F165" s="27"/>
      <c r="G165" s="30">
        <v>0.0107994976977815</v>
      </c>
      <c r="H165" s="27"/>
      <c r="I165" s="29">
        <v>3020920.06</v>
      </c>
      <c r="J165" s="27"/>
      <c r="K165" s="30">
        <v>0.011113786896929427</v>
      </c>
      <c r="L165" s="30"/>
      <c r="M165" s="27"/>
      <c r="N165" s="27" t="s">
        <v>11</v>
      </c>
      <c r="O165" s="27"/>
      <c r="P165" s="27"/>
      <c r="Q165" s="27"/>
      <c r="R165" s="28">
        <v>466</v>
      </c>
      <c r="S165" s="27"/>
      <c r="T165" s="30">
        <f t="shared" si="14"/>
        <v>0.017098407573200265</v>
      </c>
      <c r="U165" s="27"/>
      <c r="V165" s="29">
        <f>1766173.11-15634.92</f>
        <v>1750538.1900000002</v>
      </c>
      <c r="W165" s="27"/>
      <c r="X165" s="30">
        <f t="shared" si="15"/>
        <v>0.012619247765106015</v>
      </c>
      <c r="Y165" s="27"/>
      <c r="Z165" s="27" t="s">
        <v>11</v>
      </c>
      <c r="AA165" s="27"/>
      <c r="AB165" s="27"/>
      <c r="AC165" s="27"/>
      <c r="AD165" s="28">
        <v>388</v>
      </c>
      <c r="AE165" s="27"/>
      <c r="AF165" s="30">
        <v>0.014533468179945313</v>
      </c>
      <c r="AG165" s="27"/>
      <c r="AH165" s="29">
        <v>1385101.68</v>
      </c>
      <c r="AI165" s="27"/>
      <c r="AJ165" s="30">
        <v>0.010371789875434061</v>
      </c>
      <c r="AL165" s="107"/>
      <c r="AN165" s="108"/>
    </row>
    <row r="166" spans="1:40" s="11" customFormat="1" ht="18">
      <c r="A166" s="27" t="s">
        <v>12</v>
      </c>
      <c r="B166" s="27"/>
      <c r="C166" s="27"/>
      <c r="D166" s="27"/>
      <c r="E166" s="28">
        <v>445</v>
      </c>
      <c r="F166" s="27"/>
      <c r="G166" s="30">
        <v>0.009313520301381332</v>
      </c>
      <c r="H166" s="27"/>
      <c r="I166" s="29">
        <v>2699187.47</v>
      </c>
      <c r="J166" s="27"/>
      <c r="K166" s="30">
        <v>0.009930151655996516</v>
      </c>
      <c r="L166" s="30"/>
      <c r="M166" s="27"/>
      <c r="N166" s="27" t="s">
        <v>12</v>
      </c>
      <c r="O166" s="27"/>
      <c r="P166" s="27"/>
      <c r="Q166" s="27"/>
      <c r="R166" s="28">
        <v>503</v>
      </c>
      <c r="S166" s="27"/>
      <c r="T166" s="30">
        <f t="shared" si="14"/>
        <v>0.018456006457767668</v>
      </c>
      <c r="U166" s="27"/>
      <c r="V166" s="29">
        <v>1917098.46</v>
      </c>
      <c r="W166" s="27"/>
      <c r="X166" s="30">
        <f t="shared" si="15"/>
        <v>0.013819944400552142</v>
      </c>
      <c r="Y166" s="27"/>
      <c r="Z166" s="27" t="s">
        <v>12</v>
      </c>
      <c r="AA166" s="27"/>
      <c r="AB166" s="27"/>
      <c r="AC166" s="27"/>
      <c r="AD166" s="28">
        <v>381</v>
      </c>
      <c r="AE166" s="27"/>
      <c r="AF166" s="30">
        <v>0.014271266434430835</v>
      </c>
      <c r="AG166" s="27"/>
      <c r="AH166" s="29">
        <v>1612939.08</v>
      </c>
      <c r="AI166" s="27"/>
      <c r="AJ166" s="30">
        <v>0.012077860752891379</v>
      </c>
      <c r="AL166" s="107"/>
      <c r="AN166" s="108"/>
    </row>
    <row r="167" spans="1:40" s="11" customFormat="1" ht="18">
      <c r="A167" s="27" t="s">
        <v>13</v>
      </c>
      <c r="B167" s="27"/>
      <c r="C167" s="27"/>
      <c r="D167" s="27"/>
      <c r="E167" s="28">
        <v>395</v>
      </c>
      <c r="F167" s="27"/>
      <c r="G167" s="30">
        <v>0.008267057346169946</v>
      </c>
      <c r="H167" s="27"/>
      <c r="I167" s="29">
        <v>2483309.42</v>
      </c>
      <c r="J167" s="27"/>
      <c r="K167" s="30">
        <v>0.009135949030381629</v>
      </c>
      <c r="L167" s="30"/>
      <c r="M167" s="27"/>
      <c r="N167" s="27" t="s">
        <v>13</v>
      </c>
      <c r="O167" s="27"/>
      <c r="P167" s="27"/>
      <c r="Q167" s="27"/>
      <c r="R167" s="28">
        <v>502</v>
      </c>
      <c r="S167" s="27"/>
      <c r="T167" s="30">
        <f t="shared" si="14"/>
        <v>0.018419314596022602</v>
      </c>
      <c r="U167" s="27"/>
      <c r="V167" s="29">
        <v>1894920.52</v>
      </c>
      <c r="W167" s="27"/>
      <c r="X167" s="30">
        <f t="shared" si="15"/>
        <v>0.013660068471321684</v>
      </c>
      <c r="Y167" s="27"/>
      <c r="Z167" s="27" t="s">
        <v>13</v>
      </c>
      <c r="AA167" s="27"/>
      <c r="AB167" s="27"/>
      <c r="AC167" s="27"/>
      <c r="AD167" s="28">
        <v>457</v>
      </c>
      <c r="AE167" s="27"/>
      <c r="AF167" s="30">
        <v>0.017118028242873732</v>
      </c>
      <c r="AG167" s="27"/>
      <c r="AH167" s="29">
        <v>1584986.13</v>
      </c>
      <c r="AI167" s="27"/>
      <c r="AJ167" s="30">
        <v>0.011868546066478955</v>
      </c>
      <c r="AL167" s="107"/>
      <c r="AN167" s="108"/>
    </row>
    <row r="168" spans="1:40" s="11" customFormat="1" ht="18">
      <c r="A168" s="27" t="s">
        <v>14</v>
      </c>
      <c r="B168" s="27"/>
      <c r="C168" s="27"/>
      <c r="D168" s="27"/>
      <c r="E168" s="28">
        <v>350</v>
      </c>
      <c r="F168" s="27"/>
      <c r="G168" s="30">
        <v>0.007325240686479699</v>
      </c>
      <c r="H168" s="27"/>
      <c r="I168" s="29">
        <v>1984118.15</v>
      </c>
      <c r="J168" s="27"/>
      <c r="K168" s="30">
        <v>0.007299453762252104</v>
      </c>
      <c r="L168" s="30"/>
      <c r="M168" s="27"/>
      <c r="N168" s="27" t="s">
        <v>14</v>
      </c>
      <c r="O168" s="27"/>
      <c r="P168" s="27"/>
      <c r="Q168" s="27"/>
      <c r="R168" s="28">
        <v>495</v>
      </c>
      <c r="S168" s="27"/>
      <c r="T168" s="30">
        <f t="shared" si="14"/>
        <v>0.018162471563807146</v>
      </c>
      <c r="U168" s="27"/>
      <c r="V168" s="29">
        <v>1735180.88</v>
      </c>
      <c r="W168" s="27"/>
      <c r="X168" s="30">
        <f t="shared" si="15"/>
        <v>0.012508540268975615</v>
      </c>
      <c r="Y168" s="27"/>
      <c r="Z168" s="27" t="s">
        <v>14</v>
      </c>
      <c r="AA168" s="27"/>
      <c r="AB168" s="27"/>
      <c r="AC168" s="27"/>
      <c r="AD168" s="28">
        <v>437</v>
      </c>
      <c r="AE168" s="27"/>
      <c r="AF168" s="30">
        <v>0.016368880398546653</v>
      </c>
      <c r="AG168" s="27"/>
      <c r="AH168" s="29">
        <v>1594597.97</v>
      </c>
      <c r="AI168" s="27"/>
      <c r="AJ168" s="30">
        <v>0.011940520554876306</v>
      </c>
      <c r="AL168" s="107"/>
      <c r="AN168" s="108"/>
    </row>
    <row r="169" spans="1:40" s="11" customFormat="1" ht="18">
      <c r="A169" s="27" t="s">
        <v>15</v>
      </c>
      <c r="B169" s="27"/>
      <c r="C169" s="27"/>
      <c r="D169" s="27"/>
      <c r="E169" s="28">
        <v>3448</v>
      </c>
      <c r="F169" s="27"/>
      <c r="G169" s="30">
        <v>0.07216408539137714</v>
      </c>
      <c r="H169" s="27"/>
      <c r="I169" s="29">
        <v>23662487.76</v>
      </c>
      <c r="J169" s="27"/>
      <c r="K169" s="30">
        <v>0.087052898187528</v>
      </c>
      <c r="L169" s="30"/>
      <c r="M169" s="27"/>
      <c r="N169" s="27" t="s">
        <v>15</v>
      </c>
      <c r="O169" s="27"/>
      <c r="P169" s="27"/>
      <c r="Q169" s="27"/>
      <c r="R169" s="28">
        <f>11921-191</f>
        <v>11730</v>
      </c>
      <c r="S169" s="27"/>
      <c r="T169" s="30">
        <f t="shared" si="14"/>
        <v>0.4303955382696118</v>
      </c>
      <c r="U169" s="27"/>
      <c r="V169" s="29">
        <f>70579160.11+664376.24-326687.26</f>
        <v>70916849.08999999</v>
      </c>
      <c r="W169" s="27"/>
      <c r="X169" s="30">
        <f t="shared" si="15"/>
        <v>0.511224087826009</v>
      </c>
      <c r="Y169" s="27"/>
      <c r="Z169" s="27" t="s">
        <v>15</v>
      </c>
      <c r="AA169" s="27"/>
      <c r="AB169" s="27"/>
      <c r="AC169" s="27"/>
      <c r="AD169" s="28">
        <v>12779</v>
      </c>
      <c r="AE169" s="27"/>
      <c r="AF169" s="30">
        <v>0.47866801513278645</v>
      </c>
      <c r="AG169" s="27"/>
      <c r="AH169" s="29">
        <v>71856695.14000025</v>
      </c>
      <c r="AI169" s="27"/>
      <c r="AJ169" s="30">
        <v>0.5380706369045816</v>
      </c>
      <c r="AL169" s="107"/>
      <c r="AN169" s="108"/>
    </row>
    <row r="170" spans="1:36" s="11" customFormat="1" ht="18">
      <c r="A170" s="27"/>
      <c r="B170" s="27"/>
      <c r="C170" s="27"/>
      <c r="D170" s="27"/>
      <c r="E170" s="28"/>
      <c r="F170" s="27"/>
      <c r="G170" s="27"/>
      <c r="H170" s="27"/>
      <c r="I170" s="29"/>
      <c r="J170" s="27"/>
      <c r="K170" s="27"/>
      <c r="L170" s="27"/>
      <c r="M170" s="27"/>
      <c r="N170" s="27"/>
      <c r="O170" s="27"/>
      <c r="P170" s="27"/>
      <c r="Q170" s="27"/>
      <c r="R170" s="28"/>
      <c r="S170" s="27"/>
      <c r="T170" s="27"/>
      <c r="U170" s="27"/>
      <c r="V170" s="29"/>
      <c r="W170" s="27"/>
      <c r="X170" s="30"/>
      <c r="Y170" s="27"/>
      <c r="Z170" s="27"/>
      <c r="AA170" s="27"/>
      <c r="AB170" s="27"/>
      <c r="AC170" s="27"/>
      <c r="AD170" s="28"/>
      <c r="AE170" s="27"/>
      <c r="AF170" s="27"/>
      <c r="AG170" s="27"/>
      <c r="AH170" s="29"/>
      <c r="AI170" s="27"/>
      <c r="AJ170" s="30"/>
    </row>
    <row r="171" spans="1:40" s="12" customFormat="1" ht="18.75" thickBot="1">
      <c r="A171" s="26"/>
      <c r="B171" s="26"/>
      <c r="C171" s="26"/>
      <c r="D171" s="26"/>
      <c r="E171" s="70">
        <v>47780</v>
      </c>
      <c r="F171" s="26"/>
      <c r="G171" s="26"/>
      <c r="H171" s="26"/>
      <c r="I171" s="71">
        <v>271817346.15</v>
      </c>
      <c r="J171" s="26"/>
      <c r="K171" s="26"/>
      <c r="L171" s="26"/>
      <c r="M171" s="26"/>
      <c r="N171" s="97"/>
      <c r="O171" s="97"/>
      <c r="P171" s="97"/>
      <c r="Q171" s="97"/>
      <c r="R171" s="98">
        <f>SUM(R157:R170)</f>
        <v>27254</v>
      </c>
      <c r="S171" s="97"/>
      <c r="T171" s="97"/>
      <c r="U171" s="97"/>
      <c r="V171" s="100">
        <f>SUM(V157:V170)</f>
        <v>138719694.12</v>
      </c>
      <c r="W171" s="97"/>
      <c r="X171" s="99"/>
      <c r="Y171" s="26"/>
      <c r="Z171" s="97"/>
      <c r="AA171" s="97"/>
      <c r="AB171" s="97"/>
      <c r="AC171" s="97"/>
      <c r="AD171" s="98">
        <v>26697</v>
      </c>
      <c r="AE171" s="97"/>
      <c r="AF171" s="97"/>
      <c r="AG171" s="97"/>
      <c r="AH171" s="100">
        <v>133545096.52000007</v>
      </c>
      <c r="AI171" s="97"/>
      <c r="AJ171" s="99"/>
      <c r="AL171" s="76"/>
      <c r="AN171" s="76"/>
    </row>
    <row r="172" spans="1:36" s="11" customFormat="1" ht="18.75" thickTop="1">
      <c r="A172" s="27"/>
      <c r="B172" s="27"/>
      <c r="C172" s="27"/>
      <c r="D172" s="27"/>
      <c r="E172" s="28"/>
      <c r="F172" s="27"/>
      <c r="G172" s="27"/>
      <c r="H172" s="27"/>
      <c r="I172" s="29"/>
      <c r="J172" s="27"/>
      <c r="K172" s="27"/>
      <c r="L172" s="27"/>
      <c r="M172" s="27"/>
      <c r="N172" s="27"/>
      <c r="O172" s="27"/>
      <c r="P172" s="27"/>
      <c r="Q172" s="27"/>
      <c r="R172" s="28"/>
      <c r="S172" s="27"/>
      <c r="T172" s="27"/>
      <c r="U172" s="27"/>
      <c r="V172" s="29"/>
      <c r="W172" s="27"/>
      <c r="X172" s="30"/>
      <c r="Y172" s="27"/>
      <c r="Z172" s="27"/>
      <c r="AA172" s="27"/>
      <c r="AB172" s="27"/>
      <c r="AC172" s="27"/>
      <c r="AD172" s="28"/>
      <c r="AE172" s="27"/>
      <c r="AF172" s="27"/>
      <c r="AG172" s="27"/>
      <c r="AH172" s="29"/>
      <c r="AI172" s="27"/>
      <c r="AJ172" s="30"/>
    </row>
    <row r="173" spans="1:36" s="11" customFormat="1" ht="18">
      <c r="A173" s="27"/>
      <c r="B173" s="27"/>
      <c r="C173" s="27"/>
      <c r="D173" s="27"/>
      <c r="E173" s="28"/>
      <c r="F173" s="27"/>
      <c r="G173" s="27"/>
      <c r="H173" s="27"/>
      <c r="I173" s="29"/>
      <c r="J173" s="27"/>
      <c r="K173" s="27"/>
      <c r="L173" s="27"/>
      <c r="M173" s="27"/>
      <c r="N173" s="27"/>
      <c r="O173" s="27"/>
      <c r="P173" s="27"/>
      <c r="Q173" s="27"/>
      <c r="R173" s="28"/>
      <c r="S173" s="27"/>
      <c r="T173" s="27"/>
      <c r="U173" s="27"/>
      <c r="V173" s="29"/>
      <c r="W173" s="27"/>
      <c r="X173" s="30"/>
      <c r="Y173" s="27"/>
      <c r="Z173" s="27"/>
      <c r="AA173" s="27"/>
      <c r="AB173" s="27"/>
      <c r="AC173" s="27"/>
      <c r="AD173" s="28"/>
      <c r="AE173" s="27"/>
      <c r="AF173" s="27"/>
      <c r="AG173" s="27"/>
      <c r="AH173" s="29"/>
      <c r="AI173" s="27"/>
      <c r="AJ173" s="30"/>
    </row>
    <row r="174" spans="1:36" s="13" customFormat="1" ht="18.75">
      <c r="A174" s="36" t="s">
        <v>91</v>
      </c>
      <c r="B174" s="37"/>
      <c r="C174" s="37"/>
      <c r="D174" s="37"/>
      <c r="E174" s="38"/>
      <c r="F174" s="37"/>
      <c r="G174" s="37"/>
      <c r="H174" s="37"/>
      <c r="I174" s="39"/>
      <c r="J174" s="37"/>
      <c r="K174" s="37"/>
      <c r="L174" s="37"/>
      <c r="M174" s="37"/>
      <c r="N174" s="36" t="s">
        <v>91</v>
      </c>
      <c r="O174" s="27"/>
      <c r="P174" s="27"/>
      <c r="Q174" s="27"/>
      <c r="R174" s="28"/>
      <c r="S174" s="27"/>
      <c r="T174" s="27"/>
      <c r="U174" s="27"/>
      <c r="V174" s="29"/>
      <c r="W174" s="27"/>
      <c r="X174" s="30"/>
      <c r="Y174" s="37"/>
      <c r="Z174" s="36" t="s">
        <v>91</v>
      </c>
      <c r="AA174" s="27"/>
      <c r="AB174" s="27"/>
      <c r="AC174" s="27"/>
      <c r="AD174" s="28"/>
      <c r="AE174" s="27"/>
      <c r="AF174" s="27"/>
      <c r="AG174" s="27"/>
      <c r="AH174" s="29"/>
      <c r="AI174" s="27"/>
      <c r="AJ174" s="30"/>
    </row>
    <row r="175" spans="1:36" s="11" customFormat="1" ht="18">
      <c r="A175" s="27"/>
      <c r="B175" s="27"/>
      <c r="C175" s="27"/>
      <c r="D175" s="27"/>
      <c r="E175" s="28"/>
      <c r="F175" s="27"/>
      <c r="G175" s="27"/>
      <c r="H175" s="27"/>
      <c r="I175" s="29"/>
      <c r="J175" s="27"/>
      <c r="K175" s="27"/>
      <c r="L175" s="27"/>
      <c r="M175" s="27"/>
      <c r="N175" s="27"/>
      <c r="O175" s="27"/>
      <c r="P175" s="27"/>
      <c r="Q175" s="27"/>
      <c r="R175" s="28"/>
      <c r="S175" s="27"/>
      <c r="T175" s="27"/>
      <c r="U175" s="27"/>
      <c r="V175" s="29"/>
      <c r="W175" s="27"/>
      <c r="X175" s="30"/>
      <c r="Y175" s="27"/>
      <c r="Z175" s="27"/>
      <c r="AA175" s="27"/>
      <c r="AB175" s="27"/>
      <c r="AC175" s="27"/>
      <c r="AD175" s="28"/>
      <c r="AE175" s="27"/>
      <c r="AF175" s="27"/>
      <c r="AG175" s="27"/>
      <c r="AH175" s="29"/>
      <c r="AI175" s="27"/>
      <c r="AJ175" s="30"/>
    </row>
    <row r="176" spans="1:36" s="14" customFormat="1" ht="54">
      <c r="A176" s="40"/>
      <c r="B176" s="40"/>
      <c r="C176" s="40"/>
      <c r="D176" s="40"/>
      <c r="E176" s="41" t="s">
        <v>100</v>
      </c>
      <c r="F176" s="40"/>
      <c r="G176" s="40" t="s">
        <v>101</v>
      </c>
      <c r="H176" s="40"/>
      <c r="I176" s="42" t="s">
        <v>102</v>
      </c>
      <c r="J176" s="40"/>
      <c r="K176" s="40" t="s">
        <v>103</v>
      </c>
      <c r="L176" s="40"/>
      <c r="M176" s="43"/>
      <c r="N176" s="102"/>
      <c r="O176" s="102"/>
      <c r="P176" s="102"/>
      <c r="Q176" s="102"/>
      <c r="R176" s="41" t="s">
        <v>100</v>
      </c>
      <c r="S176" s="40"/>
      <c r="T176" s="40" t="s">
        <v>101</v>
      </c>
      <c r="U176" s="40"/>
      <c r="V176" s="42" t="s">
        <v>102</v>
      </c>
      <c r="W176" s="40"/>
      <c r="X176" s="40" t="s">
        <v>103</v>
      </c>
      <c r="Y176" s="43"/>
      <c r="Z176" s="102"/>
      <c r="AA176" s="102"/>
      <c r="AB176" s="102"/>
      <c r="AC176" s="102"/>
      <c r="AD176" s="41" t="s">
        <v>100</v>
      </c>
      <c r="AE176" s="40"/>
      <c r="AF176" s="40" t="s">
        <v>101</v>
      </c>
      <c r="AG176" s="40"/>
      <c r="AH176" s="42" t="s">
        <v>102</v>
      </c>
      <c r="AI176" s="40"/>
      <c r="AJ176" s="40" t="s">
        <v>103</v>
      </c>
    </row>
    <row r="177" spans="1:36" s="11" customFormat="1" ht="18">
      <c r="A177" s="27"/>
      <c r="B177" s="27"/>
      <c r="C177" s="27"/>
      <c r="D177" s="27"/>
      <c r="E177" s="28"/>
      <c r="F177" s="27"/>
      <c r="G177" s="27"/>
      <c r="H177" s="27"/>
      <c r="I177" s="29"/>
      <c r="J177" s="27"/>
      <c r="K177" s="27"/>
      <c r="L177" s="27"/>
      <c r="M177" s="27"/>
      <c r="N177" s="27"/>
      <c r="O177" s="27"/>
      <c r="P177" s="27"/>
      <c r="Q177" s="27"/>
      <c r="R177" s="28"/>
      <c r="S177" s="27"/>
      <c r="T177" s="27"/>
      <c r="U177" s="27"/>
      <c r="V177" s="29"/>
      <c r="W177" s="27"/>
      <c r="X177" s="30"/>
      <c r="Y177" s="27"/>
      <c r="Z177" s="27"/>
      <c r="AA177" s="27"/>
      <c r="AB177" s="27"/>
      <c r="AC177" s="27"/>
      <c r="AD177" s="28"/>
      <c r="AE177" s="27"/>
      <c r="AF177" s="27"/>
      <c r="AG177" s="27"/>
      <c r="AH177" s="29"/>
      <c r="AI177" s="27"/>
      <c r="AJ177" s="30"/>
    </row>
    <row r="178" spans="1:38" s="11" customFormat="1" ht="18">
      <c r="A178" s="27" t="s">
        <v>3</v>
      </c>
      <c r="B178" s="27"/>
      <c r="C178" s="27"/>
      <c r="D178" s="27"/>
      <c r="E178" s="29">
        <v>24425734.55</v>
      </c>
      <c r="F178" s="27"/>
      <c r="G178" s="29">
        <v>109924503.01</v>
      </c>
      <c r="H178" s="29"/>
      <c r="I178" s="29">
        <v>29167771.16</v>
      </c>
      <c r="J178" s="29"/>
      <c r="K178" s="29">
        <v>31304492.95</v>
      </c>
      <c r="L178" s="29"/>
      <c r="M178" s="29"/>
      <c r="N178" s="27" t="s">
        <v>3</v>
      </c>
      <c r="O178" s="27"/>
      <c r="P178" s="27"/>
      <c r="Q178" s="27"/>
      <c r="R178" s="29">
        <v>13568482.68</v>
      </c>
      <c r="S178" s="27"/>
      <c r="T178" s="29">
        <f>+V157-R178-V178-X178</f>
        <v>22232650.41</v>
      </c>
      <c r="U178" s="29"/>
      <c r="V178" s="29">
        <v>10626841.09</v>
      </c>
      <c r="W178" s="29"/>
      <c r="X178" s="29">
        <v>2929992.39</v>
      </c>
      <c r="Y178" s="27"/>
      <c r="Z178" s="27" t="s">
        <v>3</v>
      </c>
      <c r="AA178" s="27"/>
      <c r="AB178" s="27"/>
      <c r="AC178" s="27"/>
      <c r="AD178" s="29">
        <v>13289663.310000012</v>
      </c>
      <c r="AE178" s="27"/>
      <c r="AF178" s="29">
        <v>20179376.36000003</v>
      </c>
      <c r="AG178" s="29"/>
      <c r="AH178" s="29">
        <v>9852433.689999973</v>
      </c>
      <c r="AI178" s="29"/>
      <c r="AJ178" s="29">
        <v>2456428.13</v>
      </c>
      <c r="AL178" s="107"/>
    </row>
    <row r="179" spans="1:38" s="11" customFormat="1" ht="18">
      <c r="A179" s="27" t="s">
        <v>4</v>
      </c>
      <c r="B179" s="27"/>
      <c r="C179" s="27"/>
      <c r="D179" s="27"/>
      <c r="E179" s="29">
        <v>2810615.07</v>
      </c>
      <c r="F179" s="27"/>
      <c r="G179" s="29">
        <v>6062482.18</v>
      </c>
      <c r="H179" s="29"/>
      <c r="I179" s="29">
        <v>380295.88</v>
      </c>
      <c r="J179" s="29"/>
      <c r="K179" s="29">
        <v>1111431.34</v>
      </c>
      <c r="L179" s="29"/>
      <c r="M179" s="29"/>
      <c r="N179" s="27" t="s">
        <v>4</v>
      </c>
      <c r="O179" s="27"/>
      <c r="P179" s="27"/>
      <c r="Q179" s="27"/>
      <c r="R179" s="29">
        <v>298888.95</v>
      </c>
      <c r="S179" s="27"/>
      <c r="T179" s="29">
        <f aca="true" t="shared" si="16" ref="T179:T190">+V158-R179-V179-X179</f>
        <v>916489.12</v>
      </c>
      <c r="U179" s="29"/>
      <c r="V179" s="29">
        <v>131857.07</v>
      </c>
      <c r="W179" s="29"/>
      <c r="X179" s="29">
        <v>157479.1</v>
      </c>
      <c r="Y179" s="27"/>
      <c r="Z179" s="27" t="s">
        <v>4</v>
      </c>
      <c r="AA179" s="27"/>
      <c r="AB179" s="27"/>
      <c r="AC179" s="27"/>
      <c r="AD179" s="29">
        <v>290964.16</v>
      </c>
      <c r="AE179" s="27"/>
      <c r="AF179" s="29">
        <v>896197.92</v>
      </c>
      <c r="AG179" s="29"/>
      <c r="AH179" s="29">
        <v>139516.61</v>
      </c>
      <c r="AI179" s="29"/>
      <c r="AJ179" s="29">
        <v>97395.94</v>
      </c>
      <c r="AL179" s="107"/>
    </row>
    <row r="180" spans="1:38" s="11" customFormat="1" ht="18">
      <c r="A180" s="27" t="s">
        <v>5</v>
      </c>
      <c r="B180" s="27"/>
      <c r="C180" s="27"/>
      <c r="D180" s="27"/>
      <c r="E180" s="29">
        <v>2517426.8</v>
      </c>
      <c r="F180" s="27"/>
      <c r="G180" s="29">
        <v>4827044.74</v>
      </c>
      <c r="H180" s="29"/>
      <c r="I180" s="29">
        <v>198573.15</v>
      </c>
      <c r="J180" s="29"/>
      <c r="K180" s="29">
        <v>689969.23</v>
      </c>
      <c r="L180" s="29"/>
      <c r="M180" s="29"/>
      <c r="N180" s="27" t="s">
        <v>5</v>
      </c>
      <c r="O180" s="27"/>
      <c r="P180" s="27"/>
      <c r="Q180" s="27"/>
      <c r="R180" s="29">
        <v>404747.43</v>
      </c>
      <c r="S180" s="27"/>
      <c r="T180" s="29">
        <f t="shared" si="16"/>
        <v>1056174.85</v>
      </c>
      <c r="U180" s="29"/>
      <c r="V180" s="29">
        <v>118897</v>
      </c>
      <c r="W180" s="29"/>
      <c r="X180" s="29">
        <v>136950.48</v>
      </c>
      <c r="Y180" s="27"/>
      <c r="Z180" s="27" t="s">
        <v>5</v>
      </c>
      <c r="AA180" s="27"/>
      <c r="AB180" s="27"/>
      <c r="AC180" s="27"/>
      <c r="AD180" s="29">
        <v>403250.24</v>
      </c>
      <c r="AE180" s="27"/>
      <c r="AF180" s="29">
        <v>719651.28</v>
      </c>
      <c r="AG180" s="29"/>
      <c r="AH180" s="29">
        <v>89318.96</v>
      </c>
      <c r="AI180" s="29"/>
      <c r="AJ180" s="29">
        <v>93238.44</v>
      </c>
      <c r="AL180" s="107"/>
    </row>
    <row r="181" spans="1:38" s="11" customFormat="1" ht="18">
      <c r="A181" s="27" t="s">
        <v>6</v>
      </c>
      <c r="B181" s="27"/>
      <c r="C181" s="27"/>
      <c r="D181" s="27"/>
      <c r="E181" s="29">
        <v>2203758.98</v>
      </c>
      <c r="F181" s="27"/>
      <c r="G181" s="29">
        <v>4016264.7</v>
      </c>
      <c r="H181" s="29"/>
      <c r="I181" s="29">
        <v>180758.03</v>
      </c>
      <c r="J181" s="29"/>
      <c r="K181" s="29">
        <v>502123.64</v>
      </c>
      <c r="L181" s="29"/>
      <c r="M181" s="29"/>
      <c r="N181" s="27" t="s">
        <v>6</v>
      </c>
      <c r="O181" s="27"/>
      <c r="P181" s="27"/>
      <c r="Q181" s="27"/>
      <c r="R181" s="29">
        <v>364951.15</v>
      </c>
      <c r="S181" s="27"/>
      <c r="T181" s="29">
        <f t="shared" si="16"/>
        <v>1090301.23</v>
      </c>
      <c r="U181" s="29"/>
      <c r="V181" s="29">
        <v>87058.85</v>
      </c>
      <c r="W181" s="29"/>
      <c r="X181" s="29">
        <v>91886.31</v>
      </c>
      <c r="Y181" s="27"/>
      <c r="Z181" s="27" t="s">
        <v>6</v>
      </c>
      <c r="AA181" s="27"/>
      <c r="AB181" s="27"/>
      <c r="AC181" s="27"/>
      <c r="AD181" s="29">
        <v>310115.05</v>
      </c>
      <c r="AE181" s="27"/>
      <c r="AF181" s="29">
        <v>816916.42</v>
      </c>
      <c r="AG181" s="29"/>
      <c r="AH181" s="29">
        <v>67630.92</v>
      </c>
      <c r="AI181" s="29"/>
      <c r="AJ181" s="29">
        <v>91738.07</v>
      </c>
      <c r="AL181" s="107"/>
    </row>
    <row r="182" spans="1:38" s="11" customFormat="1" ht="18">
      <c r="A182" s="27" t="s">
        <v>7</v>
      </c>
      <c r="B182" s="27"/>
      <c r="C182" s="27"/>
      <c r="D182" s="27"/>
      <c r="E182" s="29">
        <v>2019327.29</v>
      </c>
      <c r="F182" s="27"/>
      <c r="G182" s="29">
        <v>2838796.24</v>
      </c>
      <c r="H182" s="29"/>
      <c r="I182" s="29">
        <v>110262.39</v>
      </c>
      <c r="J182" s="29"/>
      <c r="K182" s="29">
        <v>533015.66</v>
      </c>
      <c r="L182" s="29"/>
      <c r="M182" s="29"/>
      <c r="N182" s="27" t="s">
        <v>7</v>
      </c>
      <c r="O182" s="27"/>
      <c r="P182" s="27"/>
      <c r="Q182" s="27"/>
      <c r="R182" s="29">
        <v>369249.08</v>
      </c>
      <c r="S182" s="27"/>
      <c r="T182" s="29">
        <f t="shared" si="16"/>
        <v>1005932.7399999998</v>
      </c>
      <c r="U182" s="29"/>
      <c r="V182" s="29">
        <v>53050.6</v>
      </c>
      <c r="W182" s="29"/>
      <c r="X182" s="29">
        <v>119684.02</v>
      </c>
      <c r="Y182" s="27"/>
      <c r="Z182" s="27" t="s">
        <v>7</v>
      </c>
      <c r="AA182" s="27"/>
      <c r="AB182" s="27"/>
      <c r="AC182" s="27"/>
      <c r="AD182" s="29">
        <v>457699.85</v>
      </c>
      <c r="AE182" s="27"/>
      <c r="AF182" s="29">
        <v>850157.08</v>
      </c>
      <c r="AG182" s="29"/>
      <c r="AH182" s="29">
        <v>45812.14</v>
      </c>
      <c r="AI182" s="29"/>
      <c r="AJ182" s="29">
        <v>107032.52</v>
      </c>
      <c r="AL182" s="107"/>
    </row>
    <row r="183" spans="1:38" s="11" customFormat="1" ht="18">
      <c r="A183" s="27" t="s">
        <v>8</v>
      </c>
      <c r="B183" s="27"/>
      <c r="C183" s="27"/>
      <c r="D183" s="27"/>
      <c r="E183" s="29">
        <v>1976820.91</v>
      </c>
      <c r="F183" s="27"/>
      <c r="G183" s="29">
        <v>2382435.15</v>
      </c>
      <c r="H183" s="29"/>
      <c r="I183" s="29">
        <v>122660.15</v>
      </c>
      <c r="J183" s="29"/>
      <c r="K183" s="29">
        <v>276287.53</v>
      </c>
      <c r="L183" s="29"/>
      <c r="M183" s="29"/>
      <c r="N183" s="27" t="s">
        <v>8</v>
      </c>
      <c r="O183" s="27"/>
      <c r="P183" s="27"/>
      <c r="Q183" s="27"/>
      <c r="R183" s="29">
        <v>358238.92</v>
      </c>
      <c r="S183" s="27"/>
      <c r="T183" s="29">
        <f t="shared" si="16"/>
        <v>970104.0700000001</v>
      </c>
      <c r="U183" s="29"/>
      <c r="V183" s="29">
        <v>87176.3</v>
      </c>
      <c r="W183" s="29"/>
      <c r="X183" s="29">
        <v>90678.8</v>
      </c>
      <c r="Y183" s="27"/>
      <c r="Z183" s="27" t="s">
        <v>8</v>
      </c>
      <c r="AA183" s="27"/>
      <c r="AB183" s="27"/>
      <c r="AC183" s="27"/>
      <c r="AD183" s="29">
        <v>328475.11</v>
      </c>
      <c r="AE183" s="27"/>
      <c r="AF183" s="29">
        <v>914644.9399999992</v>
      </c>
      <c r="AG183" s="29"/>
      <c r="AH183" s="29">
        <v>99362.41</v>
      </c>
      <c r="AI183" s="29"/>
      <c r="AJ183" s="29">
        <v>148607.53</v>
      </c>
      <c r="AL183" s="107"/>
    </row>
    <row r="184" spans="1:38" s="11" customFormat="1" ht="18">
      <c r="A184" s="27" t="s">
        <v>9</v>
      </c>
      <c r="B184" s="27"/>
      <c r="C184" s="27"/>
      <c r="D184" s="27"/>
      <c r="E184" s="29">
        <v>1545657.16</v>
      </c>
      <c r="F184" s="27"/>
      <c r="G184" s="29">
        <v>1878080.99</v>
      </c>
      <c r="H184" s="29"/>
      <c r="I184" s="29">
        <v>81563.21</v>
      </c>
      <c r="J184" s="29"/>
      <c r="K184" s="29">
        <v>280650.61</v>
      </c>
      <c r="L184" s="29"/>
      <c r="M184" s="29"/>
      <c r="N184" s="27" t="s">
        <v>9</v>
      </c>
      <c r="O184" s="27"/>
      <c r="P184" s="27"/>
      <c r="Q184" s="27"/>
      <c r="R184" s="29">
        <v>319390.75</v>
      </c>
      <c r="S184" s="27"/>
      <c r="T184" s="29">
        <f t="shared" si="16"/>
        <v>1042765.65</v>
      </c>
      <c r="U184" s="29"/>
      <c r="V184" s="29">
        <v>21940.93</v>
      </c>
      <c r="W184" s="29"/>
      <c r="X184" s="29">
        <v>93970.34</v>
      </c>
      <c r="Y184" s="27"/>
      <c r="Z184" s="27" t="s">
        <v>9</v>
      </c>
      <c r="AA184" s="27"/>
      <c r="AB184" s="27"/>
      <c r="AC184" s="27"/>
      <c r="AD184" s="29">
        <v>311097.52</v>
      </c>
      <c r="AE184" s="27"/>
      <c r="AF184" s="29">
        <v>698475.34</v>
      </c>
      <c r="AG184" s="29"/>
      <c r="AH184" s="29">
        <v>48079.66</v>
      </c>
      <c r="AI184" s="29"/>
      <c r="AJ184" s="29">
        <v>71934.27</v>
      </c>
      <c r="AL184" s="107"/>
    </row>
    <row r="185" spans="1:38" s="11" customFormat="1" ht="18">
      <c r="A185" s="27" t="s">
        <v>10</v>
      </c>
      <c r="B185" s="27"/>
      <c r="C185" s="27"/>
      <c r="D185" s="27"/>
      <c r="E185" s="29">
        <v>1591219.63</v>
      </c>
      <c r="F185" s="27"/>
      <c r="G185" s="29">
        <v>1693647.86</v>
      </c>
      <c r="H185" s="29"/>
      <c r="I185" s="29">
        <v>76563.42</v>
      </c>
      <c r="J185" s="29"/>
      <c r="K185" s="29">
        <v>237089.68</v>
      </c>
      <c r="L185" s="29"/>
      <c r="M185" s="29"/>
      <c r="N185" s="27" t="s">
        <v>10</v>
      </c>
      <c r="O185" s="27"/>
      <c r="P185" s="27"/>
      <c r="Q185" s="27"/>
      <c r="R185" s="29">
        <v>421403.65</v>
      </c>
      <c r="S185" s="27"/>
      <c r="T185" s="29">
        <f t="shared" si="16"/>
        <v>1133154.09</v>
      </c>
      <c r="U185" s="29"/>
      <c r="V185" s="29">
        <v>59226.76</v>
      </c>
      <c r="W185" s="29"/>
      <c r="X185" s="29">
        <v>145492.17</v>
      </c>
      <c r="Y185" s="27"/>
      <c r="Z185" s="27" t="s">
        <v>10</v>
      </c>
      <c r="AA185" s="27"/>
      <c r="AB185" s="27"/>
      <c r="AC185" s="27"/>
      <c r="AD185" s="29">
        <v>343559.77</v>
      </c>
      <c r="AE185" s="27"/>
      <c r="AF185" s="29">
        <v>1149459.44</v>
      </c>
      <c r="AG185" s="29"/>
      <c r="AH185" s="29">
        <v>50283.57</v>
      </c>
      <c r="AI185" s="29"/>
      <c r="AJ185" s="29">
        <v>92259.87</v>
      </c>
      <c r="AL185" s="107"/>
    </row>
    <row r="186" spans="1:38" s="11" customFormat="1" ht="18">
      <c r="A186" s="27" t="s">
        <v>11</v>
      </c>
      <c r="B186" s="27"/>
      <c r="C186" s="27"/>
      <c r="D186" s="27"/>
      <c r="E186" s="29">
        <v>1251056.4</v>
      </c>
      <c r="F186" s="27"/>
      <c r="G186" s="29">
        <v>1475739.38</v>
      </c>
      <c r="H186" s="29"/>
      <c r="I186" s="29">
        <v>48169.09</v>
      </c>
      <c r="J186" s="29"/>
      <c r="K186" s="29">
        <v>245955.19</v>
      </c>
      <c r="L186" s="29"/>
      <c r="M186" s="29"/>
      <c r="N186" s="27" t="s">
        <v>11</v>
      </c>
      <c r="O186" s="27"/>
      <c r="P186" s="27"/>
      <c r="Q186" s="27"/>
      <c r="R186" s="29">
        <v>408259.79</v>
      </c>
      <c r="S186" s="27"/>
      <c r="T186" s="29">
        <f t="shared" si="16"/>
        <v>1090302.3900000001</v>
      </c>
      <c r="U186" s="29"/>
      <c r="V186" s="29">
        <v>84672.61</v>
      </c>
      <c r="W186" s="29"/>
      <c r="X186" s="29">
        <v>167303.4</v>
      </c>
      <c r="Y186" s="27"/>
      <c r="Z186" s="27" t="s">
        <v>11</v>
      </c>
      <c r="AA186" s="27"/>
      <c r="AB186" s="27"/>
      <c r="AC186" s="27"/>
      <c r="AD186" s="29">
        <v>380822.88</v>
      </c>
      <c r="AE186" s="27"/>
      <c r="AF186" s="29">
        <v>891093.13</v>
      </c>
      <c r="AG186" s="29"/>
      <c r="AH186" s="29">
        <v>46285.5</v>
      </c>
      <c r="AI186" s="29"/>
      <c r="AJ186" s="29">
        <v>66900.17</v>
      </c>
      <c r="AL186" s="107"/>
    </row>
    <row r="187" spans="1:38" s="11" customFormat="1" ht="18">
      <c r="A187" s="27" t="s">
        <v>12</v>
      </c>
      <c r="B187" s="27"/>
      <c r="C187" s="27"/>
      <c r="D187" s="27"/>
      <c r="E187" s="29">
        <v>1187502.56</v>
      </c>
      <c r="F187" s="27"/>
      <c r="G187" s="29">
        <v>1338911.67</v>
      </c>
      <c r="H187" s="29"/>
      <c r="I187" s="29">
        <v>44795.73</v>
      </c>
      <c r="J187" s="29"/>
      <c r="K187" s="29">
        <v>127977.51</v>
      </c>
      <c r="L187" s="29"/>
      <c r="M187" s="29"/>
      <c r="N187" s="27" t="s">
        <v>12</v>
      </c>
      <c r="O187" s="27"/>
      <c r="P187" s="27"/>
      <c r="Q187" s="27"/>
      <c r="R187" s="29">
        <v>397372.76</v>
      </c>
      <c r="S187" s="27"/>
      <c r="T187" s="29">
        <f t="shared" si="16"/>
        <v>1290625.98</v>
      </c>
      <c r="U187" s="29"/>
      <c r="V187" s="29">
        <v>56645.91</v>
      </c>
      <c r="W187" s="29"/>
      <c r="X187" s="29">
        <v>172453.81</v>
      </c>
      <c r="Y187" s="27"/>
      <c r="Z187" s="27" t="s">
        <v>12</v>
      </c>
      <c r="AA187" s="27"/>
      <c r="AB187" s="27"/>
      <c r="AC187" s="27"/>
      <c r="AD187" s="29">
        <v>323756.18</v>
      </c>
      <c r="AE187" s="27"/>
      <c r="AF187" s="29">
        <v>1097758.02</v>
      </c>
      <c r="AG187" s="29"/>
      <c r="AH187" s="29">
        <v>50659.47</v>
      </c>
      <c r="AI187" s="29"/>
      <c r="AJ187" s="29">
        <v>140765.41</v>
      </c>
      <c r="AL187" s="107"/>
    </row>
    <row r="188" spans="1:38" s="11" customFormat="1" ht="18">
      <c r="A188" s="27" t="s">
        <v>13</v>
      </c>
      <c r="B188" s="27"/>
      <c r="C188" s="27"/>
      <c r="D188" s="27"/>
      <c r="E188" s="29">
        <v>1080553.66</v>
      </c>
      <c r="F188" s="27"/>
      <c r="G188" s="29">
        <v>1263150.6</v>
      </c>
      <c r="H188" s="29"/>
      <c r="I188" s="29">
        <v>17124.21</v>
      </c>
      <c r="J188" s="29"/>
      <c r="K188" s="29">
        <v>122480.95</v>
      </c>
      <c r="L188" s="29"/>
      <c r="M188" s="29"/>
      <c r="N188" s="27" t="s">
        <v>13</v>
      </c>
      <c r="O188" s="27"/>
      <c r="P188" s="27"/>
      <c r="Q188" s="27"/>
      <c r="R188" s="29">
        <v>339587.94</v>
      </c>
      <c r="S188" s="27"/>
      <c r="T188" s="29">
        <f t="shared" si="16"/>
        <v>1360464.05</v>
      </c>
      <c r="U188" s="29"/>
      <c r="V188" s="29">
        <v>49850.06</v>
      </c>
      <c r="W188" s="29"/>
      <c r="X188" s="29">
        <v>145018.47</v>
      </c>
      <c r="Y188" s="27"/>
      <c r="Z188" s="27" t="s">
        <v>13</v>
      </c>
      <c r="AA188" s="27"/>
      <c r="AB188" s="27"/>
      <c r="AC188" s="27"/>
      <c r="AD188" s="29">
        <v>278560.4</v>
      </c>
      <c r="AE188" s="27"/>
      <c r="AF188" s="29">
        <v>1056996.63</v>
      </c>
      <c r="AG188" s="29"/>
      <c r="AH188" s="29">
        <v>77647.38</v>
      </c>
      <c r="AI188" s="29"/>
      <c r="AJ188" s="29">
        <v>171781.72</v>
      </c>
      <c r="AL188" s="107"/>
    </row>
    <row r="189" spans="1:38" s="11" customFormat="1" ht="18">
      <c r="A189" s="27" t="s">
        <v>14</v>
      </c>
      <c r="B189" s="27"/>
      <c r="C189" s="27"/>
      <c r="D189" s="27"/>
      <c r="E189" s="29">
        <v>988944.29</v>
      </c>
      <c r="F189" s="27"/>
      <c r="G189" s="29">
        <v>797634.04</v>
      </c>
      <c r="H189" s="29"/>
      <c r="I189" s="29">
        <v>45355.91</v>
      </c>
      <c r="J189" s="29"/>
      <c r="K189" s="29">
        <v>152183.91</v>
      </c>
      <c r="L189" s="29"/>
      <c r="M189" s="29"/>
      <c r="N189" s="27" t="s">
        <v>14</v>
      </c>
      <c r="O189" s="27"/>
      <c r="P189" s="27"/>
      <c r="Q189" s="27"/>
      <c r="R189" s="29">
        <v>337538.28</v>
      </c>
      <c r="S189" s="27"/>
      <c r="T189" s="29">
        <f t="shared" si="16"/>
        <v>1182197.1699999997</v>
      </c>
      <c r="U189" s="29"/>
      <c r="V189" s="29">
        <v>71555.61</v>
      </c>
      <c r="W189" s="29"/>
      <c r="X189" s="29">
        <v>143889.82</v>
      </c>
      <c r="Y189" s="27"/>
      <c r="Z189" s="27" t="s">
        <v>14</v>
      </c>
      <c r="AA189" s="27"/>
      <c r="AB189" s="27"/>
      <c r="AC189" s="27"/>
      <c r="AD189" s="29">
        <v>324512.78</v>
      </c>
      <c r="AE189" s="27"/>
      <c r="AF189" s="29">
        <v>1072368.54</v>
      </c>
      <c r="AG189" s="29"/>
      <c r="AH189" s="29">
        <v>33259.34</v>
      </c>
      <c r="AI189" s="29"/>
      <c r="AJ189" s="29">
        <v>164457.31</v>
      </c>
      <c r="AL189" s="107"/>
    </row>
    <row r="190" spans="1:38" s="11" customFormat="1" ht="18">
      <c r="A190" s="27" t="s">
        <v>15</v>
      </c>
      <c r="B190" s="27"/>
      <c r="C190" s="27"/>
      <c r="D190" s="27"/>
      <c r="E190" s="29">
        <v>12473288.78</v>
      </c>
      <c r="F190" s="27"/>
      <c r="G190" s="29">
        <v>9835534.59</v>
      </c>
      <c r="H190" s="29"/>
      <c r="I190" s="29">
        <v>121297.92</v>
      </c>
      <c r="J190" s="29"/>
      <c r="K190" s="29">
        <v>1232366.47</v>
      </c>
      <c r="L190" s="29"/>
      <c r="M190" s="29"/>
      <c r="N190" s="27" t="s">
        <v>15</v>
      </c>
      <c r="O190" s="27"/>
      <c r="P190" s="27"/>
      <c r="Q190" s="27"/>
      <c r="R190" s="29">
        <v>17829708.4</v>
      </c>
      <c r="S190" s="27"/>
      <c r="T190" s="29">
        <f t="shared" si="16"/>
        <v>44300936.709999986</v>
      </c>
      <c r="U190" s="29"/>
      <c r="V190" s="29">
        <v>1463217.03</v>
      </c>
      <c r="W190" s="29"/>
      <c r="X190" s="29">
        <v>7322986.95</v>
      </c>
      <c r="Y190" s="27"/>
      <c r="Z190" s="27" t="s">
        <v>15</v>
      </c>
      <c r="AA190" s="27"/>
      <c r="AB190" s="27"/>
      <c r="AC190" s="27"/>
      <c r="AD190" s="29">
        <v>17672121.75</v>
      </c>
      <c r="AE190" s="27"/>
      <c r="AF190" s="29">
        <v>45268195.56000005</v>
      </c>
      <c r="AG190" s="29"/>
      <c r="AH190" s="29">
        <v>1558012.13</v>
      </c>
      <c r="AI190" s="29"/>
      <c r="AJ190" s="29">
        <v>7358365.699999996</v>
      </c>
      <c r="AL190" s="107"/>
    </row>
    <row r="191" spans="1:36" s="11" customFormat="1" ht="18">
      <c r="A191" s="27"/>
      <c r="B191" s="27"/>
      <c r="C191" s="27"/>
      <c r="D191" s="27"/>
      <c r="E191" s="29"/>
      <c r="F191" s="27"/>
      <c r="G191" s="29"/>
      <c r="H191" s="29"/>
      <c r="I191" s="29"/>
      <c r="J191" s="29"/>
      <c r="K191" s="29"/>
      <c r="L191" s="29"/>
      <c r="M191" s="29"/>
      <c r="N191" s="27"/>
      <c r="O191" s="27"/>
      <c r="P191" s="27"/>
      <c r="Q191" s="27"/>
      <c r="R191" s="29"/>
      <c r="S191" s="27"/>
      <c r="T191" s="27"/>
      <c r="U191" s="29"/>
      <c r="V191" s="29"/>
      <c r="W191" s="29"/>
      <c r="X191" s="30"/>
      <c r="Y191" s="27"/>
      <c r="Z191" s="27"/>
      <c r="AA191" s="27"/>
      <c r="AB191" s="27"/>
      <c r="AC191" s="27"/>
      <c r="AD191" s="29"/>
      <c r="AE191" s="27"/>
      <c r="AF191" s="27"/>
      <c r="AG191" s="29"/>
      <c r="AH191" s="29"/>
      <c r="AI191" s="29"/>
      <c r="AJ191" s="30"/>
    </row>
    <row r="192" spans="1:36" s="12" customFormat="1" ht="18.75" thickBot="1">
      <c r="A192" s="26"/>
      <c r="B192" s="26"/>
      <c r="C192" s="26"/>
      <c r="D192" s="26"/>
      <c r="E192" s="71">
        <v>56071906.08</v>
      </c>
      <c r="F192" s="26"/>
      <c r="G192" s="71">
        <v>148334225.14999998</v>
      </c>
      <c r="H192" s="74"/>
      <c r="I192" s="71">
        <v>30595190.250000004</v>
      </c>
      <c r="J192" s="74"/>
      <c r="K192" s="71">
        <v>36816024.66999999</v>
      </c>
      <c r="L192" s="75"/>
      <c r="M192" s="74"/>
      <c r="N192" s="97"/>
      <c r="O192" s="97"/>
      <c r="P192" s="97"/>
      <c r="Q192" s="97"/>
      <c r="R192" s="100">
        <f>SUM(R178:R191)</f>
        <v>35417819.78</v>
      </c>
      <c r="S192" s="97"/>
      <c r="T192" s="100">
        <f>SUM(T178:T191)</f>
        <v>78672098.45999998</v>
      </c>
      <c r="U192" s="103"/>
      <c r="V192" s="100">
        <f>SUM(V178:V191)</f>
        <v>12911989.819999998</v>
      </c>
      <c r="W192" s="103"/>
      <c r="X192" s="100">
        <f>SUM(X178:X191)</f>
        <v>11717786.06</v>
      </c>
      <c r="Y192" s="26"/>
      <c r="Z192" s="97"/>
      <c r="AA192" s="97"/>
      <c r="AB192" s="97"/>
      <c r="AC192" s="97"/>
      <c r="AD192" s="100">
        <v>34714599.000000015</v>
      </c>
      <c r="AE192" s="97"/>
      <c r="AF192" s="100">
        <v>75611290.66000007</v>
      </c>
      <c r="AG192" s="103"/>
      <c r="AH192" s="100">
        <v>12158301.779999977</v>
      </c>
      <c r="AI192" s="103"/>
      <c r="AJ192" s="100">
        <v>11060905.080000002</v>
      </c>
    </row>
    <row r="193" spans="1:36" s="11" customFormat="1" ht="18.75" thickTop="1">
      <c r="A193" s="27"/>
      <c r="B193" s="27"/>
      <c r="C193" s="27"/>
      <c r="D193" s="27"/>
      <c r="E193" s="29"/>
      <c r="F193" s="27"/>
      <c r="G193" s="27"/>
      <c r="H193" s="27"/>
      <c r="I193" s="29"/>
      <c r="J193" s="27"/>
      <c r="K193" s="27"/>
      <c r="L193" s="27"/>
      <c r="M193" s="27"/>
      <c r="N193" s="27"/>
      <c r="O193" s="27"/>
      <c r="P193" s="27"/>
      <c r="Q193" s="27"/>
      <c r="R193" s="29"/>
      <c r="S193" s="27"/>
      <c r="T193" s="104"/>
      <c r="U193" s="27"/>
      <c r="V193" s="29"/>
      <c r="W193" s="27"/>
      <c r="X193" s="30"/>
      <c r="Y193" s="27"/>
      <c r="Z193" s="27"/>
      <c r="AA193" s="27"/>
      <c r="AB193" s="27"/>
      <c r="AC193" s="27"/>
      <c r="AD193" s="29"/>
      <c r="AE193" s="27"/>
      <c r="AF193" s="104"/>
      <c r="AG193" s="27"/>
      <c r="AH193" s="29"/>
      <c r="AI193" s="27"/>
      <c r="AJ193" s="30"/>
    </row>
    <row r="194" spans="1:36" s="12" customFormat="1" ht="18">
      <c r="A194" s="26" t="s">
        <v>99</v>
      </c>
      <c r="B194" s="26"/>
      <c r="C194" s="26"/>
      <c r="D194" s="26"/>
      <c r="E194" s="44">
        <v>0.2342</v>
      </c>
      <c r="F194" s="44"/>
      <c r="G194" s="44">
        <v>0.1998</v>
      </c>
      <c r="H194" s="44"/>
      <c r="I194" s="44">
        <v>0.1491</v>
      </c>
      <c r="J194" s="44"/>
      <c r="K194" s="44">
        <v>0.1463</v>
      </c>
      <c r="L194" s="44"/>
      <c r="M194" s="26"/>
      <c r="N194" s="26" t="s">
        <v>99</v>
      </c>
      <c r="O194" s="97"/>
      <c r="P194" s="97"/>
      <c r="Q194" s="97"/>
      <c r="R194" s="105">
        <v>0.2194</v>
      </c>
      <c r="S194" s="99"/>
      <c r="T194" s="105">
        <v>0.1894</v>
      </c>
      <c r="U194" s="99"/>
      <c r="V194" s="105">
        <v>0.1514</v>
      </c>
      <c r="W194" s="99"/>
      <c r="X194" s="105">
        <v>0.1411</v>
      </c>
      <c r="Y194" s="26"/>
      <c r="Z194" s="26" t="s">
        <v>99</v>
      </c>
      <c r="AA194" s="97"/>
      <c r="AB194" s="97"/>
      <c r="AC194" s="97"/>
      <c r="AD194" s="105">
        <v>0.21837798566915562</v>
      </c>
      <c r="AE194" s="99"/>
      <c r="AF194" s="105">
        <v>0.18847394825061023</v>
      </c>
      <c r="AG194" s="99"/>
      <c r="AH194" s="105">
        <v>0.15127488067031447</v>
      </c>
      <c r="AI194" s="99"/>
      <c r="AJ194" s="105">
        <v>0.13991502834425126</v>
      </c>
    </row>
    <row r="195" spans="5:22" ht="12.75">
      <c r="E195" s="3"/>
      <c r="R195" s="3"/>
      <c r="V195" s="3"/>
    </row>
    <row r="196" spans="5:22" ht="12.75">
      <c r="E196" s="3"/>
      <c r="R196" s="3"/>
      <c r="V196" s="3"/>
    </row>
    <row r="197" spans="5:22" ht="12.75">
      <c r="E197" s="3"/>
      <c r="R197" s="3"/>
      <c r="V197" s="3"/>
    </row>
    <row r="198" spans="5:22" ht="12.75">
      <c r="E198" s="3"/>
      <c r="R198" s="3"/>
      <c r="V198" s="3"/>
    </row>
    <row r="199" spans="18:22" ht="12.75">
      <c r="R199" s="4"/>
      <c r="V199" s="3"/>
    </row>
    <row r="200" spans="18:22" ht="12.75">
      <c r="R200" s="4"/>
      <c r="V200" s="3"/>
    </row>
    <row r="201" spans="18:22" ht="12.75">
      <c r="R201" s="4"/>
      <c r="V201" s="3"/>
    </row>
    <row r="202" spans="18:22" ht="12.75">
      <c r="R202" s="4"/>
      <c r="V202" s="3"/>
    </row>
    <row r="203" spans="18:22" ht="12.75">
      <c r="R203" s="4"/>
      <c r="V203" s="3"/>
    </row>
    <row r="204" spans="18:22" ht="12.75">
      <c r="R204" s="4"/>
      <c r="V204" s="3"/>
    </row>
    <row r="205" spans="18:22" ht="12.75">
      <c r="R205" s="4"/>
      <c r="V205" s="3"/>
    </row>
    <row r="206" spans="18:22" ht="12.75">
      <c r="R206" s="4"/>
      <c r="V206" s="3"/>
    </row>
    <row r="207" spans="18:22" ht="12.75">
      <c r="R207" s="4"/>
      <c r="V207" s="3"/>
    </row>
    <row r="208" spans="18:22" ht="12.75">
      <c r="R208" s="4"/>
      <c r="V208" s="3"/>
    </row>
    <row r="209" spans="18:22" ht="12.75">
      <c r="R209" s="4"/>
      <c r="V209" s="3"/>
    </row>
    <row r="210" spans="18:22" ht="12.75">
      <c r="R210" s="4"/>
      <c r="V210" s="3"/>
    </row>
    <row r="211" spans="18:22" ht="12.75">
      <c r="R211" s="4"/>
      <c r="V211" s="3"/>
    </row>
    <row r="212" spans="18:22" ht="12.75">
      <c r="R212" s="4"/>
      <c r="V212" s="3"/>
    </row>
    <row r="213" spans="18:22" ht="12.75">
      <c r="R213" s="4"/>
      <c r="V213" s="3"/>
    </row>
    <row r="214" spans="18:22" ht="12.75">
      <c r="R214" s="4"/>
      <c r="V214" s="3"/>
    </row>
    <row r="215" spans="18:22" ht="12.75">
      <c r="R215" s="4"/>
      <c r="V215" s="3"/>
    </row>
    <row r="216" spans="18:22" ht="12.75">
      <c r="R216" s="4"/>
      <c r="V216" s="3"/>
    </row>
    <row r="217" spans="18:22" ht="12.75">
      <c r="R217" s="4"/>
      <c r="V217" s="3"/>
    </row>
    <row r="218" spans="18:22" ht="12.75">
      <c r="R218" s="4"/>
      <c r="V218" s="3"/>
    </row>
    <row r="219" spans="18:22" ht="12.75">
      <c r="R219" s="4"/>
      <c r="V219" s="3"/>
    </row>
    <row r="220" spans="18:22" ht="12.75">
      <c r="R220" s="4"/>
      <c r="V220" s="3"/>
    </row>
    <row r="221" spans="18:22" ht="12.75">
      <c r="R221" s="4"/>
      <c r="V221" s="3"/>
    </row>
    <row r="222" spans="18:22" ht="12.75">
      <c r="R222" s="4"/>
      <c r="V222" s="3"/>
    </row>
    <row r="223" spans="18:22" ht="12.75">
      <c r="R223" s="4"/>
      <c r="V223" s="3"/>
    </row>
    <row r="224" spans="18:22" ht="12.75">
      <c r="R224" s="4"/>
      <c r="V224" s="3"/>
    </row>
    <row r="225" spans="18:22" ht="12.75">
      <c r="R225" s="4"/>
      <c r="V225" s="3"/>
    </row>
    <row r="226" spans="18:22" ht="12.75">
      <c r="R226" s="4"/>
      <c r="V226" s="3"/>
    </row>
    <row r="227" spans="18:22" ht="12.75">
      <c r="R227" s="4"/>
      <c r="V227" s="3"/>
    </row>
    <row r="228" spans="18:22" ht="12.75">
      <c r="R228" s="4"/>
      <c r="V228" s="3"/>
    </row>
    <row r="229" spans="18:22" ht="12.75">
      <c r="R229" s="4"/>
      <c r="V229" s="3"/>
    </row>
    <row r="230" spans="18:22" ht="12.75">
      <c r="R230" s="4"/>
      <c r="V230" s="3"/>
    </row>
    <row r="231" spans="18:22" ht="12.75">
      <c r="R231" s="4"/>
      <c r="V231" s="3"/>
    </row>
    <row r="232" spans="18:22" ht="12.75">
      <c r="R232" s="4"/>
      <c r="V232" s="3"/>
    </row>
    <row r="233" spans="18:22" ht="12.75">
      <c r="R233" s="4"/>
      <c r="V233" s="3"/>
    </row>
  </sheetData>
  <mergeCells count="4">
    <mergeCell ref="A4:K4"/>
    <mergeCell ref="N4:X4"/>
    <mergeCell ref="A1:X1"/>
    <mergeCell ref="Z4:AJ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28" r:id="rId1"/>
  <rowBreaks count="2" manualBreakCount="2">
    <brk id="69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2"/>
  <sheetViews>
    <sheetView view="pageBreakPreview" zoomScale="60" workbookViewId="0" topLeftCell="Y141">
      <selection activeCell="AD180" sqref="AD180"/>
    </sheetView>
  </sheetViews>
  <sheetFormatPr defaultColWidth="9.140625" defaultRowHeight="12.75"/>
  <cols>
    <col min="5" max="5" width="17.421875" style="4" customWidth="1"/>
    <col min="6" max="6" width="4.7109375" style="0" customWidth="1"/>
    <col min="7" max="7" width="16.140625" style="0" customWidth="1"/>
    <col min="8" max="8" width="4.7109375" style="0" customWidth="1"/>
    <col min="9" max="9" width="19.57421875" style="3" customWidth="1"/>
    <col min="10" max="10" width="5.8515625" style="0" customWidth="1"/>
    <col min="11" max="12" width="15.28125" style="0" customWidth="1"/>
    <col min="18" max="18" width="11.8515625" style="0" bestFit="1" customWidth="1"/>
    <col min="20" max="20" width="12.28125" style="0" customWidth="1"/>
    <col min="21" max="21" width="5.28125" style="0" customWidth="1"/>
    <col min="22" max="22" width="22.140625" style="0" customWidth="1"/>
    <col min="23" max="23" width="5.140625" style="0" customWidth="1"/>
    <col min="24" max="24" width="18.140625" style="0" customWidth="1"/>
    <col min="26" max="26" width="29.00390625" style="0" customWidth="1"/>
    <col min="30" max="30" width="15.57421875" style="0" customWidth="1"/>
    <col min="32" max="32" width="13.421875" style="0" customWidth="1"/>
    <col min="34" max="34" width="23.421875" style="0" customWidth="1"/>
    <col min="36" max="36" width="14.140625" style="0" bestFit="1" customWidth="1"/>
    <col min="38" max="38" width="21.8515625" style="0" bestFit="1" customWidth="1"/>
    <col min="40" max="40" width="17.57421875" style="0" bestFit="1" customWidth="1"/>
    <col min="42" max="42" width="15.140625" style="0" bestFit="1" customWidth="1"/>
    <col min="44" max="44" width="17.57421875" style="0" bestFit="1" customWidth="1"/>
  </cols>
  <sheetData>
    <row r="1" spans="1:36" ht="33.75">
      <c r="A1" s="115" t="s">
        <v>107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2.75">
      <c r="A2" s="19"/>
      <c r="B2" s="19"/>
      <c r="C2" s="19"/>
      <c r="D2" s="19"/>
      <c r="E2" s="20"/>
      <c r="F2" s="19"/>
      <c r="G2" s="19"/>
      <c r="H2" s="19"/>
      <c r="I2" s="2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2.75">
      <c r="A3" s="19"/>
      <c r="B3" s="19"/>
      <c r="C3" s="19"/>
      <c r="D3" s="19"/>
      <c r="E3" s="20"/>
      <c r="F3" s="19"/>
      <c r="G3" s="19"/>
      <c r="H3" s="19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15" customFormat="1" ht="18">
      <c r="A4" s="116" t="s">
        <v>81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45"/>
      <c r="M4" s="46"/>
      <c r="N4" s="117" t="s">
        <v>109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46"/>
      <c r="Z4" s="117" t="s">
        <v>111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</row>
    <row r="5" spans="1:36" ht="12.75">
      <c r="A5" s="19"/>
      <c r="B5" s="19"/>
      <c r="C5" s="19"/>
      <c r="D5" s="19"/>
      <c r="E5" s="20"/>
      <c r="F5" s="19"/>
      <c r="G5" s="19"/>
      <c r="H5" s="19"/>
      <c r="I5" s="21"/>
      <c r="J5" s="19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21"/>
      <c r="W5" s="19"/>
      <c r="X5" s="19"/>
      <c r="Y5" s="19"/>
      <c r="Z5" s="19"/>
      <c r="AA5" s="19"/>
      <c r="AB5" s="19"/>
      <c r="AC5" s="19"/>
      <c r="AD5" s="20"/>
      <c r="AE5" s="19"/>
      <c r="AF5" s="19"/>
      <c r="AG5" s="19"/>
      <c r="AH5" s="21"/>
      <c r="AI5" s="19"/>
      <c r="AJ5" s="19"/>
    </row>
    <row r="6" spans="1:36" ht="12.75">
      <c r="A6" s="19"/>
      <c r="B6" s="19"/>
      <c r="C6" s="19"/>
      <c r="D6" s="19"/>
      <c r="E6" s="20"/>
      <c r="F6" s="19"/>
      <c r="G6" s="19"/>
      <c r="H6" s="19"/>
      <c r="I6" s="21"/>
      <c r="J6" s="19"/>
      <c r="K6" s="19"/>
      <c r="L6" s="19"/>
      <c r="M6" s="19"/>
      <c r="N6" s="19"/>
      <c r="O6" s="19"/>
      <c r="P6" s="19"/>
      <c r="Q6" s="19"/>
      <c r="R6" s="20"/>
      <c r="S6" s="19"/>
      <c r="T6" s="19"/>
      <c r="U6" s="19"/>
      <c r="V6" s="21"/>
      <c r="W6" s="19"/>
      <c r="X6" s="19"/>
      <c r="Y6" s="19"/>
      <c r="Z6" s="19"/>
      <c r="AA6" s="19"/>
      <c r="AB6" s="19"/>
      <c r="AC6" s="19"/>
      <c r="AD6" s="20"/>
      <c r="AE6" s="19"/>
      <c r="AF6" s="19"/>
      <c r="AG6" s="19"/>
      <c r="AH6" s="21"/>
      <c r="AI6" s="19"/>
      <c r="AJ6" s="19"/>
    </row>
    <row r="7" spans="1:36" s="15" customFormat="1" ht="12.75">
      <c r="A7" s="47" t="s">
        <v>92</v>
      </c>
      <c r="B7" s="46"/>
      <c r="C7" s="46"/>
      <c r="D7" s="46"/>
      <c r="E7" s="48"/>
      <c r="F7" s="46"/>
      <c r="G7" s="46"/>
      <c r="H7" s="46"/>
      <c r="I7" s="49"/>
      <c r="J7" s="46"/>
      <c r="K7" s="46"/>
      <c r="L7" s="46"/>
      <c r="M7" s="46"/>
      <c r="N7" s="47" t="s">
        <v>92</v>
      </c>
      <c r="O7" s="19"/>
      <c r="P7" s="19"/>
      <c r="Q7" s="19"/>
      <c r="R7" s="20"/>
      <c r="S7" s="19"/>
      <c r="T7" s="19"/>
      <c r="U7" s="19"/>
      <c r="V7" s="21"/>
      <c r="W7" s="19"/>
      <c r="X7" s="19"/>
      <c r="Y7" s="46"/>
      <c r="Z7" s="47" t="s">
        <v>92</v>
      </c>
      <c r="AA7" s="19"/>
      <c r="AB7" s="19"/>
      <c r="AC7" s="19"/>
      <c r="AD7" s="20"/>
      <c r="AE7" s="19"/>
      <c r="AF7" s="19"/>
      <c r="AG7" s="19"/>
      <c r="AH7" s="21"/>
      <c r="AI7" s="19"/>
      <c r="AJ7" s="19"/>
    </row>
    <row r="8" spans="1:36" ht="12.75">
      <c r="A8" s="50" t="s">
        <v>26</v>
      </c>
      <c r="B8" s="19"/>
      <c r="C8" s="19"/>
      <c r="D8" s="19"/>
      <c r="E8" s="20"/>
      <c r="F8" s="19"/>
      <c r="G8" s="19"/>
      <c r="H8" s="19"/>
      <c r="I8" s="21"/>
      <c r="J8" s="19"/>
      <c r="K8" s="19"/>
      <c r="L8" s="19"/>
      <c r="M8" s="19"/>
      <c r="N8" s="50" t="s">
        <v>26</v>
      </c>
      <c r="O8" s="19"/>
      <c r="P8" s="19"/>
      <c r="Q8" s="19"/>
      <c r="R8" s="20"/>
      <c r="S8" s="19"/>
      <c r="T8" s="19"/>
      <c r="U8" s="19"/>
      <c r="V8" s="21"/>
      <c r="W8" s="19"/>
      <c r="X8" s="19"/>
      <c r="Y8" s="19"/>
      <c r="Z8" s="50" t="s">
        <v>26</v>
      </c>
      <c r="AA8" s="19"/>
      <c r="AB8" s="19"/>
      <c r="AC8" s="19"/>
      <c r="AD8" s="20"/>
      <c r="AE8" s="19"/>
      <c r="AF8" s="19"/>
      <c r="AG8" s="19"/>
      <c r="AH8" s="21"/>
      <c r="AI8" s="19"/>
      <c r="AJ8" s="19"/>
    </row>
    <row r="9" spans="1:36" ht="12.75">
      <c r="A9" s="19"/>
      <c r="B9" s="19"/>
      <c r="C9" s="19"/>
      <c r="D9" s="19"/>
      <c r="E9" s="20"/>
      <c r="F9" s="19"/>
      <c r="G9" s="19"/>
      <c r="H9" s="19"/>
      <c r="I9" s="21"/>
      <c r="J9" s="19"/>
      <c r="K9" s="19"/>
      <c r="L9" s="19"/>
      <c r="M9" s="19"/>
      <c r="N9" s="19"/>
      <c r="O9" s="19"/>
      <c r="P9" s="19"/>
      <c r="Q9" s="19"/>
      <c r="R9" s="20"/>
      <c r="S9" s="19"/>
      <c r="T9" s="19"/>
      <c r="U9" s="19"/>
      <c r="V9" s="21"/>
      <c r="W9" s="19"/>
      <c r="X9" s="19"/>
      <c r="Y9" s="19"/>
      <c r="Z9" s="19"/>
      <c r="AA9" s="19"/>
      <c r="AB9" s="19"/>
      <c r="AC9" s="19"/>
      <c r="AD9" s="20"/>
      <c r="AE9" s="19"/>
      <c r="AF9" s="19"/>
      <c r="AG9" s="19"/>
      <c r="AH9" s="21"/>
      <c r="AI9" s="19"/>
      <c r="AJ9" s="19"/>
    </row>
    <row r="10" spans="1:36" ht="12.75">
      <c r="A10" s="19" t="s">
        <v>27</v>
      </c>
      <c r="B10" s="19"/>
      <c r="C10" s="19"/>
      <c r="D10" s="19"/>
      <c r="E10" s="20"/>
      <c r="F10" s="19"/>
      <c r="G10" s="51">
        <v>6213.22</v>
      </c>
      <c r="H10" s="19"/>
      <c r="I10" s="21"/>
      <c r="J10" s="19"/>
      <c r="K10" s="19"/>
      <c r="L10" s="19"/>
      <c r="M10" s="19"/>
      <c r="N10" s="19" t="s">
        <v>27</v>
      </c>
      <c r="O10" s="19"/>
      <c r="P10" s="19"/>
      <c r="Q10" s="19"/>
      <c r="R10" s="20"/>
      <c r="S10" s="19"/>
      <c r="T10" s="51">
        <v>6381.492077003664</v>
      </c>
      <c r="U10" s="19"/>
      <c r="V10" s="21"/>
      <c r="W10" s="19"/>
      <c r="X10" s="19"/>
      <c r="Y10" s="19"/>
      <c r="Z10" s="19" t="s">
        <v>27</v>
      </c>
      <c r="AA10" s="19"/>
      <c r="AB10" s="19"/>
      <c r="AC10" s="19"/>
      <c r="AD10" s="20"/>
      <c r="AE10" s="19"/>
      <c r="AF10" s="51">
        <v>6224.564971356474</v>
      </c>
      <c r="AG10" s="19"/>
      <c r="AH10" s="21"/>
      <c r="AI10" s="19"/>
      <c r="AJ10" s="19"/>
    </row>
    <row r="11" spans="1:36" ht="12.75">
      <c r="A11" s="19" t="s">
        <v>28</v>
      </c>
      <c r="B11" s="19"/>
      <c r="C11" s="19"/>
      <c r="D11" s="19"/>
      <c r="E11" s="20"/>
      <c r="F11" s="19"/>
      <c r="G11" s="52" t="s">
        <v>16</v>
      </c>
      <c r="H11" s="19"/>
      <c r="I11" s="21"/>
      <c r="J11" s="19"/>
      <c r="K11" s="19"/>
      <c r="L11" s="19"/>
      <c r="M11" s="19"/>
      <c r="N11" s="19" t="s">
        <v>28</v>
      </c>
      <c r="O11" s="19"/>
      <c r="P11" s="19"/>
      <c r="Q11" s="19"/>
      <c r="R11" s="20"/>
      <c r="S11" s="19"/>
      <c r="T11" s="53">
        <v>23.829816205202405</v>
      </c>
      <c r="U11" s="19" t="s">
        <v>80</v>
      </c>
      <c r="V11" s="21"/>
      <c r="W11" s="19"/>
      <c r="X11" s="19"/>
      <c r="Y11" s="19"/>
      <c r="Z11" s="19" t="s">
        <v>28</v>
      </c>
      <c r="AA11" s="19"/>
      <c r="AB11" s="19"/>
      <c r="AC11" s="19"/>
      <c r="AD11" s="20"/>
      <c r="AE11" s="19"/>
      <c r="AF11" s="53">
        <v>26.78321296779462</v>
      </c>
      <c r="AG11" s="19" t="s">
        <v>80</v>
      </c>
      <c r="AH11" s="21"/>
      <c r="AI11" s="19"/>
      <c r="AJ11" s="19"/>
    </row>
    <row r="12" spans="1:36" ht="12.75">
      <c r="A12" s="19" t="s">
        <v>30</v>
      </c>
      <c r="B12" s="19"/>
      <c r="C12" s="19"/>
      <c r="D12" s="19"/>
      <c r="E12" s="20"/>
      <c r="F12" s="19"/>
      <c r="G12" s="54">
        <v>0.1997</v>
      </c>
      <c r="H12" s="19"/>
      <c r="I12" s="21"/>
      <c r="J12" s="19"/>
      <c r="K12" s="19"/>
      <c r="L12" s="19"/>
      <c r="M12" s="19"/>
      <c r="N12" s="19" t="s">
        <v>30</v>
      </c>
      <c r="O12" s="19"/>
      <c r="P12" s="19"/>
      <c r="Q12" s="19"/>
      <c r="R12" s="20"/>
      <c r="S12" s="19"/>
      <c r="T12" s="54">
        <v>0.1478834197487642</v>
      </c>
      <c r="U12" s="19"/>
      <c r="V12" s="21"/>
      <c r="W12" s="19"/>
      <c r="X12" s="19"/>
      <c r="Y12" s="19"/>
      <c r="Z12" s="19" t="s">
        <v>30</v>
      </c>
      <c r="AA12" s="19"/>
      <c r="AB12" s="19"/>
      <c r="AC12" s="19"/>
      <c r="AD12" s="20"/>
      <c r="AE12" s="19"/>
      <c r="AF12" s="54">
        <v>0.148</v>
      </c>
      <c r="AG12" s="19"/>
      <c r="AH12" s="21"/>
      <c r="AI12" s="19"/>
      <c r="AJ12" s="19"/>
    </row>
    <row r="13" spans="1:36" ht="12.75">
      <c r="A13" s="19" t="s">
        <v>31</v>
      </c>
      <c r="B13" s="19"/>
      <c r="C13" s="19"/>
      <c r="D13" s="19"/>
      <c r="E13" s="20"/>
      <c r="F13" s="19"/>
      <c r="G13" s="52" t="s">
        <v>17</v>
      </c>
      <c r="H13" s="19"/>
      <c r="I13" s="21"/>
      <c r="J13" s="19"/>
      <c r="K13" s="19"/>
      <c r="L13" s="19"/>
      <c r="M13" s="19"/>
      <c r="N13" s="19" t="s">
        <v>31</v>
      </c>
      <c r="O13" s="19"/>
      <c r="P13" s="19"/>
      <c r="Q13" s="19"/>
      <c r="R13" s="20"/>
      <c r="S13" s="19"/>
      <c r="T13" s="53">
        <v>98.4533131600889</v>
      </c>
      <c r="U13" s="19" t="s">
        <v>80</v>
      </c>
      <c r="V13" s="21"/>
      <c r="W13" s="19"/>
      <c r="X13" s="19"/>
      <c r="Y13" s="19"/>
      <c r="Z13" s="19" t="s">
        <v>31</v>
      </c>
      <c r="AA13" s="19"/>
      <c r="AB13" s="19"/>
      <c r="AC13" s="19"/>
      <c r="AD13" s="20"/>
      <c r="AE13" s="19"/>
      <c r="AF13" s="53">
        <v>99.127630829081</v>
      </c>
      <c r="AG13" s="19" t="s">
        <v>80</v>
      </c>
      <c r="AH13" s="21"/>
      <c r="AI13" s="19"/>
      <c r="AJ13" s="19"/>
    </row>
    <row r="14" spans="1:36" ht="12.75">
      <c r="A14" s="19" t="s">
        <v>33</v>
      </c>
      <c r="B14" s="19"/>
      <c r="C14" s="19"/>
      <c r="D14" s="19"/>
      <c r="E14" s="20"/>
      <c r="F14" s="19"/>
      <c r="G14" s="52" t="s">
        <v>18</v>
      </c>
      <c r="H14" s="19"/>
      <c r="I14" s="21"/>
      <c r="J14" s="19"/>
      <c r="K14" s="19"/>
      <c r="L14" s="19"/>
      <c r="M14" s="19"/>
      <c r="N14" s="19" t="s">
        <v>33</v>
      </c>
      <c r="O14" s="19"/>
      <c r="P14" s="19"/>
      <c r="Q14" s="19"/>
      <c r="R14" s="20"/>
      <c r="S14" s="19"/>
      <c r="T14" s="53">
        <v>77.23845169553627</v>
      </c>
      <c r="U14" s="19" t="s">
        <v>80</v>
      </c>
      <c r="V14" s="21"/>
      <c r="W14" s="19"/>
      <c r="X14" s="19"/>
      <c r="Y14" s="19"/>
      <c r="Z14" s="19" t="s">
        <v>33</v>
      </c>
      <c r="AA14" s="19"/>
      <c r="AB14" s="19"/>
      <c r="AC14" s="19"/>
      <c r="AD14" s="20"/>
      <c r="AE14" s="19"/>
      <c r="AF14" s="53">
        <v>75.09413123323012</v>
      </c>
      <c r="AG14" s="19" t="s">
        <v>80</v>
      </c>
      <c r="AH14" s="21"/>
      <c r="AI14" s="19"/>
      <c r="AJ14" s="19"/>
    </row>
    <row r="15" spans="1:36" ht="12.75">
      <c r="A15" s="19"/>
      <c r="B15" s="19"/>
      <c r="C15" s="19"/>
      <c r="D15" s="19"/>
      <c r="E15" s="20"/>
      <c r="F15" s="19"/>
      <c r="G15" s="19"/>
      <c r="H15" s="19"/>
      <c r="I15" s="21"/>
      <c r="J15" s="19"/>
      <c r="K15" s="19"/>
      <c r="L15" s="19"/>
      <c r="M15" s="19"/>
      <c r="N15" s="19"/>
      <c r="O15" s="19"/>
      <c r="P15" s="19"/>
      <c r="Q15" s="19"/>
      <c r="R15" s="20"/>
      <c r="S15" s="19"/>
      <c r="T15" s="19"/>
      <c r="U15" s="19"/>
      <c r="V15" s="21"/>
      <c r="W15" s="19"/>
      <c r="X15" s="19"/>
      <c r="Y15" s="19"/>
      <c r="Z15" s="19"/>
      <c r="AA15" s="19"/>
      <c r="AB15" s="19"/>
      <c r="AC15" s="19"/>
      <c r="AD15" s="20"/>
      <c r="AE15" s="19"/>
      <c r="AF15" s="19"/>
      <c r="AG15" s="19"/>
      <c r="AH15" s="21"/>
      <c r="AI15" s="19"/>
      <c r="AJ15" s="19"/>
    </row>
    <row r="16" spans="1:36" ht="12.75">
      <c r="A16" s="19"/>
      <c r="B16" s="19"/>
      <c r="C16" s="19"/>
      <c r="D16" s="19"/>
      <c r="E16" s="20"/>
      <c r="F16" s="19"/>
      <c r="G16" s="19"/>
      <c r="H16" s="19"/>
      <c r="I16" s="21"/>
      <c r="J16" s="19"/>
      <c r="K16" s="19"/>
      <c r="L16" s="19"/>
      <c r="M16" s="19"/>
      <c r="N16" s="19"/>
      <c r="O16" s="19"/>
      <c r="P16" s="19"/>
      <c r="Q16" s="19"/>
      <c r="R16" s="20"/>
      <c r="S16" s="19"/>
      <c r="T16" s="19"/>
      <c r="U16" s="19"/>
      <c r="V16" s="21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21"/>
      <c r="AI16" s="19"/>
      <c r="AJ16" s="19"/>
    </row>
    <row r="17" spans="1:36" s="15" customFormat="1" ht="12.75">
      <c r="A17" s="55" t="s">
        <v>82</v>
      </c>
      <c r="B17" s="46"/>
      <c r="C17" s="46"/>
      <c r="D17" s="46"/>
      <c r="E17" s="48"/>
      <c r="F17" s="46"/>
      <c r="G17" s="46"/>
      <c r="H17" s="46"/>
      <c r="I17" s="49"/>
      <c r="J17" s="46"/>
      <c r="K17" s="46"/>
      <c r="L17" s="46"/>
      <c r="M17" s="46"/>
      <c r="N17" s="55" t="s">
        <v>82</v>
      </c>
      <c r="O17" s="19"/>
      <c r="P17" s="19"/>
      <c r="Q17" s="19"/>
      <c r="R17" s="20"/>
      <c r="S17" s="19"/>
      <c r="T17" s="19"/>
      <c r="U17" s="19"/>
      <c r="V17" s="21"/>
      <c r="W17" s="19"/>
      <c r="X17" s="19"/>
      <c r="Y17" s="46"/>
      <c r="Z17" s="55" t="s">
        <v>82</v>
      </c>
      <c r="AA17" s="19"/>
      <c r="AB17" s="19"/>
      <c r="AC17" s="19"/>
      <c r="AD17" s="20"/>
      <c r="AE17" s="19"/>
      <c r="AF17" s="19"/>
      <c r="AG17" s="19"/>
      <c r="AH17" s="21"/>
      <c r="AI17" s="19"/>
      <c r="AJ17" s="19"/>
    </row>
    <row r="18" spans="1:36" ht="12.75">
      <c r="A18" s="19"/>
      <c r="B18" s="19"/>
      <c r="C18" s="19"/>
      <c r="D18" s="19"/>
      <c r="E18" s="20"/>
      <c r="F18" s="19"/>
      <c r="G18" s="19"/>
      <c r="H18" s="19"/>
      <c r="I18" s="21"/>
      <c r="J18" s="19"/>
      <c r="K18" s="19"/>
      <c r="L18" s="19"/>
      <c r="M18" s="19"/>
      <c r="N18" s="19"/>
      <c r="O18" s="19"/>
      <c r="P18" s="19"/>
      <c r="Q18" s="19"/>
      <c r="R18" s="20"/>
      <c r="S18" s="19"/>
      <c r="T18" s="19"/>
      <c r="U18" s="19"/>
      <c r="V18" s="21"/>
      <c r="W18" s="19"/>
      <c r="X18" s="19"/>
      <c r="Y18" s="19"/>
      <c r="Z18" s="19"/>
      <c r="AA18" s="19"/>
      <c r="AB18" s="19"/>
      <c r="AC18" s="19"/>
      <c r="AD18" s="20"/>
      <c r="AE18" s="19"/>
      <c r="AF18" s="19"/>
      <c r="AG18" s="19"/>
      <c r="AH18" s="21"/>
      <c r="AI18" s="19"/>
      <c r="AJ18" s="19"/>
    </row>
    <row r="19" spans="1:36" s="18" customFormat="1" ht="12.75">
      <c r="A19" s="66"/>
      <c r="B19" s="66"/>
      <c r="C19" s="66"/>
      <c r="D19" s="66"/>
      <c r="E19" s="67" t="s">
        <v>83</v>
      </c>
      <c r="F19" s="66"/>
      <c r="G19" s="66" t="s">
        <v>84</v>
      </c>
      <c r="H19" s="66"/>
      <c r="I19" s="68" t="s">
        <v>85</v>
      </c>
      <c r="J19" s="66"/>
      <c r="K19" s="66" t="s">
        <v>84</v>
      </c>
      <c r="L19" s="66"/>
      <c r="M19" s="66"/>
      <c r="N19" s="57"/>
      <c r="O19" s="57"/>
      <c r="P19" s="57"/>
      <c r="Q19" s="57"/>
      <c r="R19" s="67" t="s">
        <v>83</v>
      </c>
      <c r="S19" s="66"/>
      <c r="T19" s="66" t="s">
        <v>84</v>
      </c>
      <c r="U19" s="66"/>
      <c r="V19" s="68" t="s">
        <v>85</v>
      </c>
      <c r="W19" s="66"/>
      <c r="X19" s="66" t="s">
        <v>84</v>
      </c>
      <c r="Y19" s="66"/>
      <c r="Z19" s="57"/>
      <c r="AA19" s="57"/>
      <c r="AB19" s="57"/>
      <c r="AC19" s="57"/>
      <c r="AD19" s="67" t="s">
        <v>83</v>
      </c>
      <c r="AE19" s="66"/>
      <c r="AF19" s="66" t="s">
        <v>84</v>
      </c>
      <c r="AG19" s="66"/>
      <c r="AH19" s="68" t="s">
        <v>85</v>
      </c>
      <c r="AI19" s="66"/>
      <c r="AJ19" s="66" t="s">
        <v>84</v>
      </c>
    </row>
    <row r="20" spans="1:36" ht="12.75">
      <c r="A20" s="19"/>
      <c r="B20" s="19"/>
      <c r="C20" s="19"/>
      <c r="D20" s="19"/>
      <c r="E20" s="20"/>
      <c r="F20" s="19"/>
      <c r="G20" s="19"/>
      <c r="H20" s="19"/>
      <c r="I20" s="21"/>
      <c r="J20" s="19"/>
      <c r="K20" s="19"/>
      <c r="L20" s="19"/>
      <c r="M20" s="19"/>
      <c r="N20" s="19"/>
      <c r="O20" s="19"/>
      <c r="P20" s="19"/>
      <c r="Q20" s="19"/>
      <c r="R20" s="20"/>
      <c r="S20" s="19"/>
      <c r="T20" s="19"/>
      <c r="U20" s="19"/>
      <c r="V20" s="21"/>
      <c r="W20" s="19"/>
      <c r="X20" s="19"/>
      <c r="Y20" s="19"/>
      <c r="Z20" s="19"/>
      <c r="AA20" s="19"/>
      <c r="AB20" s="19"/>
      <c r="AC20" s="19"/>
      <c r="AD20" s="20"/>
      <c r="AE20" s="19"/>
      <c r="AF20" s="19"/>
      <c r="AG20" s="19"/>
      <c r="AH20" s="21"/>
      <c r="AI20" s="19"/>
      <c r="AJ20" s="19"/>
    </row>
    <row r="21" spans="1:36" ht="12.75">
      <c r="A21" s="19" t="s">
        <v>35</v>
      </c>
      <c r="B21" s="19"/>
      <c r="C21" s="19"/>
      <c r="D21" s="19"/>
      <c r="E21" s="20">
        <v>187</v>
      </c>
      <c r="F21" s="19"/>
      <c r="G21" s="22">
        <v>0.13300142247510668</v>
      </c>
      <c r="H21" s="19"/>
      <c r="I21" s="21">
        <v>210194.08</v>
      </c>
      <c r="J21" s="19"/>
      <c r="K21" s="22">
        <v>0.02406127089710834</v>
      </c>
      <c r="L21" s="22"/>
      <c r="M21" s="19"/>
      <c r="N21" s="19" t="s">
        <v>35</v>
      </c>
      <c r="O21" s="19"/>
      <c r="P21" s="19"/>
      <c r="Q21" s="19"/>
      <c r="R21" s="20">
        <v>1980</v>
      </c>
      <c r="S21" s="19"/>
      <c r="T21" s="22">
        <v>0.06482451545311682</v>
      </c>
      <c r="U21" s="19"/>
      <c r="V21" s="21">
        <v>1368090.25</v>
      </c>
      <c r="W21" s="19"/>
      <c r="X21" s="22">
        <f>+V21/$V$31</f>
        <v>0.007019541817876376</v>
      </c>
      <c r="Y21" s="19"/>
      <c r="Z21" s="19" t="s">
        <v>35</v>
      </c>
      <c r="AA21" s="19"/>
      <c r="AB21" s="19"/>
      <c r="AC21" s="19"/>
      <c r="AD21" s="20">
        <v>1815</v>
      </c>
      <c r="AE21" s="19"/>
      <c r="AF21" s="22">
        <v>0.061890472618154536</v>
      </c>
      <c r="AG21" s="19"/>
      <c r="AH21" s="21">
        <v>1176402.94</v>
      </c>
      <c r="AI21" s="19"/>
      <c r="AJ21" s="22">
        <v>0.006444574767072242</v>
      </c>
    </row>
    <row r="22" spans="1:36" ht="12.75">
      <c r="A22" s="19" t="s">
        <v>36</v>
      </c>
      <c r="B22" s="19"/>
      <c r="C22" s="19"/>
      <c r="D22" s="19"/>
      <c r="E22" s="20">
        <v>323</v>
      </c>
      <c r="F22" s="19"/>
      <c r="G22" s="22">
        <v>0.22972972972972974</v>
      </c>
      <c r="H22" s="19"/>
      <c r="I22" s="21">
        <v>841852.09</v>
      </c>
      <c r="J22" s="19"/>
      <c r="K22" s="22">
        <v>0.09636822879496337</v>
      </c>
      <c r="L22" s="22"/>
      <c r="M22" s="19"/>
      <c r="N22" s="19" t="s">
        <v>36</v>
      </c>
      <c r="O22" s="19"/>
      <c r="P22" s="19"/>
      <c r="Q22" s="19"/>
      <c r="R22" s="20">
        <v>4832</v>
      </c>
      <c r="S22" s="19"/>
      <c r="T22" s="22">
        <v>0.15819800942902043</v>
      </c>
      <c r="U22" s="19"/>
      <c r="V22" s="21">
        <v>9693848.399999995</v>
      </c>
      <c r="W22" s="19"/>
      <c r="X22" s="22">
        <f aca="true" t="shared" si="0" ref="X22:X29">+V22/$V$31</f>
        <v>0.04973822028185199</v>
      </c>
      <c r="Y22" s="19"/>
      <c r="Z22" s="19" t="s">
        <v>36</v>
      </c>
      <c r="AA22" s="19"/>
      <c r="AB22" s="19"/>
      <c r="AC22" s="19"/>
      <c r="AD22" s="20">
        <v>4594</v>
      </c>
      <c r="AE22" s="19"/>
      <c r="AF22" s="22">
        <v>0.15665279956352723</v>
      </c>
      <c r="AG22" s="19"/>
      <c r="AH22" s="21">
        <v>8673560.14999997</v>
      </c>
      <c r="AI22" s="19"/>
      <c r="AJ22" s="22">
        <v>0.047515528041245134</v>
      </c>
    </row>
    <row r="23" spans="1:36" ht="12.75">
      <c r="A23" s="19" t="s">
        <v>37</v>
      </c>
      <c r="B23" s="19"/>
      <c r="C23" s="19"/>
      <c r="D23" s="19"/>
      <c r="E23" s="20">
        <v>241</v>
      </c>
      <c r="F23" s="19"/>
      <c r="G23" s="22">
        <v>0.17140825035561877</v>
      </c>
      <c r="H23" s="19"/>
      <c r="I23" s="21">
        <v>1097785.74</v>
      </c>
      <c r="J23" s="19"/>
      <c r="K23" s="22">
        <v>0.12566538542437802</v>
      </c>
      <c r="L23" s="22"/>
      <c r="M23" s="19"/>
      <c r="N23" s="19" t="s">
        <v>37</v>
      </c>
      <c r="O23" s="19"/>
      <c r="P23" s="19"/>
      <c r="Q23" s="19"/>
      <c r="R23" s="20">
        <v>6351</v>
      </c>
      <c r="S23" s="19"/>
      <c r="T23" s="22">
        <v>0.20792954426401258</v>
      </c>
      <c r="U23" s="19"/>
      <c r="V23" s="21">
        <v>24079535.259999957</v>
      </c>
      <c r="W23" s="19"/>
      <c r="X23" s="22">
        <f t="shared" si="0"/>
        <v>0.12354982042493058</v>
      </c>
      <c r="Y23" s="19"/>
      <c r="Z23" s="19" t="s">
        <v>37</v>
      </c>
      <c r="AA23" s="19"/>
      <c r="AB23" s="19"/>
      <c r="AC23" s="19"/>
      <c r="AD23" s="20">
        <v>6096</v>
      </c>
      <c r="AE23" s="19"/>
      <c r="AF23" s="22">
        <v>0.2078701493555207</v>
      </c>
      <c r="AG23" s="19"/>
      <c r="AH23" s="21">
        <v>22114969.030000057</v>
      </c>
      <c r="AI23" s="19"/>
      <c r="AJ23" s="22">
        <v>0.12115030194103618</v>
      </c>
    </row>
    <row r="24" spans="1:36" ht="12.75">
      <c r="A24" s="19" t="s">
        <v>38</v>
      </c>
      <c r="B24" s="19"/>
      <c r="C24" s="19"/>
      <c r="D24" s="19"/>
      <c r="E24" s="20">
        <v>224</v>
      </c>
      <c r="F24" s="19"/>
      <c r="G24" s="22">
        <v>0.1593172119487909</v>
      </c>
      <c r="H24" s="19"/>
      <c r="I24" s="21">
        <v>1409856.49</v>
      </c>
      <c r="J24" s="19"/>
      <c r="K24" s="22">
        <v>0.16138865058395707</v>
      </c>
      <c r="L24" s="22"/>
      <c r="M24" s="19"/>
      <c r="N24" s="19" t="s">
        <v>38</v>
      </c>
      <c r="O24" s="19"/>
      <c r="P24" s="19"/>
      <c r="Q24" s="19"/>
      <c r="R24" s="20">
        <v>4864</v>
      </c>
      <c r="S24" s="19"/>
      <c r="T24" s="22">
        <v>0.15924567836563647</v>
      </c>
      <c r="U24" s="19"/>
      <c r="V24" s="21">
        <v>27414387.12999999</v>
      </c>
      <c r="W24" s="19"/>
      <c r="X24" s="22">
        <f t="shared" si="0"/>
        <v>0.14066063029868597</v>
      </c>
      <c r="Y24" s="19"/>
      <c r="Z24" s="19" t="s">
        <v>38</v>
      </c>
      <c r="AA24" s="19"/>
      <c r="AB24" s="19"/>
      <c r="AC24" s="19"/>
      <c r="AD24" s="20">
        <v>4677</v>
      </c>
      <c r="AE24" s="19"/>
      <c r="AF24" s="22">
        <v>0.15948305258132714</v>
      </c>
      <c r="AG24" s="19"/>
      <c r="AH24" s="21">
        <v>25585197.499999925</v>
      </c>
      <c r="AI24" s="19"/>
      <c r="AJ24" s="22">
        <v>0.1401609198792546</v>
      </c>
    </row>
    <row r="25" spans="1:36" ht="12.75">
      <c r="A25" s="19" t="s">
        <v>39</v>
      </c>
      <c r="B25" s="19"/>
      <c r="C25" s="19"/>
      <c r="D25" s="19"/>
      <c r="E25" s="20">
        <v>109</v>
      </c>
      <c r="F25" s="19"/>
      <c r="G25" s="22">
        <v>0.077524893314367</v>
      </c>
      <c r="H25" s="19"/>
      <c r="I25" s="21">
        <v>911036.33</v>
      </c>
      <c r="J25" s="19"/>
      <c r="K25" s="22">
        <v>0.10428786544910015</v>
      </c>
      <c r="L25" s="22"/>
      <c r="M25" s="19"/>
      <c r="N25" s="19" t="s">
        <v>39</v>
      </c>
      <c r="O25" s="19"/>
      <c r="P25" s="19"/>
      <c r="Q25" s="19"/>
      <c r="R25" s="20">
        <v>2625</v>
      </c>
      <c r="S25" s="19"/>
      <c r="T25" s="22">
        <v>0.08594159245678365</v>
      </c>
      <c r="U25" s="19"/>
      <c r="V25" s="21">
        <v>18776229.05000003</v>
      </c>
      <c r="W25" s="19"/>
      <c r="X25" s="22">
        <f t="shared" si="0"/>
        <v>0.09633905730890227</v>
      </c>
      <c r="Y25" s="19"/>
      <c r="Z25" s="19" t="s">
        <v>39</v>
      </c>
      <c r="AA25" s="19"/>
      <c r="AB25" s="19"/>
      <c r="AC25" s="19"/>
      <c r="AD25" s="20">
        <v>2505</v>
      </c>
      <c r="AE25" s="19"/>
      <c r="AF25" s="22">
        <v>0.08541908204323809</v>
      </c>
      <c r="AG25" s="19"/>
      <c r="AH25" s="21">
        <v>17234019.90000004</v>
      </c>
      <c r="AI25" s="19"/>
      <c r="AJ25" s="22">
        <v>0.09441146906923005</v>
      </c>
    </row>
    <row r="26" spans="1:36" ht="12.75">
      <c r="A26" s="19" t="s">
        <v>40</v>
      </c>
      <c r="B26" s="19"/>
      <c r="C26" s="19"/>
      <c r="D26" s="19"/>
      <c r="E26" s="20">
        <v>93</v>
      </c>
      <c r="F26" s="19"/>
      <c r="G26" s="22">
        <v>0.06614509246088193</v>
      </c>
      <c r="H26" s="19"/>
      <c r="I26" s="21">
        <v>937021.66</v>
      </c>
      <c r="J26" s="19"/>
      <c r="K26" s="22">
        <v>0.10726245000676589</v>
      </c>
      <c r="L26" s="22"/>
      <c r="M26" s="19"/>
      <c r="N26" s="19" t="s">
        <v>40</v>
      </c>
      <c r="O26" s="19"/>
      <c r="P26" s="19"/>
      <c r="Q26" s="19"/>
      <c r="R26" s="20">
        <v>2888</v>
      </c>
      <c r="S26" s="19"/>
      <c r="T26" s="22">
        <v>0.09455212152959665</v>
      </c>
      <c r="U26" s="19"/>
      <c r="V26" s="21">
        <v>25018020.689999904</v>
      </c>
      <c r="W26" s="19"/>
      <c r="X26" s="22">
        <f t="shared" si="0"/>
        <v>0.12836510049973</v>
      </c>
      <c r="Y26" s="19"/>
      <c r="Z26" s="19" t="s">
        <v>40</v>
      </c>
      <c r="AA26" s="19"/>
      <c r="AB26" s="19"/>
      <c r="AC26" s="19"/>
      <c r="AD26" s="20">
        <v>2780</v>
      </c>
      <c r="AE26" s="19"/>
      <c r="AF26" s="22">
        <v>0.0947964263793221</v>
      </c>
      <c r="AG26" s="19"/>
      <c r="AH26" s="21">
        <v>23277480.250000045</v>
      </c>
      <c r="AI26" s="19"/>
      <c r="AJ26" s="22">
        <v>0.1275187750382305</v>
      </c>
    </row>
    <row r="27" spans="1:36" ht="12.75">
      <c r="A27" s="19" t="s">
        <v>41</v>
      </c>
      <c r="B27" s="19"/>
      <c r="C27" s="19"/>
      <c r="D27" s="19"/>
      <c r="E27" s="20">
        <v>84</v>
      </c>
      <c r="F27" s="19"/>
      <c r="G27" s="22">
        <v>0.059743954480796585</v>
      </c>
      <c r="H27" s="19"/>
      <c r="I27" s="21">
        <v>1028285.54</v>
      </c>
      <c r="J27" s="19"/>
      <c r="K27" s="22">
        <v>0.1177095802960737</v>
      </c>
      <c r="L27" s="22"/>
      <c r="M27" s="19"/>
      <c r="N27" s="19" t="s">
        <v>41</v>
      </c>
      <c r="O27" s="19"/>
      <c r="P27" s="19"/>
      <c r="Q27" s="19"/>
      <c r="R27" s="20">
        <v>1767</v>
      </c>
      <c r="S27" s="19"/>
      <c r="T27" s="22">
        <v>0.05785096909376637</v>
      </c>
      <c r="U27" s="19"/>
      <c r="V27" s="21">
        <v>18801988.84000001</v>
      </c>
      <c r="W27" s="19"/>
      <c r="X27" s="22">
        <f t="shared" si="0"/>
        <v>0.09647122835765039</v>
      </c>
      <c r="Y27" s="19"/>
      <c r="Z27" s="19" t="s">
        <v>41</v>
      </c>
      <c r="AA27" s="19"/>
      <c r="AB27" s="19"/>
      <c r="AC27" s="19"/>
      <c r="AD27" s="20">
        <v>1719</v>
      </c>
      <c r="AE27" s="19"/>
      <c r="AF27" s="22">
        <v>0.05861692695901248</v>
      </c>
      <c r="AG27" s="19"/>
      <c r="AH27" s="21">
        <v>17697537.44</v>
      </c>
      <c r="AI27" s="19"/>
      <c r="AJ27" s="22">
        <v>0.09695071250428909</v>
      </c>
    </row>
    <row r="28" spans="1:36" ht="12.75">
      <c r="A28" s="19" t="s">
        <v>42</v>
      </c>
      <c r="B28" s="19"/>
      <c r="C28" s="19"/>
      <c r="D28" s="19"/>
      <c r="E28" s="20">
        <v>101</v>
      </c>
      <c r="F28" s="19"/>
      <c r="G28" s="22">
        <v>0.07183499288762446</v>
      </c>
      <c r="H28" s="19"/>
      <c r="I28" s="21">
        <v>1503329.87</v>
      </c>
      <c r="J28" s="19"/>
      <c r="K28" s="22">
        <v>0.17208870606529297</v>
      </c>
      <c r="L28" s="22"/>
      <c r="M28" s="19"/>
      <c r="N28" s="19" t="s">
        <v>42</v>
      </c>
      <c r="O28" s="19"/>
      <c r="P28" s="19"/>
      <c r="Q28" s="19"/>
      <c r="R28" s="20">
        <v>4755</v>
      </c>
      <c r="S28" s="19"/>
      <c r="T28" s="22">
        <v>0.15567705605028812</v>
      </c>
      <c r="U28" s="19"/>
      <c r="V28" s="21">
        <f>61755421.33-18922.42</f>
        <v>61736498.91</v>
      </c>
      <c r="W28" s="19"/>
      <c r="X28" s="22">
        <f t="shared" si="0"/>
        <v>0.3167641431462758</v>
      </c>
      <c r="Y28" s="19"/>
      <c r="Z28" s="19" t="s">
        <v>42</v>
      </c>
      <c r="AA28" s="19"/>
      <c r="AB28" s="19"/>
      <c r="AC28" s="19"/>
      <c r="AD28" s="20">
        <v>4661</v>
      </c>
      <c r="AE28" s="19"/>
      <c r="AF28" s="22">
        <v>0.1589374616381368</v>
      </c>
      <c r="AG28" s="19"/>
      <c r="AH28" s="21">
        <v>58997726.01000011</v>
      </c>
      <c r="AI28" s="19"/>
      <c r="AJ28" s="22">
        <v>0.32320155231734543</v>
      </c>
    </row>
    <row r="29" spans="1:36" ht="12.75">
      <c r="A29" s="19" t="s">
        <v>43</v>
      </c>
      <c r="B29" s="19"/>
      <c r="C29" s="19"/>
      <c r="D29" s="19"/>
      <c r="E29" s="20">
        <v>44</v>
      </c>
      <c r="F29" s="19"/>
      <c r="G29" s="22">
        <v>0.031294452347083924</v>
      </c>
      <c r="H29" s="19"/>
      <c r="I29" s="21">
        <v>796422.81</v>
      </c>
      <c r="J29" s="19"/>
      <c r="K29" s="22">
        <v>0.09116786248236035</v>
      </c>
      <c r="L29" s="22"/>
      <c r="M29" s="19"/>
      <c r="N29" s="19" t="s">
        <v>43</v>
      </c>
      <c r="O29" s="19"/>
      <c r="P29" s="19"/>
      <c r="Q29" s="19"/>
      <c r="R29" s="20">
        <v>482</v>
      </c>
      <c r="S29" s="19"/>
      <c r="T29" s="22">
        <v>0.01578051335777894</v>
      </c>
      <c r="U29" s="19"/>
      <c r="V29" s="21">
        <v>8008773.050000007</v>
      </c>
      <c r="W29" s="19"/>
      <c r="X29" s="22">
        <f t="shared" si="0"/>
        <v>0.0410922578640966</v>
      </c>
      <c r="Y29" s="19"/>
      <c r="Z29" s="19" t="s">
        <v>43</v>
      </c>
      <c r="AA29" s="19"/>
      <c r="AB29" s="19"/>
      <c r="AC29" s="19"/>
      <c r="AD29" s="20">
        <v>479</v>
      </c>
      <c r="AE29" s="19"/>
      <c r="AF29" s="22">
        <v>0.016333628861760895</v>
      </c>
      <c r="AG29" s="19"/>
      <c r="AH29" s="21">
        <v>7784699.130000003</v>
      </c>
      <c r="AI29" s="19"/>
      <c r="AJ29" s="22">
        <v>0.04264616644229682</v>
      </c>
    </row>
    <row r="30" spans="1:36" ht="12.75">
      <c r="A30" s="19"/>
      <c r="B30" s="19"/>
      <c r="C30" s="19"/>
      <c r="D30" s="19"/>
      <c r="E30" s="20"/>
      <c r="F30" s="19"/>
      <c r="G30" s="19"/>
      <c r="H30" s="19"/>
      <c r="I30" s="21"/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21"/>
      <c r="W30" s="19"/>
      <c r="X30" s="22"/>
      <c r="Y30" s="19"/>
      <c r="Z30" s="19"/>
      <c r="AA30" s="19"/>
      <c r="AB30" s="19"/>
      <c r="AC30" s="19"/>
      <c r="AD30" s="20"/>
      <c r="AE30" s="19"/>
      <c r="AF30" s="19"/>
      <c r="AG30" s="19"/>
      <c r="AH30" s="21"/>
      <c r="AI30" s="19"/>
      <c r="AJ30" s="22"/>
    </row>
    <row r="31" spans="1:36" s="16" customFormat="1" ht="13.5" thickBot="1">
      <c r="A31" s="47"/>
      <c r="B31" s="47"/>
      <c r="C31" s="47"/>
      <c r="D31" s="47"/>
      <c r="E31" s="77">
        <v>1406</v>
      </c>
      <c r="F31" s="47"/>
      <c r="G31" s="47"/>
      <c r="H31" s="47"/>
      <c r="I31" s="78">
        <v>8735784.610000001</v>
      </c>
      <c r="J31" s="47"/>
      <c r="K31" s="47"/>
      <c r="L31" s="47"/>
      <c r="M31" s="47"/>
      <c r="N31" s="57"/>
      <c r="O31" s="57"/>
      <c r="P31" s="57"/>
      <c r="Q31" s="57"/>
      <c r="R31" s="88">
        <v>30544</v>
      </c>
      <c r="S31" s="89"/>
      <c r="T31" s="89"/>
      <c r="U31" s="89"/>
      <c r="V31" s="90">
        <f>SUM(V21:V30)</f>
        <v>194897371.5799999</v>
      </c>
      <c r="W31" s="57"/>
      <c r="X31" s="22"/>
      <c r="Y31" s="47"/>
      <c r="Z31" s="57"/>
      <c r="AA31" s="57"/>
      <c r="AB31" s="57"/>
      <c r="AC31" s="57"/>
      <c r="AD31" s="88">
        <v>29326</v>
      </c>
      <c r="AE31" s="89"/>
      <c r="AF31" s="89"/>
      <c r="AG31" s="89"/>
      <c r="AH31" s="90">
        <v>182541592.35000014</v>
      </c>
      <c r="AI31" s="57"/>
      <c r="AJ31" s="22"/>
    </row>
    <row r="32" spans="1:36" ht="13.5" thickTop="1">
      <c r="A32" s="19"/>
      <c r="B32" s="19"/>
      <c r="C32" s="19"/>
      <c r="D32" s="19"/>
      <c r="E32" s="20"/>
      <c r="F32" s="19"/>
      <c r="G32" s="19"/>
      <c r="H32" s="19"/>
      <c r="I32" s="21"/>
      <c r="J32" s="19"/>
      <c r="K32" s="19"/>
      <c r="L32" s="19"/>
      <c r="M32" s="19"/>
      <c r="N32" s="19"/>
      <c r="O32" s="19"/>
      <c r="P32" s="19"/>
      <c r="Q32" s="19"/>
      <c r="R32" s="20"/>
      <c r="S32" s="19"/>
      <c r="T32" s="19"/>
      <c r="U32" s="19"/>
      <c r="V32" s="21"/>
      <c r="W32" s="19"/>
      <c r="X32" s="22"/>
      <c r="Y32" s="19"/>
      <c r="Z32" s="19"/>
      <c r="AA32" s="19"/>
      <c r="AB32" s="19"/>
      <c r="AC32" s="19"/>
      <c r="AD32" s="20"/>
      <c r="AE32" s="19"/>
      <c r="AF32" s="19"/>
      <c r="AG32" s="19"/>
      <c r="AH32" s="21"/>
      <c r="AI32" s="19"/>
      <c r="AJ32" s="22"/>
    </row>
    <row r="33" spans="1:36" ht="12.75">
      <c r="A33" s="19"/>
      <c r="B33" s="19"/>
      <c r="C33" s="19"/>
      <c r="D33" s="19"/>
      <c r="E33" s="20"/>
      <c r="F33" s="19"/>
      <c r="G33" s="19"/>
      <c r="H33" s="19"/>
      <c r="I33" s="21"/>
      <c r="J33" s="19"/>
      <c r="K33" s="19"/>
      <c r="L33" s="19"/>
      <c r="M33" s="19"/>
      <c r="N33" s="19"/>
      <c r="O33" s="19"/>
      <c r="P33" s="19"/>
      <c r="Q33" s="19"/>
      <c r="R33" s="20"/>
      <c r="S33" s="19"/>
      <c r="T33" s="19"/>
      <c r="U33" s="19"/>
      <c r="V33" s="21"/>
      <c r="W33" s="19"/>
      <c r="X33" s="22"/>
      <c r="Y33" s="19"/>
      <c r="Z33" s="19"/>
      <c r="AA33" s="19"/>
      <c r="AB33" s="19"/>
      <c r="AC33" s="19"/>
      <c r="AD33" s="20"/>
      <c r="AE33" s="19"/>
      <c r="AF33" s="19"/>
      <c r="AG33" s="19"/>
      <c r="AH33" s="21"/>
      <c r="AI33" s="19"/>
      <c r="AJ33" s="22"/>
    </row>
    <row r="34" spans="1:36" s="15" customFormat="1" ht="12.75">
      <c r="A34" s="55" t="s">
        <v>86</v>
      </c>
      <c r="B34" s="46"/>
      <c r="C34" s="46"/>
      <c r="D34" s="46"/>
      <c r="E34" s="48"/>
      <c r="F34" s="46"/>
      <c r="G34" s="46"/>
      <c r="H34" s="46"/>
      <c r="I34" s="49"/>
      <c r="J34" s="46"/>
      <c r="K34" s="46"/>
      <c r="L34" s="46"/>
      <c r="M34" s="46"/>
      <c r="N34" s="55" t="s">
        <v>86</v>
      </c>
      <c r="O34" s="19"/>
      <c r="P34" s="19"/>
      <c r="Q34" s="19"/>
      <c r="R34" s="20"/>
      <c r="S34" s="19"/>
      <c r="T34" s="19"/>
      <c r="U34" s="19"/>
      <c r="V34" s="21"/>
      <c r="W34" s="19"/>
      <c r="X34" s="22"/>
      <c r="Y34" s="46"/>
      <c r="Z34" s="55" t="s">
        <v>86</v>
      </c>
      <c r="AA34" s="19"/>
      <c r="AB34" s="19"/>
      <c r="AC34" s="19"/>
      <c r="AD34" s="20"/>
      <c r="AE34" s="19"/>
      <c r="AF34" s="19"/>
      <c r="AG34" s="19"/>
      <c r="AH34" s="21"/>
      <c r="AI34" s="19"/>
      <c r="AJ34" s="22"/>
    </row>
    <row r="35" spans="1:36" ht="12.75">
      <c r="A35" s="19"/>
      <c r="B35" s="19"/>
      <c r="C35" s="19"/>
      <c r="D35" s="19"/>
      <c r="E35" s="20"/>
      <c r="F35" s="19"/>
      <c r="G35" s="19"/>
      <c r="H35" s="19"/>
      <c r="I35" s="21"/>
      <c r="J35" s="19"/>
      <c r="K35" s="19"/>
      <c r="L35" s="19"/>
      <c r="M35" s="19"/>
      <c r="N35" s="19"/>
      <c r="O35" s="19"/>
      <c r="P35" s="19"/>
      <c r="Q35" s="19"/>
      <c r="R35" s="20"/>
      <c r="S35" s="19"/>
      <c r="T35" s="19"/>
      <c r="U35" s="19"/>
      <c r="V35" s="21"/>
      <c r="W35" s="19"/>
      <c r="X35" s="22"/>
      <c r="Y35" s="19"/>
      <c r="Z35" s="19"/>
      <c r="AA35" s="19"/>
      <c r="AB35" s="19"/>
      <c r="AC35" s="19"/>
      <c r="AD35" s="20"/>
      <c r="AE35" s="19"/>
      <c r="AF35" s="19"/>
      <c r="AG35" s="19"/>
      <c r="AH35" s="21"/>
      <c r="AI35" s="19"/>
      <c r="AJ35" s="22"/>
    </row>
    <row r="36" spans="1:36" s="17" customFormat="1" ht="12.75">
      <c r="A36" s="66"/>
      <c r="B36" s="66"/>
      <c r="C36" s="66"/>
      <c r="D36" s="66"/>
      <c r="E36" s="67" t="s">
        <v>83</v>
      </c>
      <c r="F36" s="66"/>
      <c r="G36" s="66" t="s">
        <v>84</v>
      </c>
      <c r="H36" s="66"/>
      <c r="I36" s="68" t="s">
        <v>85</v>
      </c>
      <c r="J36" s="66"/>
      <c r="K36" s="66" t="s">
        <v>84</v>
      </c>
      <c r="L36" s="66"/>
      <c r="M36" s="69"/>
      <c r="N36" s="57"/>
      <c r="O36" s="57"/>
      <c r="P36" s="57"/>
      <c r="Q36" s="57"/>
      <c r="R36" s="67" t="s">
        <v>83</v>
      </c>
      <c r="S36" s="66"/>
      <c r="T36" s="66" t="s">
        <v>84</v>
      </c>
      <c r="U36" s="66"/>
      <c r="V36" s="68" t="s">
        <v>85</v>
      </c>
      <c r="W36" s="66"/>
      <c r="X36" s="66" t="s">
        <v>84</v>
      </c>
      <c r="Y36" s="69"/>
      <c r="Z36" s="57"/>
      <c r="AA36" s="57"/>
      <c r="AB36" s="57"/>
      <c r="AC36" s="57"/>
      <c r="AD36" s="67" t="s">
        <v>83</v>
      </c>
      <c r="AE36" s="66"/>
      <c r="AF36" s="66" t="s">
        <v>84</v>
      </c>
      <c r="AG36" s="66"/>
      <c r="AH36" s="68" t="s">
        <v>85</v>
      </c>
      <c r="AI36" s="66"/>
      <c r="AJ36" s="66" t="s">
        <v>84</v>
      </c>
    </row>
    <row r="37" spans="1:36" ht="12.75">
      <c r="A37" s="19"/>
      <c r="B37" s="19"/>
      <c r="C37" s="19"/>
      <c r="D37" s="19"/>
      <c r="E37" s="20"/>
      <c r="F37" s="19"/>
      <c r="G37" s="19"/>
      <c r="H37" s="19"/>
      <c r="I37" s="21"/>
      <c r="J37" s="19"/>
      <c r="K37" s="19"/>
      <c r="L37" s="19"/>
      <c r="M37" s="19"/>
      <c r="N37" s="19"/>
      <c r="O37" s="19"/>
      <c r="P37" s="19"/>
      <c r="Q37" s="19"/>
      <c r="R37" s="20"/>
      <c r="S37" s="19"/>
      <c r="T37" s="19"/>
      <c r="U37" s="19"/>
      <c r="V37" s="21"/>
      <c r="W37" s="19"/>
      <c r="X37" s="22"/>
      <c r="Y37" s="19"/>
      <c r="Z37" s="19"/>
      <c r="AA37" s="19"/>
      <c r="AB37" s="19"/>
      <c r="AC37" s="19"/>
      <c r="AD37" s="20"/>
      <c r="AE37" s="19"/>
      <c r="AF37" s="19"/>
      <c r="AG37" s="19"/>
      <c r="AH37" s="21"/>
      <c r="AI37" s="19"/>
      <c r="AJ37" s="22"/>
    </row>
    <row r="38" spans="1:36" ht="12.75">
      <c r="A38" s="19" t="s">
        <v>35</v>
      </c>
      <c r="B38" s="19"/>
      <c r="C38" s="19"/>
      <c r="D38" s="19"/>
      <c r="E38" s="20">
        <v>254</v>
      </c>
      <c r="F38" s="19"/>
      <c r="G38" s="22">
        <v>0.1806543385490754</v>
      </c>
      <c r="H38" s="19"/>
      <c r="I38" s="21">
        <v>330648.93</v>
      </c>
      <c r="J38" s="19"/>
      <c r="K38" s="22">
        <v>0.03784994076221849</v>
      </c>
      <c r="L38" s="22"/>
      <c r="M38" s="19"/>
      <c r="N38" s="19" t="s">
        <v>35</v>
      </c>
      <c r="O38" s="19"/>
      <c r="P38" s="19"/>
      <c r="Q38" s="19"/>
      <c r="R38" s="20">
        <v>5804</v>
      </c>
      <c r="S38" s="19"/>
      <c r="T38" s="22">
        <v>0.19002095337873232</v>
      </c>
      <c r="U38" s="19"/>
      <c r="V38" s="21">
        <v>4192854.8900000146</v>
      </c>
      <c r="W38" s="19"/>
      <c r="X38" s="22">
        <f>+V38/$V$48</f>
        <v>0.02151314230668815</v>
      </c>
      <c r="Y38" s="19"/>
      <c r="Z38" s="19" t="s">
        <v>35</v>
      </c>
      <c r="AA38" s="19"/>
      <c r="AB38" s="19"/>
      <c r="AC38" s="19"/>
      <c r="AD38" s="20">
        <v>6054</v>
      </c>
      <c r="AE38" s="19"/>
      <c r="AF38" s="22">
        <v>0.20643797312964604</v>
      </c>
      <c r="AG38" s="19"/>
      <c r="AH38" s="21">
        <v>4143614.4200000083</v>
      </c>
      <c r="AI38" s="19"/>
      <c r="AJ38" s="22">
        <v>0.02269956324285351</v>
      </c>
    </row>
    <row r="39" spans="1:36" ht="12.75">
      <c r="A39" s="19" t="s">
        <v>36</v>
      </c>
      <c r="B39" s="19"/>
      <c r="C39" s="19"/>
      <c r="D39" s="19"/>
      <c r="E39" s="20">
        <v>314</v>
      </c>
      <c r="F39" s="19"/>
      <c r="G39" s="22">
        <v>0.2233285917496444</v>
      </c>
      <c r="H39" s="19"/>
      <c r="I39" s="21">
        <v>938234.65</v>
      </c>
      <c r="J39" s="19"/>
      <c r="K39" s="22">
        <v>0.10740130301816128</v>
      </c>
      <c r="L39" s="22"/>
      <c r="M39" s="19"/>
      <c r="N39" s="19" t="s">
        <v>36</v>
      </c>
      <c r="O39" s="19"/>
      <c r="P39" s="19"/>
      <c r="Q39" s="19"/>
      <c r="R39" s="20">
        <v>5050</v>
      </c>
      <c r="S39" s="19"/>
      <c r="T39" s="22">
        <v>0.16533525405971713</v>
      </c>
      <c r="U39" s="19"/>
      <c r="V39" s="21">
        <v>15307375.980000006</v>
      </c>
      <c r="W39" s="19"/>
      <c r="X39" s="22">
        <f aca="true" t="shared" si="1" ref="X39:X46">+V39/$V$48</f>
        <v>0.07854069993815574</v>
      </c>
      <c r="Y39" s="19"/>
      <c r="Z39" s="19" t="s">
        <v>36</v>
      </c>
      <c r="AA39" s="19"/>
      <c r="AB39" s="19"/>
      <c r="AC39" s="19"/>
      <c r="AD39" s="20">
        <v>4782</v>
      </c>
      <c r="AE39" s="19"/>
      <c r="AF39" s="22">
        <v>0.1630634931460138</v>
      </c>
      <c r="AG39" s="19"/>
      <c r="AH39" s="21">
        <v>14462648.300000014</v>
      </c>
      <c r="AI39" s="19"/>
      <c r="AJ39" s="22">
        <v>0.07922933132011774</v>
      </c>
    </row>
    <row r="40" spans="1:36" ht="12.75">
      <c r="A40" s="19" t="s">
        <v>37</v>
      </c>
      <c r="B40" s="19"/>
      <c r="C40" s="19"/>
      <c r="D40" s="19"/>
      <c r="E40" s="20">
        <v>268</v>
      </c>
      <c r="F40" s="19"/>
      <c r="G40" s="22">
        <v>0.1906116642958748</v>
      </c>
      <c r="H40" s="19"/>
      <c r="I40" s="21">
        <v>1369641.51</v>
      </c>
      <c r="J40" s="19"/>
      <c r="K40" s="22">
        <v>0.15678517398793784</v>
      </c>
      <c r="L40" s="22"/>
      <c r="M40" s="19"/>
      <c r="N40" s="19" t="s">
        <v>37</v>
      </c>
      <c r="O40" s="19"/>
      <c r="P40" s="19"/>
      <c r="Q40" s="19"/>
      <c r="R40" s="20">
        <v>5593</v>
      </c>
      <c r="S40" s="19"/>
      <c r="T40" s="22">
        <v>0.1831128863279204</v>
      </c>
      <c r="U40" s="19"/>
      <c r="V40" s="21">
        <v>27927734.300000023</v>
      </c>
      <c r="W40" s="19"/>
      <c r="X40" s="22">
        <f t="shared" si="1"/>
        <v>0.14329456612777605</v>
      </c>
      <c r="Y40" s="19"/>
      <c r="Z40" s="19" t="s">
        <v>37</v>
      </c>
      <c r="AA40" s="19"/>
      <c r="AB40" s="19"/>
      <c r="AC40" s="19"/>
      <c r="AD40" s="20">
        <v>5333</v>
      </c>
      <c r="AE40" s="19"/>
      <c r="AF40" s="22">
        <v>0.1818522812521312</v>
      </c>
      <c r="AG40" s="19"/>
      <c r="AH40" s="21">
        <v>26599721.69999993</v>
      </c>
      <c r="AI40" s="19"/>
      <c r="AJ40" s="22">
        <v>0.14571868995751058</v>
      </c>
    </row>
    <row r="41" spans="1:36" ht="12.75">
      <c r="A41" s="19" t="s">
        <v>38</v>
      </c>
      <c r="B41" s="19"/>
      <c r="C41" s="19"/>
      <c r="D41" s="19"/>
      <c r="E41" s="20">
        <v>169</v>
      </c>
      <c r="F41" s="19"/>
      <c r="G41" s="22">
        <v>0.12019914651493599</v>
      </c>
      <c r="H41" s="19"/>
      <c r="I41" s="21">
        <v>1144496.83</v>
      </c>
      <c r="J41" s="19"/>
      <c r="K41" s="22">
        <v>0.13101248268986337</v>
      </c>
      <c r="L41" s="22"/>
      <c r="M41" s="19"/>
      <c r="N41" s="19" t="s">
        <v>38</v>
      </c>
      <c r="O41" s="19"/>
      <c r="P41" s="19"/>
      <c r="Q41" s="19"/>
      <c r="R41" s="20">
        <v>4266</v>
      </c>
      <c r="S41" s="19"/>
      <c r="T41" s="22">
        <v>0.1396673651126244</v>
      </c>
      <c r="U41" s="19"/>
      <c r="V41" s="21">
        <v>29581896.039999977</v>
      </c>
      <c r="W41" s="19"/>
      <c r="X41" s="22">
        <f t="shared" si="1"/>
        <v>0.15178191373328734</v>
      </c>
      <c r="Y41" s="19"/>
      <c r="Z41" s="19" t="s">
        <v>38</v>
      </c>
      <c r="AA41" s="19"/>
      <c r="AB41" s="19"/>
      <c r="AC41" s="19"/>
      <c r="AD41" s="20">
        <v>3980</v>
      </c>
      <c r="AE41" s="19"/>
      <c r="AF41" s="22">
        <v>0.13571574711859782</v>
      </c>
      <c r="AG41" s="19"/>
      <c r="AH41" s="21">
        <v>27581074.03999997</v>
      </c>
      <c r="AI41" s="19"/>
      <c r="AJ41" s="22">
        <v>0.1510947378344154</v>
      </c>
    </row>
    <row r="42" spans="1:36" ht="12.75">
      <c r="A42" s="19" t="s">
        <v>39</v>
      </c>
      <c r="B42" s="19"/>
      <c r="C42" s="19"/>
      <c r="D42" s="19"/>
      <c r="E42" s="20">
        <v>115</v>
      </c>
      <c r="F42" s="19"/>
      <c r="G42" s="22">
        <v>0.08179231863442389</v>
      </c>
      <c r="H42" s="19"/>
      <c r="I42" s="21">
        <v>1028719.82</v>
      </c>
      <c r="J42" s="19"/>
      <c r="K42" s="22">
        <v>0.11775929306022574</v>
      </c>
      <c r="L42" s="22"/>
      <c r="M42" s="19"/>
      <c r="N42" s="19" t="s">
        <v>39</v>
      </c>
      <c r="O42" s="19"/>
      <c r="P42" s="19"/>
      <c r="Q42" s="19"/>
      <c r="R42" s="20">
        <v>2963</v>
      </c>
      <c r="S42" s="19"/>
      <c r="T42" s="22">
        <v>0.09700759559979047</v>
      </c>
      <c r="U42" s="19"/>
      <c r="V42" s="21">
        <v>26805596.51999993</v>
      </c>
      <c r="W42" s="19"/>
      <c r="X42" s="22">
        <f t="shared" si="1"/>
        <v>0.1375369831962921</v>
      </c>
      <c r="Y42" s="19"/>
      <c r="Z42" s="19" t="s">
        <v>39</v>
      </c>
      <c r="AA42" s="19"/>
      <c r="AB42" s="19"/>
      <c r="AC42" s="19"/>
      <c r="AD42" s="20">
        <v>2732</v>
      </c>
      <c r="AE42" s="19"/>
      <c r="AF42" s="22">
        <v>0.09315965354975107</v>
      </c>
      <c r="AG42" s="19"/>
      <c r="AH42" s="21">
        <v>24690428.870000012</v>
      </c>
      <c r="AI42" s="19"/>
      <c r="AJ42" s="22">
        <v>0.13525919519020796</v>
      </c>
    </row>
    <row r="43" spans="1:36" ht="12.75">
      <c r="A43" s="19" t="s">
        <v>40</v>
      </c>
      <c r="B43" s="19"/>
      <c r="C43" s="19"/>
      <c r="D43" s="19"/>
      <c r="E43" s="20">
        <v>88</v>
      </c>
      <c r="F43" s="19"/>
      <c r="G43" s="22">
        <v>0.06258890469416785</v>
      </c>
      <c r="H43" s="19"/>
      <c r="I43" s="21">
        <v>952889.28</v>
      </c>
      <c r="J43" s="19"/>
      <c r="K43" s="22">
        <v>0.1090788432339794</v>
      </c>
      <c r="L43" s="22"/>
      <c r="M43" s="19"/>
      <c r="N43" s="19" t="s">
        <v>40</v>
      </c>
      <c r="O43" s="19"/>
      <c r="P43" s="19"/>
      <c r="Q43" s="19"/>
      <c r="R43" s="20">
        <v>1827</v>
      </c>
      <c r="S43" s="19"/>
      <c r="T43" s="22">
        <v>0.05981534834992142</v>
      </c>
      <c r="U43" s="19"/>
      <c r="V43" s="21">
        <v>20196740.52</v>
      </c>
      <c r="W43" s="19"/>
      <c r="X43" s="22">
        <f t="shared" si="1"/>
        <v>0.10362756745392954</v>
      </c>
      <c r="Y43" s="19"/>
      <c r="Z43" s="19" t="s">
        <v>40</v>
      </c>
      <c r="AA43" s="19"/>
      <c r="AB43" s="19"/>
      <c r="AC43" s="19"/>
      <c r="AD43" s="20">
        <v>1730</v>
      </c>
      <c r="AE43" s="19"/>
      <c r="AF43" s="22">
        <v>0.05899202073245584</v>
      </c>
      <c r="AG43" s="19"/>
      <c r="AH43" s="21">
        <v>19118785.639999986</v>
      </c>
      <c r="AI43" s="19"/>
      <c r="AJ43" s="22">
        <v>0.10473659944492093</v>
      </c>
    </row>
    <row r="44" spans="1:36" ht="12.75">
      <c r="A44" s="19" t="s">
        <v>41</v>
      </c>
      <c r="B44" s="19"/>
      <c r="C44" s="19"/>
      <c r="D44" s="19"/>
      <c r="E44" s="20">
        <v>66</v>
      </c>
      <c r="F44" s="19"/>
      <c r="G44" s="22">
        <v>0.04694167852062589</v>
      </c>
      <c r="H44" s="19"/>
      <c r="I44" s="21">
        <v>846174.94</v>
      </c>
      <c r="J44" s="19"/>
      <c r="K44" s="22">
        <v>0.09686307272633177</v>
      </c>
      <c r="L44" s="22"/>
      <c r="M44" s="19"/>
      <c r="N44" s="19" t="s">
        <v>41</v>
      </c>
      <c r="O44" s="19"/>
      <c r="P44" s="19"/>
      <c r="Q44" s="19"/>
      <c r="R44" s="20">
        <v>2425</v>
      </c>
      <c r="S44" s="19"/>
      <c r="T44" s="22">
        <v>0.07939366160293347</v>
      </c>
      <c r="U44" s="19"/>
      <c r="V44" s="21">
        <v>31941591.049999967</v>
      </c>
      <c r="W44" s="19"/>
      <c r="X44" s="22">
        <f t="shared" si="1"/>
        <v>0.16388928588956808</v>
      </c>
      <c r="Y44" s="19"/>
      <c r="Z44" s="19" t="s">
        <v>41</v>
      </c>
      <c r="AA44" s="19"/>
      <c r="AB44" s="19"/>
      <c r="AC44" s="19"/>
      <c r="AD44" s="20">
        <v>2518</v>
      </c>
      <c r="AE44" s="19"/>
      <c r="AF44" s="22">
        <v>0.08586237468458023</v>
      </c>
      <c r="AG44" s="19"/>
      <c r="AH44" s="21">
        <v>33204459.669999976</v>
      </c>
      <c r="AI44" s="19"/>
      <c r="AJ44" s="22">
        <v>0.18190078897928486</v>
      </c>
    </row>
    <row r="45" spans="1:36" ht="12.75">
      <c r="A45" s="19" t="s">
        <v>42</v>
      </c>
      <c r="B45" s="19"/>
      <c r="C45" s="19"/>
      <c r="D45" s="19"/>
      <c r="E45" s="20">
        <v>90</v>
      </c>
      <c r="F45" s="19"/>
      <c r="G45" s="22">
        <v>0.06401137980085349</v>
      </c>
      <c r="H45" s="19"/>
      <c r="I45" s="21">
        <v>1359404.54</v>
      </c>
      <c r="J45" s="19"/>
      <c r="K45" s="22">
        <v>0.15561333076411552</v>
      </c>
      <c r="L45" s="22"/>
      <c r="M45" s="19"/>
      <c r="N45" s="19" t="s">
        <v>42</v>
      </c>
      <c r="O45" s="19"/>
      <c r="P45" s="19"/>
      <c r="Q45" s="19"/>
      <c r="R45" s="20">
        <v>2192</v>
      </c>
      <c r="S45" s="19"/>
      <c r="T45" s="22">
        <v>0.071765322158198</v>
      </c>
      <c r="U45" s="19"/>
      <c r="V45" s="21">
        <f>31751321.2599999-18922.42</f>
        <v>31732398.8399999</v>
      </c>
      <c r="W45" s="19"/>
      <c r="X45" s="22">
        <f t="shared" si="1"/>
        <v>0.16281594042418707</v>
      </c>
      <c r="Y45" s="19"/>
      <c r="Z45" s="19" t="s">
        <v>42</v>
      </c>
      <c r="AA45" s="19"/>
      <c r="AB45" s="19"/>
      <c r="AC45" s="19"/>
      <c r="AD45" s="20">
        <v>1798</v>
      </c>
      <c r="AE45" s="19"/>
      <c r="AF45" s="22">
        <v>0.0613107822410148</v>
      </c>
      <c r="AG45" s="19"/>
      <c r="AH45" s="21">
        <v>26005698.510000024</v>
      </c>
      <c r="AI45" s="19"/>
      <c r="AJ45" s="22">
        <v>0.14246451000677945</v>
      </c>
    </row>
    <row r="46" spans="1:36" ht="12.75">
      <c r="A46" s="19" t="s">
        <v>43</v>
      </c>
      <c r="B46" s="19"/>
      <c r="C46" s="19"/>
      <c r="D46" s="19"/>
      <c r="E46" s="20">
        <v>42</v>
      </c>
      <c r="F46" s="19"/>
      <c r="G46" s="22">
        <v>0.029871977240398292</v>
      </c>
      <c r="H46" s="19"/>
      <c r="I46" s="21">
        <v>765574.11</v>
      </c>
      <c r="J46" s="19"/>
      <c r="K46" s="22">
        <v>0.08763655975716643</v>
      </c>
      <c r="L46" s="22"/>
      <c r="M46" s="19"/>
      <c r="N46" s="19" t="s">
        <v>43</v>
      </c>
      <c r="O46" s="19"/>
      <c r="P46" s="19"/>
      <c r="Q46" s="19"/>
      <c r="R46" s="20">
        <v>424</v>
      </c>
      <c r="S46" s="19"/>
      <c r="T46" s="22">
        <v>0.01388161341016239</v>
      </c>
      <c r="U46" s="19"/>
      <c r="V46" s="21">
        <v>7211183.440000009</v>
      </c>
      <c r="W46" s="19"/>
      <c r="X46" s="22">
        <f t="shared" si="1"/>
        <v>0.036999900930116056</v>
      </c>
      <c r="Y46" s="19"/>
      <c r="Z46" s="19" t="s">
        <v>43</v>
      </c>
      <c r="AA46" s="19"/>
      <c r="AB46" s="19"/>
      <c r="AC46" s="19"/>
      <c r="AD46" s="20">
        <v>399</v>
      </c>
      <c r="AE46" s="19"/>
      <c r="AF46" s="22">
        <v>0.013605674145809179</v>
      </c>
      <c r="AG46" s="19"/>
      <c r="AH46" s="21">
        <v>6735161.200000004</v>
      </c>
      <c r="AI46" s="19"/>
      <c r="AJ46" s="22">
        <v>0.036896584023909475</v>
      </c>
    </row>
    <row r="47" spans="1:36" ht="12.75">
      <c r="A47" s="19"/>
      <c r="B47" s="19"/>
      <c r="C47" s="19"/>
      <c r="D47" s="19"/>
      <c r="E47" s="20"/>
      <c r="F47" s="19"/>
      <c r="G47" s="19"/>
      <c r="H47" s="19"/>
      <c r="I47" s="21"/>
      <c r="J47" s="19"/>
      <c r="K47" s="19"/>
      <c r="L47" s="19"/>
      <c r="M47" s="19"/>
      <c r="N47" s="19"/>
      <c r="O47" s="19"/>
      <c r="P47" s="19"/>
      <c r="Q47" s="19"/>
      <c r="R47" s="20"/>
      <c r="S47" s="19"/>
      <c r="T47" s="19"/>
      <c r="U47" s="19"/>
      <c r="V47" s="21"/>
      <c r="W47" s="19"/>
      <c r="X47" s="22"/>
      <c r="Y47" s="19"/>
      <c r="Z47" s="19"/>
      <c r="AA47" s="19"/>
      <c r="AB47" s="19"/>
      <c r="AC47" s="19"/>
      <c r="AD47" s="20"/>
      <c r="AE47" s="19"/>
      <c r="AF47" s="19"/>
      <c r="AG47" s="19"/>
      <c r="AH47" s="21"/>
      <c r="AI47" s="19"/>
      <c r="AJ47" s="22"/>
    </row>
    <row r="48" spans="1:36" s="15" customFormat="1" ht="13.5" thickBot="1">
      <c r="A48" s="47"/>
      <c r="B48" s="47"/>
      <c r="C48" s="47"/>
      <c r="D48" s="47"/>
      <c r="E48" s="77">
        <v>1406</v>
      </c>
      <c r="F48" s="47"/>
      <c r="G48" s="47"/>
      <c r="H48" s="47"/>
      <c r="I48" s="78">
        <v>8735784.610000001</v>
      </c>
      <c r="J48" s="47"/>
      <c r="K48" s="47"/>
      <c r="L48" s="47"/>
      <c r="M48" s="46"/>
      <c r="N48" s="57"/>
      <c r="O48" s="57"/>
      <c r="P48" s="57"/>
      <c r="Q48" s="57"/>
      <c r="R48" s="88">
        <f>SUM(R38:R47)</f>
        <v>30544</v>
      </c>
      <c r="S48" s="89"/>
      <c r="T48" s="89"/>
      <c r="U48" s="89"/>
      <c r="V48" s="90">
        <f>SUM(V38:V47)</f>
        <v>194897371.5799998</v>
      </c>
      <c r="W48" s="57"/>
      <c r="X48" s="22"/>
      <c r="Y48" s="46"/>
      <c r="Z48" s="57"/>
      <c r="AA48" s="57"/>
      <c r="AB48" s="57"/>
      <c r="AC48" s="57"/>
      <c r="AD48" s="88">
        <v>29326</v>
      </c>
      <c r="AE48" s="89"/>
      <c r="AF48" s="89"/>
      <c r="AG48" s="89"/>
      <c r="AH48" s="90">
        <v>182541592.34999993</v>
      </c>
      <c r="AI48" s="57"/>
      <c r="AJ48" s="22"/>
    </row>
    <row r="49" spans="1:36" ht="13.5" thickTop="1">
      <c r="A49" s="19"/>
      <c r="B49" s="19"/>
      <c r="C49" s="19"/>
      <c r="D49" s="19"/>
      <c r="E49" s="20"/>
      <c r="F49" s="19"/>
      <c r="G49" s="19"/>
      <c r="H49" s="19"/>
      <c r="I49" s="21"/>
      <c r="J49" s="19"/>
      <c r="K49" s="19"/>
      <c r="L49" s="19"/>
      <c r="M49" s="19"/>
      <c r="N49" s="19"/>
      <c r="O49" s="19"/>
      <c r="P49" s="19"/>
      <c r="Q49" s="19"/>
      <c r="R49" s="20"/>
      <c r="S49" s="19"/>
      <c r="T49" s="19"/>
      <c r="U49" s="19"/>
      <c r="V49" s="21"/>
      <c r="W49" s="19"/>
      <c r="X49" s="22"/>
      <c r="Y49" s="19"/>
      <c r="Z49" s="19"/>
      <c r="AA49" s="19"/>
      <c r="AB49" s="19"/>
      <c r="AC49" s="19"/>
      <c r="AD49" s="20"/>
      <c r="AE49" s="19"/>
      <c r="AF49" s="19"/>
      <c r="AG49" s="19"/>
      <c r="AH49" s="21"/>
      <c r="AI49" s="19"/>
      <c r="AJ49" s="22"/>
    </row>
    <row r="50" spans="1:36" ht="12.75">
      <c r="A50" s="19"/>
      <c r="B50" s="19"/>
      <c r="C50" s="19"/>
      <c r="D50" s="19"/>
      <c r="E50" s="20"/>
      <c r="F50" s="19"/>
      <c r="G50" s="19"/>
      <c r="H50" s="19"/>
      <c r="I50" s="21"/>
      <c r="J50" s="19"/>
      <c r="K50" s="19"/>
      <c r="L50" s="19"/>
      <c r="M50" s="19"/>
      <c r="N50" s="19"/>
      <c r="O50" s="19"/>
      <c r="P50" s="19"/>
      <c r="Q50" s="19"/>
      <c r="R50" s="20"/>
      <c r="S50" s="19"/>
      <c r="T50" s="19"/>
      <c r="U50" s="19"/>
      <c r="V50" s="21"/>
      <c r="W50" s="19"/>
      <c r="X50" s="22"/>
      <c r="Y50" s="19"/>
      <c r="Z50" s="19"/>
      <c r="AA50" s="19"/>
      <c r="AB50" s="19"/>
      <c r="AC50" s="19"/>
      <c r="AD50" s="20"/>
      <c r="AE50" s="19"/>
      <c r="AF50" s="19"/>
      <c r="AG50" s="19"/>
      <c r="AH50" s="21"/>
      <c r="AI50" s="19"/>
      <c r="AJ50" s="22"/>
    </row>
    <row r="51" spans="1:36" s="15" customFormat="1" ht="12.75">
      <c r="A51" s="55" t="s">
        <v>87</v>
      </c>
      <c r="B51" s="46"/>
      <c r="C51" s="46"/>
      <c r="D51" s="46"/>
      <c r="E51" s="48"/>
      <c r="F51" s="46"/>
      <c r="G51" s="46"/>
      <c r="H51" s="46"/>
      <c r="I51" s="49"/>
      <c r="J51" s="46"/>
      <c r="K51" s="46"/>
      <c r="L51" s="46"/>
      <c r="M51" s="46"/>
      <c r="N51" s="55" t="s">
        <v>87</v>
      </c>
      <c r="O51" s="19"/>
      <c r="P51" s="19"/>
      <c r="Q51" s="19"/>
      <c r="R51" s="20"/>
      <c r="S51" s="19"/>
      <c r="T51" s="19"/>
      <c r="U51" s="19"/>
      <c r="V51" s="21"/>
      <c r="W51" s="19"/>
      <c r="X51" s="22"/>
      <c r="Y51" s="46"/>
      <c r="Z51" s="55" t="s">
        <v>87</v>
      </c>
      <c r="AA51" s="19"/>
      <c r="AB51" s="19"/>
      <c r="AC51" s="19"/>
      <c r="AD51" s="20"/>
      <c r="AE51" s="19"/>
      <c r="AF51" s="19"/>
      <c r="AG51" s="19"/>
      <c r="AH51" s="21"/>
      <c r="AI51" s="19"/>
      <c r="AJ51" s="22"/>
    </row>
    <row r="52" spans="1:36" ht="12.75">
      <c r="A52" s="19"/>
      <c r="B52" s="19"/>
      <c r="C52" s="19"/>
      <c r="D52" s="19"/>
      <c r="E52" s="20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20"/>
      <c r="S52" s="19"/>
      <c r="T52" s="19"/>
      <c r="U52" s="19"/>
      <c r="V52" s="21"/>
      <c r="W52" s="19"/>
      <c r="X52" s="22"/>
      <c r="Y52" s="19"/>
      <c r="Z52" s="19"/>
      <c r="AA52" s="19"/>
      <c r="AB52" s="19"/>
      <c r="AC52" s="19"/>
      <c r="AD52" s="20"/>
      <c r="AE52" s="19"/>
      <c r="AF52" s="19"/>
      <c r="AG52" s="19"/>
      <c r="AH52" s="21"/>
      <c r="AI52" s="19"/>
      <c r="AJ52" s="22"/>
    </row>
    <row r="53" spans="1:36" s="17" customFormat="1" ht="12.75">
      <c r="A53" s="66"/>
      <c r="B53" s="66"/>
      <c r="C53" s="66"/>
      <c r="D53" s="66"/>
      <c r="E53" s="67" t="s">
        <v>83</v>
      </c>
      <c r="F53" s="66"/>
      <c r="G53" s="66" t="s">
        <v>84</v>
      </c>
      <c r="H53" s="66"/>
      <c r="I53" s="68" t="s">
        <v>85</v>
      </c>
      <c r="J53" s="66"/>
      <c r="K53" s="66" t="s">
        <v>84</v>
      </c>
      <c r="L53" s="66"/>
      <c r="M53" s="69"/>
      <c r="N53" s="57"/>
      <c r="O53" s="57"/>
      <c r="P53" s="57"/>
      <c r="Q53" s="57"/>
      <c r="R53" s="67" t="s">
        <v>83</v>
      </c>
      <c r="S53" s="66"/>
      <c r="T53" s="66" t="s">
        <v>84</v>
      </c>
      <c r="U53" s="66"/>
      <c r="V53" s="68" t="s">
        <v>85</v>
      </c>
      <c r="W53" s="66"/>
      <c r="X53" s="66" t="s">
        <v>84</v>
      </c>
      <c r="Y53" s="69"/>
      <c r="Z53" s="57"/>
      <c r="AA53" s="57"/>
      <c r="AB53" s="57"/>
      <c r="AC53" s="57"/>
      <c r="AD53" s="67" t="s">
        <v>83</v>
      </c>
      <c r="AE53" s="66"/>
      <c r="AF53" s="66" t="s">
        <v>84</v>
      </c>
      <c r="AG53" s="66"/>
      <c r="AH53" s="68" t="s">
        <v>85</v>
      </c>
      <c r="AI53" s="66"/>
      <c r="AJ53" s="66" t="s">
        <v>84</v>
      </c>
    </row>
    <row r="54" spans="1:36" ht="12.75">
      <c r="A54" s="19"/>
      <c r="B54" s="19"/>
      <c r="C54" s="19"/>
      <c r="D54" s="19"/>
      <c r="E54" s="20"/>
      <c r="F54" s="19"/>
      <c r="G54" s="19"/>
      <c r="H54" s="19"/>
      <c r="I54" s="21"/>
      <c r="J54" s="19"/>
      <c r="K54" s="19"/>
      <c r="L54" s="19"/>
      <c r="M54" s="19"/>
      <c r="N54" s="19"/>
      <c r="O54" s="19"/>
      <c r="P54" s="19"/>
      <c r="Q54" s="19"/>
      <c r="R54" s="20"/>
      <c r="S54" s="19"/>
      <c r="T54" s="19"/>
      <c r="U54" s="19"/>
      <c r="V54" s="21"/>
      <c r="W54" s="19"/>
      <c r="X54" s="22"/>
      <c r="Y54" s="19"/>
      <c r="Z54" s="19"/>
      <c r="AA54" s="19"/>
      <c r="AB54" s="19"/>
      <c r="AC54" s="19"/>
      <c r="AD54" s="20"/>
      <c r="AE54" s="19"/>
      <c r="AF54" s="19"/>
      <c r="AG54" s="19"/>
      <c r="AH54" s="21"/>
      <c r="AI54" s="19"/>
      <c r="AJ54" s="22"/>
    </row>
    <row r="55" spans="1:36" ht="12.75">
      <c r="A55" s="19"/>
      <c r="B55" s="19"/>
      <c r="C55" s="19"/>
      <c r="D55" s="19"/>
      <c r="E55" s="20"/>
      <c r="F55" s="19"/>
      <c r="G55" s="19"/>
      <c r="H55" s="19"/>
      <c r="I55" s="21"/>
      <c r="J55" s="19"/>
      <c r="K55" s="19"/>
      <c r="L55" s="19"/>
      <c r="M55" s="19"/>
      <c r="N55" s="19" t="s">
        <v>44</v>
      </c>
      <c r="O55" s="19"/>
      <c r="P55" s="19"/>
      <c r="Q55" s="19"/>
      <c r="R55" s="20">
        <v>0</v>
      </c>
      <c r="S55" s="19"/>
      <c r="T55" s="22">
        <v>0</v>
      </c>
      <c r="U55" s="19"/>
      <c r="V55" s="21">
        <v>0</v>
      </c>
      <c r="W55" s="19"/>
      <c r="X55" s="22">
        <f>+V55/$V$67</f>
        <v>0</v>
      </c>
      <c r="Y55" s="19"/>
      <c r="Z55" s="19" t="s">
        <v>44</v>
      </c>
      <c r="AA55" s="19"/>
      <c r="AB55" s="19"/>
      <c r="AC55" s="19"/>
      <c r="AD55" s="20">
        <v>599</v>
      </c>
      <c r="AE55" s="19"/>
      <c r="AF55" s="22">
        <v>0.020425560935688467</v>
      </c>
      <c r="AG55" s="19"/>
      <c r="AH55" s="21">
        <v>4630876.670000009</v>
      </c>
      <c r="AI55" s="19"/>
      <c r="AJ55" s="22">
        <v>0.025368885032628026</v>
      </c>
    </row>
    <row r="56" spans="1:36" ht="12.75">
      <c r="A56" s="19"/>
      <c r="B56" s="19"/>
      <c r="C56" s="19"/>
      <c r="D56" s="19"/>
      <c r="E56" s="20"/>
      <c r="F56" s="19"/>
      <c r="G56" s="19"/>
      <c r="H56" s="19"/>
      <c r="I56" s="21"/>
      <c r="J56" s="19"/>
      <c r="K56" s="19"/>
      <c r="L56" s="19"/>
      <c r="M56" s="19"/>
      <c r="N56" s="19" t="s">
        <v>45</v>
      </c>
      <c r="O56" s="19"/>
      <c r="P56" s="19"/>
      <c r="Q56" s="19"/>
      <c r="R56" s="20">
        <v>602</v>
      </c>
      <c r="S56" s="19"/>
      <c r="T56" s="22">
        <v>0.019709271870089053</v>
      </c>
      <c r="U56" s="19"/>
      <c r="V56" s="21">
        <v>4416026.38</v>
      </c>
      <c r="W56" s="19"/>
      <c r="X56" s="22">
        <f aca="true" t="shared" si="2" ref="X56:X65">+V56/$V$67</f>
        <v>0.022658214137009754</v>
      </c>
      <c r="Y56" s="19"/>
      <c r="Z56" s="19" t="s">
        <v>45</v>
      </c>
      <c r="AA56" s="19"/>
      <c r="AB56" s="19"/>
      <c r="AC56" s="19"/>
      <c r="AD56" s="20">
        <v>3827</v>
      </c>
      <c r="AE56" s="19"/>
      <c r="AF56" s="22">
        <v>0.13049853372434017</v>
      </c>
      <c r="AG56" s="19"/>
      <c r="AH56" s="21">
        <v>31981204.549999963</v>
      </c>
      <c r="AI56" s="19"/>
      <c r="AJ56" s="22">
        <v>0.17519954843321445</v>
      </c>
    </row>
    <row r="57" spans="1:36" ht="12.75">
      <c r="A57" s="19"/>
      <c r="B57" s="19"/>
      <c r="C57" s="19"/>
      <c r="D57" s="19"/>
      <c r="E57" s="20"/>
      <c r="F57" s="19"/>
      <c r="G57" s="19"/>
      <c r="H57" s="19"/>
      <c r="I57" s="21"/>
      <c r="J57" s="19"/>
      <c r="K57" s="19"/>
      <c r="L57" s="19"/>
      <c r="M57" s="19"/>
      <c r="N57" s="19" t="s">
        <v>46</v>
      </c>
      <c r="O57" s="19"/>
      <c r="P57" s="19"/>
      <c r="Q57" s="19"/>
      <c r="R57" s="20">
        <v>3999</v>
      </c>
      <c r="S57" s="19"/>
      <c r="T57" s="22">
        <v>0.13092587742273443</v>
      </c>
      <c r="U57" s="19"/>
      <c r="V57" s="21">
        <v>34711617.79999999</v>
      </c>
      <c r="W57" s="19"/>
      <c r="X57" s="22">
        <f t="shared" si="2"/>
        <v>0.17810203143633377</v>
      </c>
      <c r="Y57" s="19"/>
      <c r="Z57" s="19" t="s">
        <v>46</v>
      </c>
      <c r="AA57" s="19"/>
      <c r="AB57" s="19"/>
      <c r="AC57" s="19"/>
      <c r="AD57" s="20">
        <v>15345</v>
      </c>
      <c r="AE57" s="19"/>
      <c r="AF57" s="22">
        <v>0.5232558139534884</v>
      </c>
      <c r="AG57" s="19"/>
      <c r="AH57" s="21">
        <v>101781970.25000042</v>
      </c>
      <c r="AI57" s="19"/>
      <c r="AJ57" s="22">
        <v>0.5575823511764181</v>
      </c>
    </row>
    <row r="58" spans="1:36" ht="12.75">
      <c r="A58" s="19"/>
      <c r="B58" s="19"/>
      <c r="C58" s="19"/>
      <c r="D58" s="19"/>
      <c r="E58" s="20"/>
      <c r="F58" s="19"/>
      <c r="G58" s="19"/>
      <c r="H58" s="19"/>
      <c r="I58" s="21"/>
      <c r="J58" s="19"/>
      <c r="K58" s="19"/>
      <c r="L58" s="19"/>
      <c r="M58" s="19"/>
      <c r="N58" s="19" t="s">
        <v>47</v>
      </c>
      <c r="O58" s="19"/>
      <c r="P58" s="19"/>
      <c r="Q58" s="19"/>
      <c r="R58" s="20">
        <v>15996</v>
      </c>
      <c r="S58" s="19"/>
      <c r="T58" s="22">
        <v>0.5237035096909377</v>
      </c>
      <c r="U58" s="19"/>
      <c r="V58" s="21">
        <f>108872918.63-18922.42</f>
        <v>108853996.21</v>
      </c>
      <c r="W58" s="19"/>
      <c r="X58" s="22">
        <f t="shared" si="2"/>
        <v>0.558519570210409</v>
      </c>
      <c r="Y58" s="19"/>
      <c r="Z58" s="19" t="s">
        <v>47</v>
      </c>
      <c r="AA58" s="19"/>
      <c r="AB58" s="19"/>
      <c r="AC58" s="19"/>
      <c r="AD58" s="20">
        <v>4964</v>
      </c>
      <c r="AE58" s="19"/>
      <c r="AF58" s="22">
        <v>0.16926959012480391</v>
      </c>
      <c r="AG58" s="19"/>
      <c r="AH58" s="21">
        <v>16124209.219999995</v>
      </c>
      <c r="AI58" s="19"/>
      <c r="AJ58" s="22">
        <v>0.0883317002575713</v>
      </c>
    </row>
    <row r="59" spans="1:36" ht="12.75">
      <c r="A59" s="19"/>
      <c r="B59" s="19"/>
      <c r="C59" s="19"/>
      <c r="D59" s="19"/>
      <c r="E59" s="20"/>
      <c r="F59" s="19"/>
      <c r="G59" s="19"/>
      <c r="H59" s="19"/>
      <c r="I59" s="21"/>
      <c r="J59" s="19"/>
      <c r="K59" s="19"/>
      <c r="L59" s="19"/>
      <c r="M59" s="19"/>
      <c r="N59" s="19" t="s">
        <v>48</v>
      </c>
      <c r="O59" s="19"/>
      <c r="P59" s="19"/>
      <c r="Q59" s="19"/>
      <c r="R59" s="20">
        <v>5188</v>
      </c>
      <c r="S59" s="19"/>
      <c r="T59" s="22">
        <v>0.16985332634887376</v>
      </c>
      <c r="U59" s="19"/>
      <c r="V59" s="21">
        <v>17666844.05000003</v>
      </c>
      <c r="W59" s="19"/>
      <c r="X59" s="22">
        <f t="shared" si="2"/>
        <v>0.09064690768673744</v>
      </c>
      <c r="Y59" s="19"/>
      <c r="Z59" s="19" t="s">
        <v>48</v>
      </c>
      <c r="AA59" s="19"/>
      <c r="AB59" s="19"/>
      <c r="AC59" s="19"/>
      <c r="AD59" s="20">
        <v>3939</v>
      </c>
      <c r="AE59" s="19"/>
      <c r="AF59" s="22">
        <v>0.13431767032667258</v>
      </c>
      <c r="AG59" s="19"/>
      <c r="AH59" s="21">
        <v>25739437.099999897</v>
      </c>
      <c r="AI59" s="19"/>
      <c r="AJ59" s="22">
        <v>0.1410058758041718</v>
      </c>
    </row>
    <row r="60" spans="1:36" ht="12.75">
      <c r="A60" s="19"/>
      <c r="B60" s="19"/>
      <c r="C60" s="19"/>
      <c r="D60" s="19"/>
      <c r="E60" s="20"/>
      <c r="F60" s="19"/>
      <c r="G60" s="19"/>
      <c r="H60" s="19"/>
      <c r="I60" s="21"/>
      <c r="J60" s="19"/>
      <c r="K60" s="19"/>
      <c r="L60" s="19"/>
      <c r="M60" s="19"/>
      <c r="N60" s="19" t="s">
        <v>49</v>
      </c>
      <c r="O60" s="19"/>
      <c r="P60" s="19"/>
      <c r="Q60" s="19"/>
      <c r="R60" s="20">
        <v>4107</v>
      </c>
      <c r="S60" s="19"/>
      <c r="T60" s="22">
        <v>0.13446176008381353</v>
      </c>
      <c r="U60" s="19"/>
      <c r="V60" s="21">
        <v>26983051.130000014</v>
      </c>
      <c r="W60" s="19"/>
      <c r="X60" s="22">
        <f t="shared" si="2"/>
        <v>0.13844748603458826</v>
      </c>
      <c r="Y60" s="19"/>
      <c r="Z60" s="19" t="s">
        <v>49</v>
      </c>
      <c r="AA60" s="19"/>
      <c r="AB60" s="19"/>
      <c r="AC60" s="19"/>
      <c r="AD60" s="20">
        <v>629</v>
      </c>
      <c r="AE60" s="19"/>
      <c r="AF60" s="22">
        <v>0.02144854395417036</v>
      </c>
      <c r="AG60" s="19"/>
      <c r="AH60" s="21">
        <v>2172966.31</v>
      </c>
      <c r="AI60" s="19"/>
      <c r="AJ60" s="22">
        <v>0.011903951762585773</v>
      </c>
    </row>
    <row r="61" spans="1:36" ht="12.75">
      <c r="A61" s="19"/>
      <c r="B61" s="19"/>
      <c r="C61" s="19"/>
      <c r="D61" s="19"/>
      <c r="E61" s="20"/>
      <c r="F61" s="19"/>
      <c r="G61" s="19"/>
      <c r="H61" s="19"/>
      <c r="I61" s="21"/>
      <c r="J61" s="19"/>
      <c r="K61" s="19"/>
      <c r="L61" s="19"/>
      <c r="M61" s="19"/>
      <c r="N61" s="19" t="s">
        <v>50</v>
      </c>
      <c r="O61" s="19"/>
      <c r="P61" s="19"/>
      <c r="Q61" s="19"/>
      <c r="R61" s="20">
        <v>629</v>
      </c>
      <c r="S61" s="19"/>
      <c r="T61" s="22">
        <v>0.020593242535358828</v>
      </c>
      <c r="U61" s="19"/>
      <c r="V61" s="21">
        <v>2154133.76</v>
      </c>
      <c r="W61" s="19"/>
      <c r="X61" s="22">
        <f t="shared" si="2"/>
        <v>0.01105265680361311</v>
      </c>
      <c r="Y61" s="19"/>
      <c r="Z61" s="19" t="s">
        <v>50</v>
      </c>
      <c r="AA61" s="19"/>
      <c r="AB61" s="19"/>
      <c r="AC61" s="19"/>
      <c r="AD61" s="20">
        <v>23</v>
      </c>
      <c r="AE61" s="19"/>
      <c r="AF61" s="22">
        <v>0.0007842869808361181</v>
      </c>
      <c r="AG61" s="19"/>
      <c r="AH61" s="21">
        <v>110928.25</v>
      </c>
      <c r="AI61" s="19"/>
      <c r="AJ61" s="22">
        <v>0.0006076875334105182</v>
      </c>
    </row>
    <row r="62" spans="1:36" ht="12.75">
      <c r="A62" s="19"/>
      <c r="B62" s="19"/>
      <c r="C62" s="19"/>
      <c r="D62" s="19"/>
      <c r="E62" s="20"/>
      <c r="F62" s="19"/>
      <c r="G62" s="19"/>
      <c r="H62" s="19"/>
      <c r="I62" s="21"/>
      <c r="J62" s="19"/>
      <c r="K62" s="19"/>
      <c r="L62" s="19"/>
      <c r="M62" s="19"/>
      <c r="N62" s="19" t="s">
        <v>51</v>
      </c>
      <c r="O62" s="19"/>
      <c r="P62" s="19"/>
      <c r="Q62" s="19"/>
      <c r="R62" s="20">
        <v>23</v>
      </c>
      <c r="S62" s="19"/>
      <c r="T62" s="22">
        <v>0.0007530120481927711</v>
      </c>
      <c r="U62" s="19"/>
      <c r="V62" s="21">
        <v>111702.25</v>
      </c>
      <c r="W62" s="19"/>
      <c r="X62" s="22">
        <f t="shared" si="2"/>
        <v>0.0005731336913086552</v>
      </c>
      <c r="Y62" s="19"/>
      <c r="Z62" s="19" t="s">
        <v>51</v>
      </c>
      <c r="AA62" s="19"/>
      <c r="AB62" s="19"/>
      <c r="AC62" s="19"/>
      <c r="AD62" s="20">
        <v>0</v>
      </c>
      <c r="AE62" s="19"/>
      <c r="AF62" s="22">
        <v>0</v>
      </c>
      <c r="AG62" s="19"/>
      <c r="AH62" s="21">
        <v>0</v>
      </c>
      <c r="AI62" s="19"/>
      <c r="AJ62" s="22">
        <v>0</v>
      </c>
    </row>
    <row r="63" spans="1:36" ht="12.75">
      <c r="A63" s="19"/>
      <c r="B63" s="19"/>
      <c r="C63" s="19"/>
      <c r="D63" s="19"/>
      <c r="E63" s="20"/>
      <c r="F63" s="19"/>
      <c r="G63" s="19"/>
      <c r="H63" s="19"/>
      <c r="I63" s="21"/>
      <c r="J63" s="19"/>
      <c r="K63" s="19"/>
      <c r="L63" s="19"/>
      <c r="M63" s="19"/>
      <c r="N63" s="19" t="s">
        <v>52</v>
      </c>
      <c r="O63" s="19"/>
      <c r="P63" s="19"/>
      <c r="Q63" s="19"/>
      <c r="R63" s="20">
        <v>0</v>
      </c>
      <c r="S63" s="19"/>
      <c r="T63" s="22">
        <v>0</v>
      </c>
      <c r="U63" s="19"/>
      <c r="V63" s="21">
        <v>0</v>
      </c>
      <c r="W63" s="19"/>
      <c r="X63" s="22">
        <f t="shared" si="2"/>
        <v>0</v>
      </c>
      <c r="Y63" s="19"/>
      <c r="Z63" s="19" t="s">
        <v>52</v>
      </c>
      <c r="AA63" s="19"/>
      <c r="AB63" s="19"/>
      <c r="AC63" s="19"/>
      <c r="AD63" s="20">
        <v>0</v>
      </c>
      <c r="AE63" s="19"/>
      <c r="AF63" s="22">
        <v>0</v>
      </c>
      <c r="AG63" s="19"/>
      <c r="AH63" s="21">
        <v>0</v>
      </c>
      <c r="AI63" s="19"/>
      <c r="AJ63" s="22">
        <v>0</v>
      </c>
    </row>
    <row r="64" spans="1:36" ht="12.75">
      <c r="A64" s="56">
        <v>0.1997</v>
      </c>
      <c r="B64" s="19"/>
      <c r="C64" s="19"/>
      <c r="D64" s="19"/>
      <c r="E64" s="20">
        <v>1406</v>
      </c>
      <c r="F64" s="19"/>
      <c r="G64" s="22">
        <v>1</v>
      </c>
      <c r="H64" s="19"/>
      <c r="I64" s="21">
        <v>8735784.61</v>
      </c>
      <c r="J64" s="19"/>
      <c r="K64" s="22">
        <v>1</v>
      </c>
      <c r="L64" s="22"/>
      <c r="M64" s="19"/>
      <c r="N64" s="19" t="s">
        <v>53</v>
      </c>
      <c r="O64" s="19"/>
      <c r="P64" s="19"/>
      <c r="Q64" s="19"/>
      <c r="R64" s="20">
        <v>0</v>
      </c>
      <c r="S64" s="19"/>
      <c r="T64" s="22">
        <v>0</v>
      </c>
      <c r="U64" s="19"/>
      <c r="V64" s="21">
        <v>0</v>
      </c>
      <c r="W64" s="19"/>
      <c r="X64" s="22">
        <f t="shared" si="2"/>
        <v>0</v>
      </c>
      <c r="Y64" s="19"/>
      <c r="Z64" s="19" t="s">
        <v>53</v>
      </c>
      <c r="AA64" s="19"/>
      <c r="AB64" s="19"/>
      <c r="AC64" s="19"/>
      <c r="AD64" s="20">
        <v>0</v>
      </c>
      <c r="AE64" s="19"/>
      <c r="AF64" s="22">
        <v>0</v>
      </c>
      <c r="AG64" s="19"/>
      <c r="AH64" s="21">
        <v>0</v>
      </c>
      <c r="AI64" s="19"/>
      <c r="AJ64" s="22">
        <v>0</v>
      </c>
    </row>
    <row r="65" spans="1:36" ht="12.75">
      <c r="A65" s="56"/>
      <c r="B65" s="19"/>
      <c r="C65" s="19"/>
      <c r="D65" s="19"/>
      <c r="E65" s="20"/>
      <c r="F65" s="19"/>
      <c r="G65" s="22"/>
      <c r="H65" s="19"/>
      <c r="I65" s="21"/>
      <c r="J65" s="19"/>
      <c r="K65" s="22"/>
      <c r="L65" s="22"/>
      <c r="M65" s="19"/>
      <c r="N65" s="19" t="s">
        <v>54</v>
      </c>
      <c r="O65" s="19"/>
      <c r="P65" s="19"/>
      <c r="Q65" s="19"/>
      <c r="R65" s="20">
        <v>0</v>
      </c>
      <c r="S65" s="19"/>
      <c r="T65" s="22">
        <v>0</v>
      </c>
      <c r="U65" s="19"/>
      <c r="V65" s="21">
        <v>0</v>
      </c>
      <c r="W65" s="19"/>
      <c r="X65" s="22">
        <f t="shared" si="2"/>
        <v>0</v>
      </c>
      <c r="Y65" s="19"/>
      <c r="Z65" s="19" t="s">
        <v>54</v>
      </c>
      <c r="AA65" s="19"/>
      <c r="AB65" s="19"/>
      <c r="AC65" s="19"/>
      <c r="AD65" s="20">
        <v>0</v>
      </c>
      <c r="AE65" s="19"/>
      <c r="AF65" s="22">
        <v>0</v>
      </c>
      <c r="AG65" s="19"/>
      <c r="AH65" s="21">
        <v>0</v>
      </c>
      <c r="AI65" s="19"/>
      <c r="AJ65" s="22">
        <v>0</v>
      </c>
    </row>
    <row r="66" spans="1:36" ht="12.75">
      <c r="A66" s="19"/>
      <c r="B66" s="19"/>
      <c r="C66" s="19"/>
      <c r="D66" s="19"/>
      <c r="E66" s="20"/>
      <c r="F66" s="19"/>
      <c r="G66" s="19"/>
      <c r="H66" s="19"/>
      <c r="I66" s="21"/>
      <c r="J66" s="19"/>
      <c r="K66" s="19"/>
      <c r="L66" s="19"/>
      <c r="M66" s="19"/>
      <c r="N66" s="19"/>
      <c r="O66" s="19"/>
      <c r="P66" s="19"/>
      <c r="Q66" s="19"/>
      <c r="R66" s="91"/>
      <c r="S66" s="92"/>
      <c r="T66" s="92"/>
      <c r="U66" s="92"/>
      <c r="V66" s="93"/>
      <c r="W66" s="19"/>
      <c r="X66" s="19"/>
      <c r="Y66" s="19"/>
      <c r="Z66" s="19"/>
      <c r="AA66" s="19"/>
      <c r="AB66" s="19"/>
      <c r="AC66" s="19"/>
      <c r="AD66" s="91"/>
      <c r="AE66" s="92"/>
      <c r="AF66" s="92"/>
      <c r="AG66" s="92"/>
      <c r="AH66" s="93"/>
      <c r="AI66" s="19"/>
      <c r="AJ66" s="19"/>
    </row>
    <row r="67" spans="1:36" s="16" customFormat="1" ht="13.5" thickBot="1">
      <c r="A67" s="47"/>
      <c r="B67" s="47"/>
      <c r="C67" s="47"/>
      <c r="D67" s="47"/>
      <c r="E67" s="77">
        <v>1406</v>
      </c>
      <c r="F67" s="47"/>
      <c r="G67" s="47"/>
      <c r="H67" s="47"/>
      <c r="I67" s="78">
        <v>8735784.61</v>
      </c>
      <c r="J67" s="47"/>
      <c r="K67" s="47"/>
      <c r="L67" s="47"/>
      <c r="M67" s="47"/>
      <c r="N67" s="57"/>
      <c r="O67" s="57"/>
      <c r="P67" s="57"/>
      <c r="Q67" s="57"/>
      <c r="R67" s="88">
        <f>SUM(R55:R66)</f>
        <v>30544</v>
      </c>
      <c r="S67" s="89"/>
      <c r="T67" s="89"/>
      <c r="U67" s="89"/>
      <c r="V67" s="90">
        <f>SUM(V55:V66)</f>
        <v>194897371.58000004</v>
      </c>
      <c r="W67" s="57"/>
      <c r="X67" s="57"/>
      <c r="Y67" s="47"/>
      <c r="Z67" s="57"/>
      <c r="AA67" s="57"/>
      <c r="AB67" s="57"/>
      <c r="AC67" s="57"/>
      <c r="AD67" s="88">
        <v>29326</v>
      </c>
      <c r="AE67" s="89"/>
      <c r="AF67" s="89"/>
      <c r="AG67" s="89"/>
      <c r="AH67" s="90">
        <v>182541592.3500003</v>
      </c>
      <c r="AI67" s="57"/>
      <c r="AJ67" s="57"/>
    </row>
    <row r="68" spans="1:36" ht="13.5" thickTop="1">
      <c r="A68" s="19"/>
      <c r="B68" s="19"/>
      <c r="C68" s="19"/>
      <c r="D68" s="19"/>
      <c r="E68" s="20"/>
      <c r="F68" s="19"/>
      <c r="G68" s="19"/>
      <c r="H68" s="19"/>
      <c r="I68" s="21"/>
      <c r="J68" s="19"/>
      <c r="K68" s="19"/>
      <c r="L68" s="19"/>
      <c r="M68" s="19"/>
      <c r="N68" s="19"/>
      <c r="O68" s="19"/>
      <c r="P68" s="19"/>
      <c r="Q68" s="19"/>
      <c r="R68" s="20"/>
      <c r="S68" s="19"/>
      <c r="T68" s="19"/>
      <c r="U68" s="19"/>
      <c r="V68" s="21"/>
      <c r="W68" s="19"/>
      <c r="X68" s="22"/>
      <c r="Y68" s="19"/>
      <c r="Z68" s="19"/>
      <c r="AA68" s="19"/>
      <c r="AB68" s="19"/>
      <c r="AC68" s="19"/>
      <c r="AD68" s="20"/>
      <c r="AE68" s="19"/>
      <c r="AF68" s="19"/>
      <c r="AG68" s="19"/>
      <c r="AH68" s="21"/>
      <c r="AI68" s="19"/>
      <c r="AJ68" s="22"/>
    </row>
    <row r="69" spans="1:36" ht="12.75">
      <c r="A69" s="19"/>
      <c r="B69" s="19"/>
      <c r="C69" s="19"/>
      <c r="D69" s="19"/>
      <c r="E69" s="20"/>
      <c r="F69" s="19"/>
      <c r="G69" s="19"/>
      <c r="H69" s="19"/>
      <c r="I69" s="21"/>
      <c r="J69" s="19"/>
      <c r="K69" s="19"/>
      <c r="L69" s="19"/>
      <c r="M69" s="19"/>
      <c r="N69" s="19"/>
      <c r="O69" s="19"/>
      <c r="P69" s="19"/>
      <c r="Q69" s="19"/>
      <c r="R69" s="20"/>
      <c r="S69" s="19"/>
      <c r="T69" s="19"/>
      <c r="U69" s="19"/>
      <c r="V69" s="21"/>
      <c r="W69" s="19"/>
      <c r="X69" s="22"/>
      <c r="Y69" s="19"/>
      <c r="Z69" s="19"/>
      <c r="AA69" s="19"/>
      <c r="AB69" s="19"/>
      <c r="AC69" s="19"/>
      <c r="AD69" s="20"/>
      <c r="AE69" s="19"/>
      <c r="AF69" s="19"/>
      <c r="AG69" s="19"/>
      <c r="AH69" s="21"/>
      <c r="AI69" s="19"/>
      <c r="AJ69" s="22"/>
    </row>
    <row r="70" spans="1:36" s="15" customFormat="1" ht="12.75">
      <c r="A70" s="55" t="s">
        <v>95</v>
      </c>
      <c r="B70" s="46"/>
      <c r="C70" s="46"/>
      <c r="D70" s="46"/>
      <c r="E70" s="48"/>
      <c r="F70" s="46"/>
      <c r="G70" s="46"/>
      <c r="H70" s="46"/>
      <c r="I70" s="49"/>
      <c r="J70" s="46"/>
      <c r="K70" s="46"/>
      <c r="L70" s="46"/>
      <c r="M70" s="46"/>
      <c r="N70" s="55" t="s">
        <v>95</v>
      </c>
      <c r="O70" s="19"/>
      <c r="P70" s="19"/>
      <c r="Q70" s="19"/>
      <c r="R70" s="20"/>
      <c r="S70" s="19"/>
      <c r="T70" s="19"/>
      <c r="U70" s="19"/>
      <c r="V70" s="21"/>
      <c r="W70" s="19"/>
      <c r="X70" s="22"/>
      <c r="Y70" s="46"/>
      <c r="Z70" s="55" t="s">
        <v>95</v>
      </c>
      <c r="AA70" s="19"/>
      <c r="AB70" s="19"/>
      <c r="AC70" s="19"/>
      <c r="AD70" s="20"/>
      <c r="AE70" s="19"/>
      <c r="AF70" s="19"/>
      <c r="AG70" s="19"/>
      <c r="AH70" s="21"/>
      <c r="AI70" s="19"/>
      <c r="AJ70" s="22"/>
    </row>
    <row r="71" spans="1:36" ht="12.75">
      <c r="A71" s="19"/>
      <c r="B71" s="19"/>
      <c r="C71" s="19"/>
      <c r="D71" s="19"/>
      <c r="E71" s="20"/>
      <c r="F71" s="19"/>
      <c r="G71" s="19"/>
      <c r="H71" s="19"/>
      <c r="I71" s="21"/>
      <c r="J71" s="19"/>
      <c r="K71" s="19"/>
      <c r="L71" s="19"/>
      <c r="M71" s="19"/>
      <c r="N71" s="19"/>
      <c r="O71" s="19"/>
      <c r="P71" s="19"/>
      <c r="Q71" s="19"/>
      <c r="R71" s="20"/>
      <c r="S71" s="19"/>
      <c r="T71" s="19"/>
      <c r="U71" s="19"/>
      <c r="V71" s="21"/>
      <c r="W71" s="19"/>
      <c r="X71" s="22"/>
      <c r="Y71" s="19"/>
      <c r="Z71" s="19"/>
      <c r="AA71" s="19"/>
      <c r="AB71" s="19"/>
      <c r="AC71" s="19"/>
      <c r="AD71" s="20"/>
      <c r="AE71" s="19"/>
      <c r="AF71" s="19"/>
      <c r="AG71" s="19"/>
      <c r="AH71" s="21"/>
      <c r="AI71" s="19"/>
      <c r="AJ71" s="22"/>
    </row>
    <row r="72" spans="1:36" s="17" customFormat="1" ht="12.75">
      <c r="A72" s="66"/>
      <c r="B72" s="66"/>
      <c r="C72" s="66"/>
      <c r="D72" s="66"/>
      <c r="E72" s="67" t="s">
        <v>83</v>
      </c>
      <c r="F72" s="66"/>
      <c r="G72" s="66" t="s">
        <v>84</v>
      </c>
      <c r="H72" s="66"/>
      <c r="I72" s="68" t="s">
        <v>85</v>
      </c>
      <c r="J72" s="66"/>
      <c r="K72" s="66" t="s">
        <v>84</v>
      </c>
      <c r="L72" s="66"/>
      <c r="M72" s="69"/>
      <c r="N72" s="57"/>
      <c r="O72" s="57"/>
      <c r="P72" s="57"/>
      <c r="Q72" s="57"/>
      <c r="R72" s="67" t="s">
        <v>83</v>
      </c>
      <c r="S72" s="66"/>
      <c r="T72" s="66" t="s">
        <v>84</v>
      </c>
      <c r="U72" s="66"/>
      <c r="V72" s="68" t="s">
        <v>85</v>
      </c>
      <c r="W72" s="66"/>
      <c r="X72" s="66" t="s">
        <v>84</v>
      </c>
      <c r="Y72" s="69"/>
      <c r="Z72" s="57"/>
      <c r="AA72" s="57"/>
      <c r="AB72" s="57"/>
      <c r="AC72" s="57"/>
      <c r="AD72" s="67" t="s">
        <v>83</v>
      </c>
      <c r="AE72" s="66"/>
      <c r="AF72" s="66" t="s">
        <v>84</v>
      </c>
      <c r="AG72" s="66"/>
      <c r="AH72" s="68" t="s">
        <v>85</v>
      </c>
      <c r="AI72" s="66"/>
      <c r="AJ72" s="66" t="s">
        <v>84</v>
      </c>
    </row>
    <row r="73" spans="1:36" ht="12.75">
      <c r="A73" s="19"/>
      <c r="B73" s="19"/>
      <c r="C73" s="19"/>
      <c r="D73" s="19"/>
      <c r="E73" s="20"/>
      <c r="F73" s="19"/>
      <c r="G73" s="19"/>
      <c r="H73" s="19"/>
      <c r="I73" s="21"/>
      <c r="J73" s="19"/>
      <c r="K73" s="19"/>
      <c r="L73" s="19"/>
      <c r="M73" s="19"/>
      <c r="N73" s="19"/>
      <c r="O73" s="19"/>
      <c r="P73" s="19"/>
      <c r="Q73" s="19"/>
      <c r="R73" s="20"/>
      <c r="S73" s="19"/>
      <c r="T73" s="19"/>
      <c r="U73" s="19"/>
      <c r="V73" s="21"/>
      <c r="W73" s="19"/>
      <c r="X73" s="22"/>
      <c r="Y73" s="19"/>
      <c r="Z73" s="19"/>
      <c r="AA73" s="19"/>
      <c r="AB73" s="19"/>
      <c r="AC73" s="19"/>
      <c r="AD73" s="20"/>
      <c r="AE73" s="19"/>
      <c r="AF73" s="19"/>
      <c r="AG73" s="19"/>
      <c r="AH73" s="21"/>
      <c r="AI73" s="19"/>
      <c r="AJ73" s="22"/>
    </row>
    <row r="74" spans="1:36" ht="12.75">
      <c r="A74" s="19" t="s">
        <v>55</v>
      </c>
      <c r="B74" s="19"/>
      <c r="C74" s="19"/>
      <c r="D74" s="19"/>
      <c r="E74" s="20">
        <v>43</v>
      </c>
      <c r="F74" s="19"/>
      <c r="G74" s="22">
        <v>0.03058321479374111</v>
      </c>
      <c r="H74" s="19"/>
      <c r="I74" s="21">
        <v>54733.76</v>
      </c>
      <c r="J74" s="19"/>
      <c r="K74" s="22">
        <v>0.006265465833182899</v>
      </c>
      <c r="L74" s="22"/>
      <c r="M74" s="19"/>
      <c r="N74" s="19" t="s">
        <v>55</v>
      </c>
      <c r="O74" s="19"/>
      <c r="P74" s="19"/>
      <c r="Q74" s="19"/>
      <c r="R74" s="20">
        <v>2082</v>
      </c>
      <c r="S74" s="19"/>
      <c r="T74" s="22">
        <v>0.06816396018858041</v>
      </c>
      <c r="U74" s="19"/>
      <c r="V74" s="21">
        <v>218324.96</v>
      </c>
      <c r="W74" s="19"/>
      <c r="X74" s="22">
        <f>+V74/$V$86</f>
        <v>0.0011202047427837356</v>
      </c>
      <c r="Y74" s="19"/>
      <c r="Z74" s="19" t="s">
        <v>55</v>
      </c>
      <c r="AA74" s="19"/>
      <c r="AB74" s="19"/>
      <c r="AC74" s="19"/>
      <c r="AD74" s="20">
        <v>60</v>
      </c>
      <c r="AE74" s="19"/>
      <c r="AF74" s="22">
        <v>0.0020459660369637864</v>
      </c>
      <c r="AG74" s="19"/>
      <c r="AH74" s="21">
        <v>52565.71</v>
      </c>
      <c r="AI74" s="19"/>
      <c r="AJ74" s="22">
        <v>0.00028796565935072983</v>
      </c>
    </row>
    <row r="75" spans="1:36" ht="12.75">
      <c r="A75" s="19" t="s">
        <v>56</v>
      </c>
      <c r="B75" s="19"/>
      <c r="C75" s="19"/>
      <c r="D75" s="19"/>
      <c r="E75" s="20">
        <v>123</v>
      </c>
      <c r="F75" s="19"/>
      <c r="G75" s="22">
        <v>0.08748221906116643</v>
      </c>
      <c r="H75" s="19"/>
      <c r="I75" s="21">
        <v>271488.3</v>
      </c>
      <c r="J75" s="19"/>
      <c r="K75" s="22">
        <v>0.031077723652804205</v>
      </c>
      <c r="L75" s="22"/>
      <c r="M75" s="19"/>
      <c r="N75" s="19" t="s">
        <v>56</v>
      </c>
      <c r="O75" s="19"/>
      <c r="P75" s="19"/>
      <c r="Q75" s="19"/>
      <c r="R75" s="20">
        <v>813</v>
      </c>
      <c r="S75" s="19"/>
      <c r="T75" s="22">
        <v>0.026617338920900995</v>
      </c>
      <c r="U75" s="19"/>
      <c r="V75" s="21">
        <v>859135.41</v>
      </c>
      <c r="W75" s="19"/>
      <c r="X75" s="22">
        <f aca="true" t="shared" si="3" ref="X75:X84">+V75/$V$86</f>
        <v>0.004408142619036547</v>
      </c>
      <c r="Y75" s="19"/>
      <c r="Z75" s="19" t="s">
        <v>56</v>
      </c>
      <c r="AA75" s="19"/>
      <c r="AB75" s="19"/>
      <c r="AC75" s="19"/>
      <c r="AD75" s="20">
        <v>1068</v>
      </c>
      <c r="AE75" s="19"/>
      <c r="AF75" s="22">
        <v>0.036418195457955396</v>
      </c>
      <c r="AG75" s="19"/>
      <c r="AH75" s="21">
        <v>642718.7999999992</v>
      </c>
      <c r="AI75" s="19"/>
      <c r="AJ75" s="22">
        <v>0.0035209444145072846</v>
      </c>
    </row>
    <row r="76" spans="1:36" ht="12.75">
      <c r="A76" s="19" t="s">
        <v>57</v>
      </c>
      <c r="B76" s="19"/>
      <c r="C76" s="19"/>
      <c r="D76" s="19"/>
      <c r="E76" s="20">
        <v>349</v>
      </c>
      <c r="F76" s="19"/>
      <c r="G76" s="22">
        <v>0.24822190611664297</v>
      </c>
      <c r="H76" s="19"/>
      <c r="I76" s="21">
        <v>1166810.77</v>
      </c>
      <c r="J76" s="19"/>
      <c r="K76" s="22">
        <v>0.13356679704125624</v>
      </c>
      <c r="L76" s="22"/>
      <c r="M76" s="19"/>
      <c r="N76" s="19" t="s">
        <v>57</v>
      </c>
      <c r="O76" s="19"/>
      <c r="P76" s="19"/>
      <c r="Q76" s="19"/>
      <c r="R76" s="20">
        <v>2220</v>
      </c>
      <c r="S76" s="19"/>
      <c r="T76" s="22">
        <v>0.07268203247773704</v>
      </c>
      <c r="U76" s="19"/>
      <c r="V76" s="21">
        <v>4747280.87</v>
      </c>
      <c r="W76" s="19"/>
      <c r="X76" s="22">
        <f t="shared" si="3"/>
        <v>0.024357849628830797</v>
      </c>
      <c r="Y76" s="19"/>
      <c r="Z76" s="19" t="s">
        <v>57</v>
      </c>
      <c r="AA76" s="19"/>
      <c r="AB76" s="19"/>
      <c r="AC76" s="19"/>
      <c r="AD76" s="20">
        <v>2443</v>
      </c>
      <c r="AE76" s="19"/>
      <c r="AF76" s="22">
        <v>0.0833049171383755</v>
      </c>
      <c r="AG76" s="19"/>
      <c r="AH76" s="21">
        <v>4014120.01</v>
      </c>
      <c r="AI76" s="19"/>
      <c r="AJ76" s="22">
        <v>0.021990166505743175</v>
      </c>
    </row>
    <row r="77" spans="1:36" ht="12.75">
      <c r="A77" s="19" t="s">
        <v>58</v>
      </c>
      <c r="B77" s="19"/>
      <c r="C77" s="19"/>
      <c r="D77" s="19"/>
      <c r="E77" s="20">
        <v>156</v>
      </c>
      <c r="F77" s="19"/>
      <c r="G77" s="22">
        <v>0.11095305832147938</v>
      </c>
      <c r="H77" s="19"/>
      <c r="I77" s="21">
        <v>840549.1</v>
      </c>
      <c r="J77" s="19"/>
      <c r="K77" s="22">
        <v>0.09621907333175421</v>
      </c>
      <c r="L77" s="22"/>
      <c r="M77" s="19"/>
      <c r="N77" s="19" t="s">
        <v>58</v>
      </c>
      <c r="O77" s="19"/>
      <c r="P77" s="19"/>
      <c r="Q77" s="19"/>
      <c r="R77" s="20">
        <v>1491</v>
      </c>
      <c r="S77" s="19"/>
      <c r="T77" s="22">
        <v>0.04881482451545312</v>
      </c>
      <c r="U77" s="19"/>
      <c r="V77" s="21">
        <v>5294024.419999987</v>
      </c>
      <c r="W77" s="19"/>
      <c r="X77" s="22">
        <f t="shared" si="3"/>
        <v>0.027163139128466577</v>
      </c>
      <c r="Y77" s="19"/>
      <c r="Z77" s="19" t="s">
        <v>58</v>
      </c>
      <c r="AA77" s="19"/>
      <c r="AB77" s="19"/>
      <c r="AC77" s="19"/>
      <c r="AD77" s="20">
        <v>1584</v>
      </c>
      <c r="AE77" s="19"/>
      <c r="AF77" s="22">
        <v>0.05401350337584396</v>
      </c>
      <c r="AG77" s="19"/>
      <c r="AH77" s="21">
        <v>4624203.770000009</v>
      </c>
      <c r="AI77" s="19"/>
      <c r="AJ77" s="22">
        <v>0.025332329528131244</v>
      </c>
    </row>
    <row r="78" spans="1:36" ht="12.75">
      <c r="A78" s="19" t="s">
        <v>59</v>
      </c>
      <c r="B78" s="19"/>
      <c r="C78" s="19"/>
      <c r="D78" s="19"/>
      <c r="E78" s="20">
        <v>502</v>
      </c>
      <c r="F78" s="19"/>
      <c r="G78" s="22">
        <v>0.35704125177809387</v>
      </c>
      <c r="H78" s="19"/>
      <c r="I78" s="21">
        <v>3747209.57</v>
      </c>
      <c r="J78" s="19"/>
      <c r="K78" s="22">
        <v>0.42894940034470463</v>
      </c>
      <c r="L78" s="22"/>
      <c r="M78" s="19"/>
      <c r="N78" s="19" t="s">
        <v>59</v>
      </c>
      <c r="O78" s="19"/>
      <c r="P78" s="19"/>
      <c r="Q78" s="19"/>
      <c r="R78" s="20">
        <v>6579</v>
      </c>
      <c r="S78" s="19"/>
      <c r="T78" s="22">
        <v>0.21539418543740177</v>
      </c>
      <c r="U78" s="19"/>
      <c r="V78" s="21">
        <v>34932162.06999996</v>
      </c>
      <c r="W78" s="19"/>
      <c r="X78" s="22">
        <f t="shared" si="3"/>
        <v>0.17923362324905076</v>
      </c>
      <c r="Y78" s="19"/>
      <c r="Z78" s="19" t="s">
        <v>59</v>
      </c>
      <c r="AA78" s="19"/>
      <c r="AB78" s="19"/>
      <c r="AC78" s="19"/>
      <c r="AD78" s="20">
        <v>6790</v>
      </c>
      <c r="AE78" s="19"/>
      <c r="AF78" s="22">
        <v>0.23153515651640183</v>
      </c>
      <c r="AG78" s="19"/>
      <c r="AH78" s="21">
        <v>32120881.19999981</v>
      </c>
      <c r="AI78" s="19"/>
      <c r="AJ78" s="22">
        <v>0.1759647255536815</v>
      </c>
    </row>
    <row r="79" spans="1:36" ht="12.75">
      <c r="A79" s="19" t="s">
        <v>60</v>
      </c>
      <c r="B79" s="19"/>
      <c r="C79" s="19"/>
      <c r="D79" s="19"/>
      <c r="E79" s="20">
        <v>30</v>
      </c>
      <c r="F79" s="19"/>
      <c r="G79" s="22">
        <v>0.021337126600284494</v>
      </c>
      <c r="H79" s="19"/>
      <c r="I79" s="21">
        <v>265341.12</v>
      </c>
      <c r="J79" s="19"/>
      <c r="K79" s="22">
        <v>0.030374045589020075</v>
      </c>
      <c r="L79" s="22"/>
      <c r="M79" s="19"/>
      <c r="N79" s="19" t="s">
        <v>60</v>
      </c>
      <c r="O79" s="19"/>
      <c r="P79" s="19"/>
      <c r="Q79" s="19"/>
      <c r="R79" s="20">
        <v>588</v>
      </c>
      <c r="S79" s="19"/>
      <c r="T79" s="22">
        <v>0.01925091671031954</v>
      </c>
      <c r="U79" s="19"/>
      <c r="V79" s="21">
        <v>3827388.05</v>
      </c>
      <c r="W79" s="19"/>
      <c r="X79" s="22">
        <f t="shared" si="3"/>
        <v>0.019637966479342506</v>
      </c>
      <c r="Y79" s="19"/>
      <c r="Z79" s="19" t="s">
        <v>60</v>
      </c>
      <c r="AA79" s="19"/>
      <c r="AB79" s="19"/>
      <c r="AC79" s="19"/>
      <c r="AD79" s="20">
        <v>619</v>
      </c>
      <c r="AE79" s="19"/>
      <c r="AF79" s="22">
        <v>0.021107549614676396</v>
      </c>
      <c r="AG79" s="19"/>
      <c r="AH79" s="21">
        <v>3553313.35</v>
      </c>
      <c r="AI79" s="19"/>
      <c r="AJ79" s="22">
        <v>0.019465773823134924</v>
      </c>
    </row>
    <row r="80" spans="1:36" ht="12.75">
      <c r="A80" s="19" t="s">
        <v>61</v>
      </c>
      <c r="B80" s="19"/>
      <c r="C80" s="19"/>
      <c r="D80" s="19"/>
      <c r="E80" s="20">
        <v>39</v>
      </c>
      <c r="F80" s="19"/>
      <c r="G80" s="22">
        <v>0.027738264580369845</v>
      </c>
      <c r="H80" s="19"/>
      <c r="I80" s="21">
        <v>406464.2</v>
      </c>
      <c r="J80" s="19"/>
      <c r="K80" s="22">
        <v>0.0465286426058071</v>
      </c>
      <c r="L80" s="22"/>
      <c r="M80" s="19"/>
      <c r="N80" s="19" t="s">
        <v>61</v>
      </c>
      <c r="O80" s="19"/>
      <c r="P80" s="19"/>
      <c r="Q80" s="19"/>
      <c r="R80" s="20">
        <v>2264</v>
      </c>
      <c r="S80" s="19"/>
      <c r="T80" s="22">
        <v>0.07412257726558408</v>
      </c>
      <c r="U80" s="19"/>
      <c r="V80" s="21">
        <v>20518693.249999985</v>
      </c>
      <c r="W80" s="19"/>
      <c r="X80" s="22">
        <f t="shared" si="3"/>
        <v>0.10527947649400511</v>
      </c>
      <c r="Y80" s="19"/>
      <c r="Z80" s="19" t="s">
        <v>61</v>
      </c>
      <c r="AA80" s="19"/>
      <c r="AB80" s="19"/>
      <c r="AC80" s="19"/>
      <c r="AD80" s="20">
        <v>2330</v>
      </c>
      <c r="AE80" s="19"/>
      <c r="AF80" s="22">
        <v>0.0794516811020937</v>
      </c>
      <c r="AG80" s="19"/>
      <c r="AH80" s="21">
        <v>19028107.50999999</v>
      </c>
      <c r="AI80" s="19"/>
      <c r="AJ80" s="22">
        <v>0.10423984619086708</v>
      </c>
    </row>
    <row r="81" spans="1:36" ht="12.75">
      <c r="A81" s="19" t="s">
        <v>62</v>
      </c>
      <c r="B81" s="19"/>
      <c r="C81" s="19"/>
      <c r="D81" s="19"/>
      <c r="E81" s="20">
        <v>13</v>
      </c>
      <c r="F81" s="19"/>
      <c r="G81" s="22">
        <v>0.009246088193456615</v>
      </c>
      <c r="H81" s="19"/>
      <c r="I81" s="21">
        <v>148867.57</v>
      </c>
      <c r="J81" s="19"/>
      <c r="K81" s="22">
        <v>0.017041121850645078</v>
      </c>
      <c r="L81" s="22"/>
      <c r="M81" s="19"/>
      <c r="N81" s="19" t="s">
        <v>62</v>
      </c>
      <c r="O81" s="19"/>
      <c r="P81" s="19"/>
      <c r="Q81" s="19"/>
      <c r="R81" s="20">
        <v>534</v>
      </c>
      <c r="S81" s="19"/>
      <c r="T81" s="22">
        <v>0.01748297537977999</v>
      </c>
      <c r="U81" s="19"/>
      <c r="V81" s="21">
        <v>4985421.8</v>
      </c>
      <c r="W81" s="19"/>
      <c r="X81" s="22">
        <f t="shared" si="3"/>
        <v>0.025579728241504902</v>
      </c>
      <c r="Y81" s="19"/>
      <c r="Z81" s="19" t="s">
        <v>62</v>
      </c>
      <c r="AA81" s="19"/>
      <c r="AB81" s="19"/>
      <c r="AC81" s="19"/>
      <c r="AD81" s="20">
        <v>538</v>
      </c>
      <c r="AE81" s="19"/>
      <c r="AF81" s="22">
        <v>0.018345495464775284</v>
      </c>
      <c r="AG81" s="19"/>
      <c r="AH81" s="21">
        <v>4699595.64</v>
      </c>
      <c r="AI81" s="19"/>
      <c r="AJ81" s="22">
        <v>0.0257453415383225</v>
      </c>
    </row>
    <row r="82" spans="1:36" ht="12.75">
      <c r="A82" s="19" t="s">
        <v>63</v>
      </c>
      <c r="B82" s="19"/>
      <c r="C82" s="19"/>
      <c r="D82" s="19"/>
      <c r="E82" s="20">
        <v>4</v>
      </c>
      <c r="F82" s="19"/>
      <c r="G82" s="22">
        <v>0.002844950213371266</v>
      </c>
      <c r="H82" s="19"/>
      <c r="I82" s="21">
        <v>43678</v>
      </c>
      <c r="J82" s="19"/>
      <c r="K82" s="22">
        <v>0.004999894336909481</v>
      </c>
      <c r="L82" s="22"/>
      <c r="M82" s="19"/>
      <c r="N82" s="19" t="s">
        <v>63</v>
      </c>
      <c r="O82" s="19"/>
      <c r="P82" s="19"/>
      <c r="Q82" s="19"/>
      <c r="R82" s="20">
        <v>368</v>
      </c>
      <c r="S82" s="19"/>
      <c r="T82" s="22">
        <v>0.012048192771084338</v>
      </c>
      <c r="U82" s="19"/>
      <c r="V82" s="21">
        <v>3726211.68</v>
      </c>
      <c r="W82" s="19"/>
      <c r="X82" s="22">
        <f t="shared" si="3"/>
        <v>0.01911884008384635</v>
      </c>
      <c r="Y82" s="19"/>
      <c r="Z82" s="19" t="s">
        <v>63</v>
      </c>
      <c r="AA82" s="19"/>
      <c r="AB82" s="19"/>
      <c r="AC82" s="19"/>
      <c r="AD82" s="20">
        <v>368</v>
      </c>
      <c r="AE82" s="19"/>
      <c r="AF82" s="22">
        <v>0.01254859169337789</v>
      </c>
      <c r="AG82" s="19"/>
      <c r="AH82" s="21">
        <v>3559297.64</v>
      </c>
      <c r="AI82" s="19"/>
      <c r="AJ82" s="22">
        <v>0.019498556981882225</v>
      </c>
    </row>
    <row r="83" spans="1:36" ht="12.75">
      <c r="A83" s="19" t="s">
        <v>64</v>
      </c>
      <c r="B83" s="19"/>
      <c r="C83" s="19"/>
      <c r="D83" s="19"/>
      <c r="E83" s="20">
        <v>147</v>
      </c>
      <c r="F83" s="19"/>
      <c r="G83" s="22">
        <v>0.10455192034139403</v>
      </c>
      <c r="H83" s="19"/>
      <c r="I83" s="21">
        <v>1790642.22</v>
      </c>
      <c r="J83" s="19"/>
      <c r="K83" s="22">
        <v>0.20497783541391593</v>
      </c>
      <c r="L83" s="22"/>
      <c r="M83" s="19"/>
      <c r="N83" s="19" t="s">
        <v>64</v>
      </c>
      <c r="O83" s="19"/>
      <c r="P83" s="19"/>
      <c r="Q83" s="19"/>
      <c r="R83" s="20">
        <v>12879</v>
      </c>
      <c r="S83" s="19"/>
      <c r="T83" s="22">
        <v>0.4216540073336826</v>
      </c>
      <c r="U83" s="19"/>
      <c r="V83" s="21">
        <f>110003313.51-18922.42</f>
        <v>109984391.09</v>
      </c>
      <c r="W83" s="19"/>
      <c r="X83" s="22">
        <f t="shared" si="3"/>
        <v>0.5643195195418758</v>
      </c>
      <c r="Y83" s="19"/>
      <c r="Z83" s="19" t="s">
        <v>64</v>
      </c>
      <c r="AA83" s="19"/>
      <c r="AB83" s="19"/>
      <c r="AC83" s="19"/>
      <c r="AD83" s="20">
        <v>12790</v>
      </c>
      <c r="AE83" s="19"/>
      <c r="AF83" s="22">
        <v>0.4361317602127805</v>
      </c>
      <c r="AG83" s="19"/>
      <c r="AH83" s="21">
        <v>104687813.99000049</v>
      </c>
      <c r="AI83" s="19"/>
      <c r="AJ83" s="22">
        <v>0.5735011546808187</v>
      </c>
    </row>
    <row r="84" spans="1:36" ht="12.75">
      <c r="A84" s="19" t="s">
        <v>65</v>
      </c>
      <c r="B84" s="19"/>
      <c r="C84" s="19"/>
      <c r="D84" s="19"/>
      <c r="E84" s="20">
        <v>0</v>
      </c>
      <c r="F84" s="19"/>
      <c r="G84" s="22">
        <v>0</v>
      </c>
      <c r="H84" s="19"/>
      <c r="I84" s="21">
        <v>0</v>
      </c>
      <c r="J84" s="19"/>
      <c r="K84" s="22">
        <v>0</v>
      </c>
      <c r="L84" s="22"/>
      <c r="M84" s="19"/>
      <c r="N84" s="19" t="s">
        <v>65</v>
      </c>
      <c r="O84" s="19"/>
      <c r="P84" s="19"/>
      <c r="Q84" s="19"/>
      <c r="R84" s="20">
        <v>726</v>
      </c>
      <c r="S84" s="19"/>
      <c r="T84" s="22">
        <v>0.023768988999476166</v>
      </c>
      <c r="U84" s="19"/>
      <c r="V84" s="21">
        <v>5804337.98</v>
      </c>
      <c r="W84" s="19"/>
      <c r="X84" s="22">
        <f t="shared" si="3"/>
        <v>0.029781509791256888</v>
      </c>
      <c r="Y84" s="19"/>
      <c r="Z84" s="19" t="s">
        <v>65</v>
      </c>
      <c r="AA84" s="19"/>
      <c r="AB84" s="19"/>
      <c r="AC84" s="19"/>
      <c r="AD84" s="20">
        <v>736</v>
      </c>
      <c r="AE84" s="19"/>
      <c r="AF84" s="22">
        <v>0.02509718338675578</v>
      </c>
      <c r="AG84" s="19"/>
      <c r="AH84" s="21">
        <v>5558974.73</v>
      </c>
      <c r="AI84" s="19"/>
      <c r="AJ84" s="22">
        <v>0.030453195123560515</v>
      </c>
    </row>
    <row r="85" spans="1:36" ht="12.75">
      <c r="A85" s="19"/>
      <c r="B85" s="19"/>
      <c r="C85" s="19"/>
      <c r="D85" s="19"/>
      <c r="E85" s="20"/>
      <c r="F85" s="19"/>
      <c r="G85" s="19"/>
      <c r="H85" s="19"/>
      <c r="I85" s="21"/>
      <c r="J85" s="19"/>
      <c r="K85" s="19"/>
      <c r="L85" s="19"/>
      <c r="M85" s="19"/>
      <c r="N85" s="19"/>
      <c r="O85" s="19"/>
      <c r="P85" s="19"/>
      <c r="Q85" s="19"/>
      <c r="R85" s="20"/>
      <c r="S85" s="19"/>
      <c r="T85" s="19"/>
      <c r="U85" s="19"/>
      <c r="V85" s="21"/>
      <c r="W85" s="19"/>
      <c r="X85" s="22"/>
      <c r="Y85" s="19"/>
      <c r="Z85" s="19"/>
      <c r="AA85" s="19"/>
      <c r="AB85" s="19"/>
      <c r="AC85" s="19"/>
      <c r="AD85" s="20"/>
      <c r="AE85" s="19"/>
      <c r="AF85" s="19"/>
      <c r="AG85" s="19"/>
      <c r="AH85" s="21"/>
      <c r="AI85" s="19"/>
      <c r="AJ85" s="22"/>
    </row>
    <row r="86" spans="1:36" s="16" customFormat="1" ht="13.5" thickBot="1">
      <c r="A86" s="47"/>
      <c r="B86" s="47"/>
      <c r="C86" s="47"/>
      <c r="D86" s="47"/>
      <c r="E86" s="77">
        <v>1406</v>
      </c>
      <c r="F86" s="47"/>
      <c r="G86" s="47"/>
      <c r="H86" s="47"/>
      <c r="I86" s="78">
        <v>8735784.610000001</v>
      </c>
      <c r="J86" s="47"/>
      <c r="K86" s="79"/>
      <c r="L86" s="79"/>
      <c r="M86" s="47"/>
      <c r="N86" s="57"/>
      <c r="O86" s="57"/>
      <c r="P86" s="57"/>
      <c r="Q86" s="57"/>
      <c r="R86" s="88">
        <v>30544</v>
      </c>
      <c r="S86" s="89"/>
      <c r="T86" s="89"/>
      <c r="U86" s="89"/>
      <c r="V86" s="90">
        <f>SUM(V74:V85)</f>
        <v>194897371.57999995</v>
      </c>
      <c r="W86" s="57"/>
      <c r="X86" s="22"/>
      <c r="Y86" s="47"/>
      <c r="Z86" s="57"/>
      <c r="AA86" s="57"/>
      <c r="AB86" s="57"/>
      <c r="AC86" s="57"/>
      <c r="AD86" s="88">
        <v>29326</v>
      </c>
      <c r="AE86" s="89"/>
      <c r="AF86" s="89"/>
      <c r="AG86" s="89"/>
      <c r="AH86" s="90">
        <v>182541592.3500003</v>
      </c>
      <c r="AI86" s="57"/>
      <c r="AJ86" s="22"/>
    </row>
    <row r="87" spans="1:36" ht="13.5" thickTop="1">
      <c r="A87" s="19"/>
      <c r="B87" s="19"/>
      <c r="C87" s="19"/>
      <c r="D87" s="19"/>
      <c r="E87" s="20"/>
      <c r="F87" s="19"/>
      <c r="G87" s="19"/>
      <c r="H87" s="19"/>
      <c r="I87" s="21"/>
      <c r="J87" s="19"/>
      <c r="K87" s="19"/>
      <c r="L87" s="19"/>
      <c r="M87" s="19"/>
      <c r="N87" s="19"/>
      <c r="O87" s="19"/>
      <c r="P87" s="19"/>
      <c r="Q87" s="19"/>
      <c r="R87" s="20"/>
      <c r="S87" s="19"/>
      <c r="T87" s="19"/>
      <c r="U87" s="19"/>
      <c r="V87" s="21"/>
      <c r="W87" s="19"/>
      <c r="X87" s="22"/>
      <c r="Y87" s="19"/>
      <c r="Z87" s="19"/>
      <c r="AA87" s="19"/>
      <c r="AB87" s="19"/>
      <c r="AC87" s="19"/>
      <c r="AD87" s="20"/>
      <c r="AE87" s="19"/>
      <c r="AF87" s="19"/>
      <c r="AG87" s="19"/>
      <c r="AH87" s="21"/>
      <c r="AI87" s="19"/>
      <c r="AJ87" s="22"/>
    </row>
    <row r="88" spans="1:36" ht="12.75">
      <c r="A88" s="19"/>
      <c r="B88" s="19"/>
      <c r="C88" s="19"/>
      <c r="D88" s="19"/>
      <c r="E88" s="20"/>
      <c r="F88" s="19"/>
      <c r="G88" s="19"/>
      <c r="H88" s="19"/>
      <c r="I88" s="21"/>
      <c r="J88" s="19"/>
      <c r="K88" s="19"/>
      <c r="L88" s="19"/>
      <c r="M88" s="19"/>
      <c r="N88" s="19"/>
      <c r="O88" s="19"/>
      <c r="P88" s="19"/>
      <c r="Q88" s="19"/>
      <c r="R88" s="20"/>
      <c r="S88" s="19"/>
      <c r="T88" s="19"/>
      <c r="U88" s="19"/>
      <c r="V88" s="21"/>
      <c r="W88" s="19"/>
      <c r="X88" s="22"/>
      <c r="Y88" s="19"/>
      <c r="Z88" s="19"/>
      <c r="AA88" s="19"/>
      <c r="AB88" s="19"/>
      <c r="AC88" s="19"/>
      <c r="AD88" s="20"/>
      <c r="AE88" s="19"/>
      <c r="AF88" s="19"/>
      <c r="AG88" s="19"/>
      <c r="AH88" s="21"/>
      <c r="AI88" s="19"/>
      <c r="AJ88" s="22"/>
    </row>
    <row r="89" spans="1:36" ht="12.75">
      <c r="A89" s="19"/>
      <c r="B89" s="19"/>
      <c r="C89" s="19"/>
      <c r="D89" s="19"/>
      <c r="E89" s="20"/>
      <c r="F89" s="19"/>
      <c r="G89" s="19"/>
      <c r="H89" s="19"/>
      <c r="I89" s="21"/>
      <c r="J89" s="19"/>
      <c r="K89" s="19"/>
      <c r="L89" s="19"/>
      <c r="M89" s="19"/>
      <c r="N89" s="19"/>
      <c r="O89" s="19"/>
      <c r="P89" s="19"/>
      <c r="Q89" s="19"/>
      <c r="R89" s="20"/>
      <c r="S89" s="19"/>
      <c r="T89" s="19"/>
      <c r="U89" s="19"/>
      <c r="V89" s="21"/>
      <c r="W89" s="19"/>
      <c r="X89" s="22"/>
      <c r="Y89" s="19"/>
      <c r="Z89" s="19"/>
      <c r="AA89" s="19"/>
      <c r="AB89" s="19"/>
      <c r="AC89" s="19"/>
      <c r="AD89" s="20"/>
      <c r="AE89" s="19"/>
      <c r="AF89" s="19"/>
      <c r="AG89" s="19"/>
      <c r="AH89" s="21"/>
      <c r="AI89" s="19"/>
      <c r="AJ89" s="22"/>
    </row>
    <row r="90" spans="1:36" s="15" customFormat="1" ht="12.75">
      <c r="A90" s="55" t="s">
        <v>88</v>
      </c>
      <c r="B90" s="46"/>
      <c r="C90" s="46"/>
      <c r="D90" s="46"/>
      <c r="E90" s="48"/>
      <c r="F90" s="46"/>
      <c r="G90" s="46"/>
      <c r="H90" s="46"/>
      <c r="I90" s="49"/>
      <c r="J90" s="46"/>
      <c r="K90" s="46"/>
      <c r="L90" s="46"/>
      <c r="M90" s="46"/>
      <c r="N90" s="55" t="s">
        <v>88</v>
      </c>
      <c r="O90" s="19"/>
      <c r="P90" s="19"/>
      <c r="Q90" s="19"/>
      <c r="R90" s="20"/>
      <c r="S90" s="19"/>
      <c r="T90" s="19"/>
      <c r="U90" s="19"/>
      <c r="V90" s="21"/>
      <c r="W90" s="19"/>
      <c r="X90" s="22"/>
      <c r="Y90" s="46"/>
      <c r="Z90" s="55" t="s">
        <v>88</v>
      </c>
      <c r="AA90" s="19"/>
      <c r="AB90" s="19"/>
      <c r="AC90" s="19"/>
      <c r="AD90" s="20"/>
      <c r="AE90" s="19"/>
      <c r="AF90" s="19"/>
      <c r="AG90" s="19"/>
      <c r="AH90" s="21"/>
      <c r="AI90" s="19"/>
      <c r="AJ90" s="22"/>
    </row>
    <row r="91" spans="1:36" ht="12.75">
      <c r="A91" s="19"/>
      <c r="B91" s="19"/>
      <c r="C91" s="19"/>
      <c r="D91" s="19"/>
      <c r="E91" s="20"/>
      <c r="F91" s="19"/>
      <c r="G91" s="19"/>
      <c r="H91" s="19"/>
      <c r="I91" s="21"/>
      <c r="J91" s="19"/>
      <c r="K91" s="19"/>
      <c r="L91" s="19"/>
      <c r="M91" s="19"/>
      <c r="N91" s="19"/>
      <c r="O91" s="19"/>
      <c r="P91" s="19"/>
      <c r="Q91" s="19"/>
      <c r="R91" s="20"/>
      <c r="S91" s="19"/>
      <c r="T91" s="19"/>
      <c r="U91" s="19"/>
      <c r="V91" s="21"/>
      <c r="W91" s="19"/>
      <c r="X91" s="22"/>
      <c r="Y91" s="19"/>
      <c r="Z91" s="19"/>
      <c r="AA91" s="19"/>
      <c r="AB91" s="19"/>
      <c r="AC91" s="19"/>
      <c r="AD91" s="20"/>
      <c r="AE91" s="19"/>
      <c r="AF91" s="19"/>
      <c r="AG91" s="19"/>
      <c r="AH91" s="21"/>
      <c r="AI91" s="19"/>
      <c r="AJ91" s="22"/>
    </row>
    <row r="92" spans="1:36" s="17" customFormat="1" ht="12.75">
      <c r="A92" s="66"/>
      <c r="B92" s="66"/>
      <c r="C92" s="66"/>
      <c r="D92" s="66"/>
      <c r="E92" s="67" t="s">
        <v>83</v>
      </c>
      <c r="F92" s="66"/>
      <c r="G92" s="66" t="s">
        <v>84</v>
      </c>
      <c r="H92" s="66"/>
      <c r="I92" s="68" t="s">
        <v>85</v>
      </c>
      <c r="J92" s="66"/>
      <c r="K92" s="66" t="s">
        <v>84</v>
      </c>
      <c r="L92" s="66"/>
      <c r="M92" s="69"/>
      <c r="N92" s="57"/>
      <c r="O92" s="57"/>
      <c r="P92" s="57"/>
      <c r="Q92" s="57"/>
      <c r="R92" s="67" t="s">
        <v>83</v>
      </c>
      <c r="S92" s="66"/>
      <c r="T92" s="66" t="s">
        <v>84</v>
      </c>
      <c r="U92" s="66"/>
      <c r="V92" s="68" t="s">
        <v>85</v>
      </c>
      <c r="W92" s="66"/>
      <c r="X92" s="66" t="s">
        <v>84</v>
      </c>
      <c r="Y92" s="69"/>
      <c r="Z92" s="57"/>
      <c r="AA92" s="57"/>
      <c r="AB92" s="57"/>
      <c r="AC92" s="57"/>
      <c r="AD92" s="67" t="s">
        <v>83</v>
      </c>
      <c r="AE92" s="66"/>
      <c r="AF92" s="66" t="s">
        <v>84</v>
      </c>
      <c r="AG92" s="66"/>
      <c r="AH92" s="68" t="s">
        <v>85</v>
      </c>
      <c r="AI92" s="66"/>
      <c r="AJ92" s="66" t="s">
        <v>84</v>
      </c>
    </row>
    <row r="93" spans="1:36" ht="12.75">
      <c r="A93" s="19"/>
      <c r="B93" s="19"/>
      <c r="C93" s="19"/>
      <c r="D93" s="19"/>
      <c r="E93" s="20"/>
      <c r="F93" s="19"/>
      <c r="G93" s="19"/>
      <c r="H93" s="19"/>
      <c r="I93" s="21"/>
      <c r="J93" s="19"/>
      <c r="K93" s="19"/>
      <c r="L93" s="19"/>
      <c r="M93" s="19"/>
      <c r="N93" s="19"/>
      <c r="O93" s="19"/>
      <c r="P93" s="19"/>
      <c r="Q93" s="19"/>
      <c r="R93" s="20"/>
      <c r="S93" s="19"/>
      <c r="T93" s="19"/>
      <c r="U93" s="19"/>
      <c r="V93" s="21"/>
      <c r="W93" s="19"/>
      <c r="X93" s="22"/>
      <c r="Y93" s="19"/>
      <c r="Z93" s="19"/>
      <c r="AA93" s="19"/>
      <c r="AB93" s="19"/>
      <c r="AC93" s="19"/>
      <c r="AD93" s="20"/>
      <c r="AE93" s="19"/>
      <c r="AF93" s="19"/>
      <c r="AG93" s="19"/>
      <c r="AH93" s="21"/>
      <c r="AI93" s="19"/>
      <c r="AJ93" s="22"/>
    </row>
    <row r="94" spans="1:36" ht="12.75">
      <c r="A94" s="19" t="s">
        <v>55</v>
      </c>
      <c r="B94" s="19"/>
      <c r="C94" s="19"/>
      <c r="D94" s="19"/>
      <c r="E94" s="20">
        <v>44</v>
      </c>
      <c r="F94" s="19"/>
      <c r="G94" s="22">
        <v>0.031294452347083924</v>
      </c>
      <c r="H94" s="19"/>
      <c r="I94" s="21">
        <v>55933.6</v>
      </c>
      <c r="J94" s="19"/>
      <c r="K94" s="22">
        <v>0.0064028135418966094</v>
      </c>
      <c r="L94" s="22"/>
      <c r="M94" s="19"/>
      <c r="N94" s="19" t="s">
        <v>55</v>
      </c>
      <c r="O94" s="19"/>
      <c r="P94" s="19"/>
      <c r="Q94" s="19"/>
      <c r="R94" s="20">
        <v>1964</v>
      </c>
      <c r="S94" s="19"/>
      <c r="T94" s="22">
        <v>0.0643006809848088</v>
      </c>
      <c r="U94" s="19"/>
      <c r="V94" s="21">
        <v>2434039.53</v>
      </c>
      <c r="W94" s="19"/>
      <c r="X94" s="22">
        <f>+V94/$V$106</f>
        <v>0.012488826864455137</v>
      </c>
      <c r="Y94" s="19"/>
      <c r="Z94" s="19" t="s">
        <v>55</v>
      </c>
      <c r="AA94" s="19"/>
      <c r="AB94" s="19"/>
      <c r="AC94" s="19"/>
      <c r="AD94" s="20">
        <v>2249</v>
      </c>
      <c r="AE94" s="19"/>
      <c r="AF94" s="22">
        <v>0.0766896269521926</v>
      </c>
      <c r="AG94" s="19"/>
      <c r="AH94" s="21">
        <v>3065830.65</v>
      </c>
      <c r="AI94" s="19"/>
      <c r="AJ94" s="22">
        <v>0.01679524436338691</v>
      </c>
    </row>
    <row r="95" spans="1:36" ht="12.75">
      <c r="A95" s="19" t="s">
        <v>56</v>
      </c>
      <c r="B95" s="19"/>
      <c r="C95" s="19"/>
      <c r="D95" s="19"/>
      <c r="E95" s="20">
        <v>129</v>
      </c>
      <c r="F95" s="19"/>
      <c r="G95" s="22">
        <v>0.09174964438122332</v>
      </c>
      <c r="H95" s="19"/>
      <c r="I95" s="21">
        <v>282671.9</v>
      </c>
      <c r="J95" s="19"/>
      <c r="K95" s="22">
        <v>0.03235792920952065</v>
      </c>
      <c r="L95" s="22"/>
      <c r="M95" s="19"/>
      <c r="N95" s="19" t="s">
        <v>56</v>
      </c>
      <c r="O95" s="19"/>
      <c r="P95" s="19"/>
      <c r="Q95" s="19"/>
      <c r="R95" s="20">
        <v>2418</v>
      </c>
      <c r="S95" s="19"/>
      <c r="T95" s="22">
        <v>0.07916448402304872</v>
      </c>
      <c r="U95" s="19"/>
      <c r="V95" s="21">
        <v>6622578.269999991</v>
      </c>
      <c r="W95" s="19"/>
      <c r="X95" s="22">
        <f aca="true" t="shared" si="4" ref="X95:X104">+V95/$V$106</f>
        <v>0.03397982341327576</v>
      </c>
      <c r="Y95" s="19"/>
      <c r="Z95" s="19" t="s">
        <v>56</v>
      </c>
      <c r="AA95" s="19"/>
      <c r="AB95" s="19"/>
      <c r="AC95" s="19"/>
      <c r="AD95" s="20">
        <v>2652</v>
      </c>
      <c r="AE95" s="19"/>
      <c r="AF95" s="22">
        <v>0.09043169883379935</v>
      </c>
      <c r="AG95" s="19"/>
      <c r="AH95" s="21">
        <v>7853418.329999988</v>
      </c>
      <c r="AI95" s="19"/>
      <c r="AJ95" s="22">
        <v>0.0430226242079782</v>
      </c>
    </row>
    <row r="96" spans="1:36" ht="12.75">
      <c r="A96" s="19" t="s">
        <v>57</v>
      </c>
      <c r="B96" s="19"/>
      <c r="C96" s="19"/>
      <c r="D96" s="19"/>
      <c r="E96" s="20">
        <v>344</v>
      </c>
      <c r="F96" s="19"/>
      <c r="G96" s="22">
        <v>0.24466571834992887</v>
      </c>
      <c r="H96" s="19"/>
      <c r="I96" s="21">
        <v>1159901.75</v>
      </c>
      <c r="J96" s="19"/>
      <c r="K96" s="22">
        <v>0.13277590986758542</v>
      </c>
      <c r="L96" s="22"/>
      <c r="M96" s="19"/>
      <c r="N96" s="19" t="s">
        <v>57</v>
      </c>
      <c r="O96" s="19"/>
      <c r="P96" s="19"/>
      <c r="Q96" s="19"/>
      <c r="R96" s="20">
        <v>3367</v>
      </c>
      <c r="S96" s="19"/>
      <c r="T96" s="22">
        <v>0.11023441592456784</v>
      </c>
      <c r="U96" s="19"/>
      <c r="V96" s="21">
        <v>12979251.12</v>
      </c>
      <c r="W96" s="19"/>
      <c r="X96" s="22">
        <f t="shared" si="4"/>
        <v>0.06659531123882997</v>
      </c>
      <c r="Y96" s="19"/>
      <c r="Z96" s="19" t="s">
        <v>57</v>
      </c>
      <c r="AA96" s="19"/>
      <c r="AB96" s="19"/>
      <c r="AC96" s="19"/>
      <c r="AD96" s="20">
        <v>3077</v>
      </c>
      <c r="AE96" s="19"/>
      <c r="AF96" s="22">
        <v>0.10492395826229285</v>
      </c>
      <c r="AG96" s="19"/>
      <c r="AH96" s="21">
        <v>11488248.689999996</v>
      </c>
      <c r="AI96" s="19"/>
      <c r="AJ96" s="22">
        <v>0.06293496480502248</v>
      </c>
    </row>
    <row r="97" spans="1:36" ht="12.75">
      <c r="A97" s="19" t="s">
        <v>58</v>
      </c>
      <c r="B97" s="19"/>
      <c r="C97" s="19"/>
      <c r="D97" s="19"/>
      <c r="E97" s="20">
        <v>158</v>
      </c>
      <c r="F97" s="19"/>
      <c r="G97" s="22">
        <v>0.112375533428165</v>
      </c>
      <c r="H97" s="19"/>
      <c r="I97" s="21">
        <v>865660.62</v>
      </c>
      <c r="J97" s="19"/>
      <c r="K97" s="22">
        <v>0.09909363138476006</v>
      </c>
      <c r="L97" s="22"/>
      <c r="M97" s="19"/>
      <c r="N97" s="19" t="s">
        <v>58</v>
      </c>
      <c r="O97" s="19"/>
      <c r="P97" s="19"/>
      <c r="Q97" s="19"/>
      <c r="R97" s="20">
        <v>3120</v>
      </c>
      <c r="S97" s="19"/>
      <c r="T97" s="22">
        <v>0.10214772132006286</v>
      </c>
      <c r="U97" s="19"/>
      <c r="V97" s="21">
        <v>15246463.769999988</v>
      </c>
      <c r="W97" s="19"/>
      <c r="X97" s="22">
        <f t="shared" si="4"/>
        <v>0.07822816514352905</v>
      </c>
      <c r="Y97" s="19"/>
      <c r="Z97" s="19" t="s">
        <v>58</v>
      </c>
      <c r="AA97" s="19"/>
      <c r="AB97" s="19"/>
      <c r="AC97" s="19"/>
      <c r="AD97" s="20">
        <v>3086</v>
      </c>
      <c r="AE97" s="19"/>
      <c r="AF97" s="22">
        <v>0.10523085316783741</v>
      </c>
      <c r="AG97" s="19"/>
      <c r="AH97" s="21">
        <v>15592536.449999994</v>
      </c>
      <c r="AI97" s="19"/>
      <c r="AJ97" s="22">
        <v>0.08541908859928939</v>
      </c>
    </row>
    <row r="98" spans="1:36" ht="12.75">
      <c r="A98" s="19" t="s">
        <v>59</v>
      </c>
      <c r="B98" s="19"/>
      <c r="C98" s="19"/>
      <c r="D98" s="19"/>
      <c r="E98" s="20">
        <v>498</v>
      </c>
      <c r="F98" s="19"/>
      <c r="G98" s="22">
        <v>0.3541963015647226</v>
      </c>
      <c r="H98" s="19"/>
      <c r="I98" s="21">
        <v>3716623.63</v>
      </c>
      <c r="J98" s="19"/>
      <c r="K98" s="22">
        <v>0.42544817619993947</v>
      </c>
      <c r="L98" s="22"/>
      <c r="M98" s="19"/>
      <c r="N98" s="19" t="s">
        <v>59</v>
      </c>
      <c r="O98" s="19"/>
      <c r="P98" s="19"/>
      <c r="Q98" s="19"/>
      <c r="R98" s="20">
        <v>2812</v>
      </c>
      <c r="S98" s="19"/>
      <c r="T98" s="22">
        <v>0.09206390780513357</v>
      </c>
      <c r="U98" s="19"/>
      <c r="V98" s="21">
        <v>19012302.640000004</v>
      </c>
      <c r="W98" s="19"/>
      <c r="X98" s="22">
        <f t="shared" si="4"/>
        <v>0.09755032859535498</v>
      </c>
      <c r="Y98" s="19"/>
      <c r="Z98" s="19" t="s">
        <v>59</v>
      </c>
      <c r="AA98" s="19"/>
      <c r="AB98" s="19"/>
      <c r="AC98" s="19"/>
      <c r="AD98" s="20">
        <v>2227</v>
      </c>
      <c r="AE98" s="19"/>
      <c r="AF98" s="22">
        <v>0.07593943940530587</v>
      </c>
      <c r="AG98" s="19"/>
      <c r="AH98" s="21">
        <v>14935795.800000025</v>
      </c>
      <c r="AI98" s="19"/>
      <c r="AJ98" s="22">
        <v>0.08182132963627588</v>
      </c>
    </row>
    <row r="99" spans="1:36" ht="12.75">
      <c r="A99" s="19" t="s">
        <v>60</v>
      </c>
      <c r="B99" s="19"/>
      <c r="C99" s="19"/>
      <c r="D99" s="19"/>
      <c r="E99" s="20">
        <v>30</v>
      </c>
      <c r="F99" s="19"/>
      <c r="G99" s="22">
        <v>0.021337126600284494</v>
      </c>
      <c r="H99" s="19"/>
      <c r="I99" s="21">
        <v>265341.12</v>
      </c>
      <c r="J99" s="19"/>
      <c r="K99" s="22">
        <v>0.030374045589020075</v>
      </c>
      <c r="L99" s="22"/>
      <c r="M99" s="19"/>
      <c r="N99" s="19" t="s">
        <v>60</v>
      </c>
      <c r="O99" s="19"/>
      <c r="P99" s="19"/>
      <c r="Q99" s="19"/>
      <c r="R99" s="20">
        <v>1101</v>
      </c>
      <c r="S99" s="19"/>
      <c r="T99" s="22">
        <v>0.036046359350445256</v>
      </c>
      <c r="U99" s="19"/>
      <c r="V99" s="21">
        <v>8720343.790000023</v>
      </c>
      <c r="W99" s="19"/>
      <c r="X99" s="22">
        <f t="shared" si="4"/>
        <v>0.044743260103025866</v>
      </c>
      <c r="Y99" s="19"/>
      <c r="Z99" s="19" t="s">
        <v>60</v>
      </c>
      <c r="AA99" s="19"/>
      <c r="AB99" s="19"/>
      <c r="AC99" s="19"/>
      <c r="AD99" s="20">
        <v>1028</v>
      </c>
      <c r="AE99" s="19"/>
      <c r="AF99" s="22">
        <v>0.035054218099979544</v>
      </c>
      <c r="AG99" s="19"/>
      <c r="AH99" s="21">
        <v>8098874.249999994</v>
      </c>
      <c r="AI99" s="19"/>
      <c r="AJ99" s="22">
        <v>0.04436728170132019</v>
      </c>
    </row>
    <row r="100" spans="1:36" ht="12.75">
      <c r="A100" s="19" t="s">
        <v>61</v>
      </c>
      <c r="B100" s="19"/>
      <c r="C100" s="19"/>
      <c r="D100" s="19"/>
      <c r="E100" s="20">
        <v>39</v>
      </c>
      <c r="F100" s="19"/>
      <c r="G100" s="22">
        <v>0.027738264580369845</v>
      </c>
      <c r="H100" s="19"/>
      <c r="I100" s="21">
        <v>406464.2</v>
      </c>
      <c r="J100" s="19"/>
      <c r="K100" s="22">
        <v>0.0465286426058071</v>
      </c>
      <c r="L100" s="22"/>
      <c r="M100" s="19"/>
      <c r="N100" s="19" t="s">
        <v>61</v>
      </c>
      <c r="O100" s="19"/>
      <c r="P100" s="19"/>
      <c r="Q100" s="19"/>
      <c r="R100" s="20">
        <v>1614</v>
      </c>
      <c r="S100" s="19"/>
      <c r="T100" s="22">
        <v>0.05284180199057098</v>
      </c>
      <c r="U100" s="19"/>
      <c r="V100" s="21">
        <v>13748430.95000002</v>
      </c>
      <c r="W100" s="19"/>
      <c r="X100" s="22">
        <f t="shared" si="4"/>
        <v>0.07054190027573905</v>
      </c>
      <c r="Y100" s="19"/>
      <c r="Z100" s="19" t="s">
        <v>61</v>
      </c>
      <c r="AA100" s="19"/>
      <c r="AB100" s="19"/>
      <c r="AC100" s="19"/>
      <c r="AD100" s="20">
        <v>1901</v>
      </c>
      <c r="AE100" s="19"/>
      <c r="AF100" s="22">
        <v>0.06482302393780263</v>
      </c>
      <c r="AG100" s="19"/>
      <c r="AH100" s="21">
        <v>15568037.37999999</v>
      </c>
      <c r="AI100" s="19"/>
      <c r="AJ100" s="22">
        <v>0.08528487770694092</v>
      </c>
    </row>
    <row r="101" spans="1:36" ht="12.75">
      <c r="A101" s="19" t="s">
        <v>62</v>
      </c>
      <c r="B101" s="19"/>
      <c r="C101" s="19"/>
      <c r="D101" s="19"/>
      <c r="E101" s="20">
        <v>13</v>
      </c>
      <c r="F101" s="19"/>
      <c r="G101" s="22">
        <v>0.009246088193456615</v>
      </c>
      <c r="H101" s="19"/>
      <c r="I101" s="21">
        <v>148867.57</v>
      </c>
      <c r="J101" s="19"/>
      <c r="K101" s="22">
        <v>0.017041121850645078</v>
      </c>
      <c r="L101" s="22"/>
      <c r="M101" s="19"/>
      <c r="N101" s="19" t="s">
        <v>62</v>
      </c>
      <c r="O101" s="19"/>
      <c r="P101" s="19"/>
      <c r="Q101" s="19"/>
      <c r="R101" s="20">
        <v>3340</v>
      </c>
      <c r="S101" s="19"/>
      <c r="T101" s="22">
        <v>0.10935044525929806</v>
      </c>
      <c r="U101" s="19"/>
      <c r="V101" s="21">
        <v>24671504.479999986</v>
      </c>
      <c r="W101" s="19"/>
      <c r="X101" s="22">
        <f t="shared" si="4"/>
        <v>0.126587158564491</v>
      </c>
      <c r="Y101" s="19"/>
      <c r="Z101" s="19" t="s">
        <v>62</v>
      </c>
      <c r="AA101" s="19"/>
      <c r="AB101" s="19"/>
      <c r="AC101" s="19"/>
      <c r="AD101" s="20">
        <v>3983</v>
      </c>
      <c r="AE101" s="19"/>
      <c r="AF101" s="22">
        <v>0.135818045420446</v>
      </c>
      <c r="AG101" s="19"/>
      <c r="AH101" s="21">
        <v>28977641.25999988</v>
      </c>
      <c r="AI101" s="19"/>
      <c r="AJ101" s="22">
        <v>0.15874541734268988</v>
      </c>
    </row>
    <row r="102" spans="1:36" ht="12.75">
      <c r="A102" s="19" t="s">
        <v>63</v>
      </c>
      <c r="B102" s="19"/>
      <c r="C102" s="19"/>
      <c r="D102" s="19"/>
      <c r="E102" s="20">
        <v>4</v>
      </c>
      <c r="F102" s="19"/>
      <c r="G102" s="22">
        <v>0.002844950213371266</v>
      </c>
      <c r="H102" s="19"/>
      <c r="I102" s="21">
        <v>43678</v>
      </c>
      <c r="J102" s="19"/>
      <c r="K102" s="22">
        <v>0.004999894336909481</v>
      </c>
      <c r="L102" s="22"/>
      <c r="M102" s="19"/>
      <c r="N102" s="19" t="s">
        <v>63</v>
      </c>
      <c r="O102" s="19"/>
      <c r="P102" s="19"/>
      <c r="Q102" s="19"/>
      <c r="R102" s="20">
        <v>4968</v>
      </c>
      <c r="S102" s="19"/>
      <c r="T102" s="22">
        <v>0.16265060240963855</v>
      </c>
      <c r="U102" s="19"/>
      <c r="V102" s="21">
        <v>41324877.94000005</v>
      </c>
      <c r="W102" s="19"/>
      <c r="X102" s="22">
        <f t="shared" si="4"/>
        <v>0.21203404440494117</v>
      </c>
      <c r="Y102" s="19"/>
      <c r="Z102" s="19" t="s">
        <v>63</v>
      </c>
      <c r="AA102" s="19"/>
      <c r="AB102" s="19"/>
      <c r="AC102" s="19"/>
      <c r="AD102" s="20">
        <v>4842</v>
      </c>
      <c r="AE102" s="19"/>
      <c r="AF102" s="22">
        <v>0.16510945918297756</v>
      </c>
      <c r="AG102" s="19"/>
      <c r="AH102" s="21">
        <v>41416791.359999865</v>
      </c>
      <c r="AI102" s="19"/>
      <c r="AJ102" s="22">
        <v>0.2268896136316624</v>
      </c>
    </row>
    <row r="103" spans="1:36" ht="12.75">
      <c r="A103" s="19" t="s">
        <v>64</v>
      </c>
      <c r="B103" s="19"/>
      <c r="C103" s="19"/>
      <c r="D103" s="19"/>
      <c r="E103" s="20">
        <v>147</v>
      </c>
      <c r="F103" s="19"/>
      <c r="G103" s="22">
        <v>0.10455192034139403</v>
      </c>
      <c r="H103" s="19"/>
      <c r="I103" s="21">
        <v>1790642.22</v>
      </c>
      <c r="J103" s="19"/>
      <c r="K103" s="22">
        <v>0.20497783541391593</v>
      </c>
      <c r="L103" s="22"/>
      <c r="M103" s="19"/>
      <c r="N103" s="19" t="s">
        <v>64</v>
      </c>
      <c r="O103" s="19"/>
      <c r="P103" s="19"/>
      <c r="Q103" s="19"/>
      <c r="R103" s="20">
        <v>5077</v>
      </c>
      <c r="S103" s="19"/>
      <c r="T103" s="22">
        <v>0.1662192247249869</v>
      </c>
      <c r="U103" s="19"/>
      <c r="V103" s="21">
        <f>45735361.06-18922.42</f>
        <v>45716438.64</v>
      </c>
      <c r="W103" s="19"/>
      <c r="X103" s="22">
        <f t="shared" si="4"/>
        <v>0.23456672744934712</v>
      </c>
      <c r="Y103" s="19"/>
      <c r="Z103" s="19" t="s">
        <v>64</v>
      </c>
      <c r="AA103" s="19"/>
      <c r="AB103" s="19"/>
      <c r="AC103" s="19"/>
      <c r="AD103" s="20">
        <v>3548</v>
      </c>
      <c r="AE103" s="19"/>
      <c r="AF103" s="22">
        <v>0.12098479165245857</v>
      </c>
      <c r="AG103" s="19"/>
      <c r="AH103" s="21">
        <v>31369277.159999985</v>
      </c>
      <c r="AI103" s="19"/>
      <c r="AJ103" s="22">
        <v>0.17184728563040844</v>
      </c>
    </row>
    <row r="104" spans="1:36" ht="12.75">
      <c r="A104" s="19" t="s">
        <v>65</v>
      </c>
      <c r="B104" s="19"/>
      <c r="C104" s="19"/>
      <c r="D104" s="19"/>
      <c r="E104" s="20">
        <v>0</v>
      </c>
      <c r="F104" s="19"/>
      <c r="G104" s="22">
        <v>0</v>
      </c>
      <c r="H104" s="19"/>
      <c r="I104" s="21">
        <v>0</v>
      </c>
      <c r="J104" s="19"/>
      <c r="K104" s="22">
        <v>0</v>
      </c>
      <c r="L104" s="22"/>
      <c r="M104" s="19"/>
      <c r="N104" s="19" t="s">
        <v>65</v>
      </c>
      <c r="O104" s="19"/>
      <c r="P104" s="19"/>
      <c r="Q104" s="19"/>
      <c r="R104" s="20">
        <v>763</v>
      </c>
      <c r="S104" s="19"/>
      <c r="T104" s="22">
        <v>0.02498035620743845</v>
      </c>
      <c r="U104" s="19"/>
      <c r="V104" s="21">
        <v>4421140.45</v>
      </c>
      <c r="W104" s="19"/>
      <c r="X104" s="22">
        <f t="shared" si="4"/>
        <v>0.022684453947010994</v>
      </c>
      <c r="Y104" s="19"/>
      <c r="Z104" s="19" t="s">
        <v>65</v>
      </c>
      <c r="AA104" s="19"/>
      <c r="AB104" s="19"/>
      <c r="AC104" s="19"/>
      <c r="AD104" s="20">
        <v>733</v>
      </c>
      <c r="AE104" s="19"/>
      <c r="AF104" s="22">
        <v>0.02499488508490759</v>
      </c>
      <c r="AG104" s="19"/>
      <c r="AH104" s="21">
        <v>4175141.02</v>
      </c>
      <c r="AI104" s="19"/>
      <c r="AJ104" s="22">
        <v>0.022872272375025142</v>
      </c>
    </row>
    <row r="105" spans="1:36" ht="12.75">
      <c r="A105" s="19"/>
      <c r="B105" s="19"/>
      <c r="C105" s="19"/>
      <c r="D105" s="19"/>
      <c r="E105" s="20"/>
      <c r="F105" s="19"/>
      <c r="G105" s="19"/>
      <c r="H105" s="19"/>
      <c r="I105" s="21"/>
      <c r="J105" s="19"/>
      <c r="K105" s="19"/>
      <c r="L105" s="19"/>
      <c r="M105" s="19"/>
      <c r="N105" s="19"/>
      <c r="O105" s="19"/>
      <c r="P105" s="19"/>
      <c r="Q105" s="19"/>
      <c r="R105" s="20"/>
      <c r="S105" s="19"/>
      <c r="T105" s="19"/>
      <c r="U105" s="19"/>
      <c r="V105" s="21"/>
      <c r="W105" s="19"/>
      <c r="X105" s="22"/>
      <c r="Y105" s="19"/>
      <c r="Z105" s="19"/>
      <c r="AA105" s="19"/>
      <c r="AB105" s="19"/>
      <c r="AC105" s="19"/>
      <c r="AD105" s="20"/>
      <c r="AE105" s="19"/>
      <c r="AF105" s="19"/>
      <c r="AG105" s="19"/>
      <c r="AH105" s="21"/>
      <c r="AI105" s="19"/>
      <c r="AJ105" s="22"/>
    </row>
    <row r="106" spans="1:36" s="15" customFormat="1" ht="13.5" thickBot="1">
      <c r="A106" s="47"/>
      <c r="B106" s="47"/>
      <c r="C106" s="47"/>
      <c r="D106" s="47"/>
      <c r="E106" s="77">
        <v>1406</v>
      </c>
      <c r="F106" s="47"/>
      <c r="G106" s="47"/>
      <c r="H106" s="47"/>
      <c r="I106" s="78">
        <v>8735784.610000001</v>
      </c>
      <c r="J106" s="47"/>
      <c r="K106" s="79"/>
      <c r="L106" s="79"/>
      <c r="M106" s="46"/>
      <c r="N106" s="57"/>
      <c r="O106" s="57"/>
      <c r="P106" s="57"/>
      <c r="Q106" s="57"/>
      <c r="R106" s="88">
        <v>30544</v>
      </c>
      <c r="S106" s="57"/>
      <c r="T106" s="82"/>
      <c r="U106" s="57"/>
      <c r="V106" s="90">
        <f>SUM(V94:V105)</f>
        <v>194897371.58000004</v>
      </c>
      <c r="W106" s="57"/>
      <c r="X106" s="22"/>
      <c r="Y106" s="46"/>
      <c r="Z106" s="57"/>
      <c r="AA106" s="57"/>
      <c r="AB106" s="57"/>
      <c r="AC106" s="57"/>
      <c r="AD106" s="88">
        <v>29326</v>
      </c>
      <c r="AE106" s="57"/>
      <c r="AF106" s="82"/>
      <c r="AG106" s="57"/>
      <c r="AH106" s="90">
        <v>182541592.34999976</v>
      </c>
      <c r="AI106" s="57"/>
      <c r="AJ106" s="22"/>
    </row>
    <row r="107" spans="1:36" ht="13.5" thickTop="1">
      <c r="A107" s="19"/>
      <c r="B107" s="19"/>
      <c r="C107" s="19"/>
      <c r="D107" s="19"/>
      <c r="E107" s="20"/>
      <c r="F107" s="19"/>
      <c r="G107" s="19"/>
      <c r="H107" s="19"/>
      <c r="I107" s="21"/>
      <c r="J107" s="19"/>
      <c r="K107" s="19"/>
      <c r="L107" s="19"/>
      <c r="M107" s="19"/>
      <c r="N107" s="19"/>
      <c r="O107" s="19"/>
      <c r="P107" s="19"/>
      <c r="Q107" s="19"/>
      <c r="R107" s="20"/>
      <c r="S107" s="19"/>
      <c r="T107" s="19"/>
      <c r="U107" s="19"/>
      <c r="V107" s="21"/>
      <c r="W107" s="19"/>
      <c r="X107" s="22"/>
      <c r="Y107" s="19"/>
      <c r="Z107" s="19"/>
      <c r="AA107" s="19"/>
      <c r="AB107" s="19"/>
      <c r="AC107" s="19"/>
      <c r="AD107" s="20"/>
      <c r="AE107" s="19"/>
      <c r="AF107" s="19"/>
      <c r="AG107" s="19"/>
      <c r="AH107" s="21"/>
      <c r="AI107" s="19"/>
      <c r="AJ107" s="22"/>
    </row>
    <row r="108" spans="1:36" ht="12.75">
      <c r="A108" s="19"/>
      <c r="B108" s="19"/>
      <c r="C108" s="19"/>
      <c r="D108" s="19"/>
      <c r="E108" s="20"/>
      <c r="F108" s="19"/>
      <c r="G108" s="19"/>
      <c r="H108" s="19"/>
      <c r="I108" s="21"/>
      <c r="J108" s="19"/>
      <c r="K108" s="19"/>
      <c r="L108" s="19"/>
      <c r="M108" s="19"/>
      <c r="N108" s="19"/>
      <c r="O108" s="19"/>
      <c r="P108" s="19"/>
      <c r="Q108" s="19"/>
      <c r="R108" s="20"/>
      <c r="S108" s="19"/>
      <c r="T108" s="19"/>
      <c r="U108" s="19"/>
      <c r="V108" s="21"/>
      <c r="W108" s="19"/>
      <c r="X108" s="22"/>
      <c r="Y108" s="19"/>
      <c r="Z108" s="19"/>
      <c r="AA108" s="19"/>
      <c r="AB108" s="19"/>
      <c r="AC108" s="19"/>
      <c r="AD108" s="20"/>
      <c r="AE108" s="19"/>
      <c r="AF108" s="19"/>
      <c r="AG108" s="19"/>
      <c r="AH108" s="21"/>
      <c r="AI108" s="19"/>
      <c r="AJ108" s="22"/>
    </row>
    <row r="109" spans="1:36" s="15" customFormat="1" ht="12.75">
      <c r="A109" s="55" t="s">
        <v>89</v>
      </c>
      <c r="B109" s="46"/>
      <c r="C109" s="46"/>
      <c r="D109" s="46"/>
      <c r="E109" s="48"/>
      <c r="F109" s="46"/>
      <c r="G109" s="46"/>
      <c r="H109" s="46"/>
      <c r="I109" s="49"/>
      <c r="J109" s="46"/>
      <c r="K109" s="46"/>
      <c r="L109" s="46"/>
      <c r="M109" s="46"/>
      <c r="N109" s="55" t="s">
        <v>89</v>
      </c>
      <c r="O109" s="19"/>
      <c r="P109" s="19"/>
      <c r="Q109" s="19"/>
      <c r="R109" s="20"/>
      <c r="S109" s="19"/>
      <c r="T109" s="19"/>
      <c r="U109" s="19"/>
      <c r="V109" s="21"/>
      <c r="W109" s="19"/>
      <c r="X109" s="22"/>
      <c r="Y109" s="46"/>
      <c r="Z109" s="55" t="s">
        <v>89</v>
      </c>
      <c r="AA109" s="19"/>
      <c r="AB109" s="19"/>
      <c r="AC109" s="19"/>
      <c r="AD109" s="20"/>
      <c r="AE109" s="19"/>
      <c r="AF109" s="19"/>
      <c r="AG109" s="19"/>
      <c r="AH109" s="21"/>
      <c r="AI109" s="19"/>
      <c r="AJ109" s="22"/>
    </row>
    <row r="110" spans="1:36" ht="12.75">
      <c r="A110" s="19"/>
      <c r="B110" s="19"/>
      <c r="C110" s="19"/>
      <c r="D110" s="19"/>
      <c r="E110" s="20"/>
      <c r="F110" s="19"/>
      <c r="G110" s="19"/>
      <c r="H110" s="19"/>
      <c r="I110" s="21"/>
      <c r="J110" s="19"/>
      <c r="K110" s="19"/>
      <c r="L110" s="19"/>
      <c r="M110" s="19"/>
      <c r="N110" s="19"/>
      <c r="O110" s="19"/>
      <c r="P110" s="19"/>
      <c r="Q110" s="19"/>
      <c r="R110" s="20"/>
      <c r="S110" s="19"/>
      <c r="T110" s="19"/>
      <c r="U110" s="19"/>
      <c r="V110" s="21"/>
      <c r="W110" s="19"/>
      <c r="X110" s="22"/>
      <c r="Y110" s="19"/>
      <c r="Z110" s="19"/>
      <c r="AA110" s="19"/>
      <c r="AB110" s="19"/>
      <c r="AC110" s="19"/>
      <c r="AD110" s="20"/>
      <c r="AE110" s="19"/>
      <c r="AF110" s="19"/>
      <c r="AG110" s="19"/>
      <c r="AH110" s="21"/>
      <c r="AI110" s="19"/>
      <c r="AJ110" s="22"/>
    </row>
    <row r="111" spans="1:36" s="17" customFormat="1" ht="12.75">
      <c r="A111" s="66"/>
      <c r="B111" s="66"/>
      <c r="C111" s="66"/>
      <c r="D111" s="66"/>
      <c r="E111" s="67" t="s">
        <v>83</v>
      </c>
      <c r="F111" s="66"/>
      <c r="G111" s="66" t="s">
        <v>84</v>
      </c>
      <c r="H111" s="66"/>
      <c r="I111" s="68" t="s">
        <v>85</v>
      </c>
      <c r="J111" s="66"/>
      <c r="K111" s="66" t="s">
        <v>84</v>
      </c>
      <c r="L111" s="66"/>
      <c r="M111" s="69"/>
      <c r="N111" s="57"/>
      <c r="O111" s="57"/>
      <c r="P111" s="57"/>
      <c r="Q111" s="57"/>
      <c r="R111" s="67" t="s">
        <v>83</v>
      </c>
      <c r="S111" s="66"/>
      <c r="T111" s="66" t="s">
        <v>84</v>
      </c>
      <c r="U111" s="66"/>
      <c r="V111" s="68" t="s">
        <v>85</v>
      </c>
      <c r="W111" s="66"/>
      <c r="X111" s="66" t="s">
        <v>84</v>
      </c>
      <c r="Y111" s="69"/>
      <c r="Z111" s="57"/>
      <c r="AA111" s="57"/>
      <c r="AB111" s="57"/>
      <c r="AC111" s="57"/>
      <c r="AD111" s="67" t="s">
        <v>83</v>
      </c>
      <c r="AE111" s="66"/>
      <c r="AF111" s="66" t="s">
        <v>84</v>
      </c>
      <c r="AG111" s="66"/>
      <c r="AH111" s="68" t="s">
        <v>85</v>
      </c>
      <c r="AI111" s="66"/>
      <c r="AJ111" s="66" t="s">
        <v>84</v>
      </c>
    </row>
    <row r="112" spans="1:36" ht="12.75">
      <c r="A112" s="19"/>
      <c r="B112" s="19"/>
      <c r="C112" s="19"/>
      <c r="D112" s="19"/>
      <c r="E112" s="20"/>
      <c r="F112" s="19"/>
      <c r="G112" s="19"/>
      <c r="H112" s="19"/>
      <c r="I112" s="21"/>
      <c r="J112" s="19"/>
      <c r="K112" s="19"/>
      <c r="L112" s="19"/>
      <c r="M112" s="19"/>
      <c r="N112" s="19"/>
      <c r="O112" s="19"/>
      <c r="P112" s="19"/>
      <c r="Q112" s="19"/>
      <c r="R112" s="20"/>
      <c r="S112" s="19"/>
      <c r="T112" s="19"/>
      <c r="U112" s="19"/>
      <c r="V112" s="21"/>
      <c r="W112" s="19"/>
      <c r="X112" s="22"/>
      <c r="Y112" s="19"/>
      <c r="Z112" s="19"/>
      <c r="AA112" s="19"/>
      <c r="AB112" s="19"/>
      <c r="AC112" s="19"/>
      <c r="AD112" s="20"/>
      <c r="AE112" s="19"/>
      <c r="AF112" s="19"/>
      <c r="AG112" s="19"/>
      <c r="AH112" s="21"/>
      <c r="AI112" s="19"/>
      <c r="AJ112" s="22"/>
    </row>
    <row r="113" spans="1:36" ht="12.75">
      <c r="A113" s="19" t="s">
        <v>66</v>
      </c>
      <c r="B113" s="19"/>
      <c r="C113" s="19"/>
      <c r="D113" s="19"/>
      <c r="E113" s="20">
        <v>71</v>
      </c>
      <c r="F113" s="19"/>
      <c r="G113" s="22">
        <v>0.050497866287339974</v>
      </c>
      <c r="H113" s="19"/>
      <c r="I113" s="21">
        <v>523920.7</v>
      </c>
      <c r="J113" s="19"/>
      <c r="K113" s="22">
        <v>0.059974086288741506</v>
      </c>
      <c r="L113" s="22"/>
      <c r="M113" s="19"/>
      <c r="N113" s="19" t="s">
        <v>66</v>
      </c>
      <c r="O113" s="19"/>
      <c r="P113" s="19"/>
      <c r="Q113" s="19"/>
      <c r="R113" s="20">
        <v>2071</v>
      </c>
      <c r="S113" s="19"/>
      <c r="T113" s="22">
        <v>0.06780382399161865</v>
      </c>
      <c r="U113" s="19"/>
      <c r="V113" s="21">
        <v>15565670.469999986</v>
      </c>
      <c r="W113" s="19"/>
      <c r="X113" s="22">
        <f>+V113/$V$127</f>
        <v>0.0798659845631151</v>
      </c>
      <c r="Y113" s="19"/>
      <c r="Z113" s="19" t="s">
        <v>66</v>
      </c>
      <c r="AA113" s="19"/>
      <c r="AB113" s="19"/>
      <c r="AC113" s="19"/>
      <c r="AD113" s="20">
        <v>1988</v>
      </c>
      <c r="AE113" s="19"/>
      <c r="AF113" s="22">
        <v>0.06778967469140013</v>
      </c>
      <c r="AG113" s="19"/>
      <c r="AH113" s="21">
        <v>14683742.45000003</v>
      </c>
      <c r="AI113" s="19"/>
      <c r="AJ113" s="22">
        <v>0.08044053007845933</v>
      </c>
    </row>
    <row r="114" spans="1:36" ht="12.75">
      <c r="A114" s="19" t="s">
        <v>67</v>
      </c>
      <c r="B114" s="19"/>
      <c r="C114" s="19"/>
      <c r="D114" s="19"/>
      <c r="E114" s="20">
        <v>152</v>
      </c>
      <c r="F114" s="19"/>
      <c r="G114" s="22">
        <v>0.10810810810810811</v>
      </c>
      <c r="H114" s="19"/>
      <c r="I114" s="21">
        <v>856212.29</v>
      </c>
      <c r="J114" s="19"/>
      <c r="K114" s="22">
        <v>0.0980120651120312</v>
      </c>
      <c r="L114" s="22"/>
      <c r="M114" s="19"/>
      <c r="N114" s="19" t="s">
        <v>67</v>
      </c>
      <c r="O114" s="19"/>
      <c r="P114" s="19"/>
      <c r="Q114" s="19"/>
      <c r="R114" s="20">
        <v>3434</v>
      </c>
      <c r="S114" s="19"/>
      <c r="T114" s="22">
        <v>0.11242797276060765</v>
      </c>
      <c r="U114" s="19"/>
      <c r="V114" s="21">
        <v>24416558.799999997</v>
      </c>
      <c r="W114" s="19"/>
      <c r="X114" s="22">
        <f aca="true" t="shared" si="5" ref="X114:X125">+V114/$V$127</f>
        <v>0.1252790563672516</v>
      </c>
      <c r="Y114" s="19"/>
      <c r="Z114" s="19" t="s">
        <v>67</v>
      </c>
      <c r="AA114" s="19"/>
      <c r="AB114" s="19"/>
      <c r="AC114" s="19"/>
      <c r="AD114" s="20">
        <v>3263</v>
      </c>
      <c r="AE114" s="19"/>
      <c r="AF114" s="22">
        <v>0.11126645297688058</v>
      </c>
      <c r="AG114" s="19"/>
      <c r="AH114" s="21">
        <v>23049512.429999884</v>
      </c>
      <c r="AI114" s="19"/>
      <c r="AJ114" s="22">
        <v>0.1262699209164639</v>
      </c>
    </row>
    <row r="115" spans="1:36" ht="12.75">
      <c r="A115" s="19" t="s">
        <v>68</v>
      </c>
      <c r="B115" s="19"/>
      <c r="C115" s="19"/>
      <c r="D115" s="19"/>
      <c r="E115" s="20">
        <v>120</v>
      </c>
      <c r="F115" s="19"/>
      <c r="G115" s="22">
        <v>0.08534850640113797</v>
      </c>
      <c r="H115" s="19"/>
      <c r="I115" s="21">
        <v>767458.89</v>
      </c>
      <c r="J115" s="19"/>
      <c r="K115" s="22">
        <v>0.08785231370305042</v>
      </c>
      <c r="L115" s="22"/>
      <c r="M115" s="19"/>
      <c r="N115" s="19" t="s">
        <v>68</v>
      </c>
      <c r="O115" s="19"/>
      <c r="P115" s="19"/>
      <c r="Q115" s="19"/>
      <c r="R115" s="20">
        <v>2970</v>
      </c>
      <c r="S115" s="19"/>
      <c r="T115" s="22">
        <v>0.09723677317967522</v>
      </c>
      <c r="U115" s="19"/>
      <c r="V115" s="21">
        <v>21584997.460000023</v>
      </c>
      <c r="W115" s="19"/>
      <c r="X115" s="22">
        <f t="shared" si="5"/>
        <v>0.11075058265288087</v>
      </c>
      <c r="Y115" s="19"/>
      <c r="Z115" s="19" t="s">
        <v>68</v>
      </c>
      <c r="AA115" s="19"/>
      <c r="AB115" s="19"/>
      <c r="AC115" s="19"/>
      <c r="AD115" s="20">
        <v>2837</v>
      </c>
      <c r="AE115" s="19"/>
      <c r="AF115" s="22">
        <v>0.0967400941144377</v>
      </c>
      <c r="AG115" s="19"/>
      <c r="AH115" s="21">
        <v>20377659.660000015</v>
      </c>
      <c r="AI115" s="19"/>
      <c r="AJ115" s="22">
        <v>0.11163296757556757</v>
      </c>
    </row>
    <row r="116" spans="1:36" ht="12.75">
      <c r="A116" s="19" t="s">
        <v>69</v>
      </c>
      <c r="B116" s="19"/>
      <c r="C116" s="19"/>
      <c r="D116" s="19"/>
      <c r="E116" s="20">
        <v>93</v>
      </c>
      <c r="F116" s="19"/>
      <c r="G116" s="22">
        <v>0.06614509246088193</v>
      </c>
      <c r="H116" s="19"/>
      <c r="I116" s="21">
        <v>553911.67</v>
      </c>
      <c r="J116" s="19"/>
      <c r="K116" s="22">
        <v>0.06340720321399958</v>
      </c>
      <c r="L116" s="22"/>
      <c r="M116" s="19"/>
      <c r="N116" s="19" t="s">
        <v>69</v>
      </c>
      <c r="O116" s="19"/>
      <c r="P116" s="19"/>
      <c r="Q116" s="19"/>
      <c r="R116" s="20">
        <v>2093</v>
      </c>
      <c r="S116" s="19"/>
      <c r="T116" s="22">
        <v>0.06852409638554217</v>
      </c>
      <c r="U116" s="19"/>
      <c r="V116" s="21">
        <v>14890434.699999979</v>
      </c>
      <c r="W116" s="19"/>
      <c r="X116" s="22">
        <f t="shared" si="5"/>
        <v>0.07640141362238878</v>
      </c>
      <c r="Y116" s="19"/>
      <c r="Z116" s="19" t="s">
        <v>69</v>
      </c>
      <c r="AA116" s="19"/>
      <c r="AB116" s="19"/>
      <c r="AC116" s="19"/>
      <c r="AD116" s="20">
        <v>1997</v>
      </c>
      <c r="AE116" s="19"/>
      <c r="AF116" s="22">
        <v>0.06809656959694468</v>
      </c>
      <c r="AG116" s="19"/>
      <c r="AH116" s="21">
        <v>13927057.190000001</v>
      </c>
      <c r="AI116" s="19"/>
      <c r="AJ116" s="22">
        <v>0.07629525419772096</v>
      </c>
    </row>
    <row r="117" spans="1:36" ht="12.75">
      <c r="A117" s="19" t="s">
        <v>70</v>
      </c>
      <c r="B117" s="19"/>
      <c r="C117" s="19"/>
      <c r="D117" s="19"/>
      <c r="E117" s="20">
        <v>130</v>
      </c>
      <c r="F117" s="19"/>
      <c r="G117" s="22">
        <v>0.09246088193456614</v>
      </c>
      <c r="H117" s="19"/>
      <c r="I117" s="21">
        <v>750113.28</v>
      </c>
      <c r="J117" s="19"/>
      <c r="K117" s="22">
        <v>0.08586673246743433</v>
      </c>
      <c r="L117" s="22"/>
      <c r="M117" s="19"/>
      <c r="N117" s="19" t="s">
        <v>70</v>
      </c>
      <c r="O117" s="19"/>
      <c r="P117" s="19"/>
      <c r="Q117" s="19"/>
      <c r="R117" s="20">
        <v>2421</v>
      </c>
      <c r="S117" s="19"/>
      <c r="T117" s="22">
        <v>0.07926270298585647</v>
      </c>
      <c r="U117" s="19"/>
      <c r="V117" s="21">
        <v>17085435.290000003</v>
      </c>
      <c r="W117" s="19"/>
      <c r="X117" s="22">
        <f t="shared" si="5"/>
        <v>0.08766375426970242</v>
      </c>
      <c r="Y117" s="19"/>
      <c r="Z117" s="19" t="s">
        <v>70</v>
      </c>
      <c r="AA117" s="19"/>
      <c r="AB117" s="19"/>
      <c r="AC117" s="19"/>
      <c r="AD117" s="20">
        <v>2297</v>
      </c>
      <c r="AE117" s="19"/>
      <c r="AF117" s="22">
        <v>0.07832639978176362</v>
      </c>
      <c r="AG117" s="19"/>
      <c r="AH117" s="21">
        <v>15946030.80000001</v>
      </c>
      <c r="AI117" s="19"/>
      <c r="AJ117" s="22">
        <v>0.08735560260384688</v>
      </c>
    </row>
    <row r="118" spans="1:36" ht="12.75">
      <c r="A118" s="19" t="s">
        <v>78</v>
      </c>
      <c r="B118" s="19"/>
      <c r="C118" s="19"/>
      <c r="D118" s="19"/>
      <c r="E118" s="20">
        <v>57</v>
      </c>
      <c r="F118" s="19"/>
      <c r="G118" s="22">
        <v>0.04054054054054054</v>
      </c>
      <c r="H118" s="19"/>
      <c r="I118" s="21">
        <v>316986.61</v>
      </c>
      <c r="J118" s="19"/>
      <c r="K118" s="22">
        <v>0.0362859919459484</v>
      </c>
      <c r="L118" s="22"/>
      <c r="M118" s="19"/>
      <c r="N118" s="19" t="s">
        <v>78</v>
      </c>
      <c r="O118" s="19"/>
      <c r="P118" s="19"/>
      <c r="Q118" s="19"/>
      <c r="R118" s="20">
        <v>1201</v>
      </c>
      <c r="S118" s="19"/>
      <c r="T118" s="22">
        <v>0.03932032477737035</v>
      </c>
      <c r="U118" s="19"/>
      <c r="V118" s="21">
        <v>7943477.9100000085</v>
      </c>
      <c r="W118" s="19"/>
      <c r="X118" s="22">
        <f t="shared" si="5"/>
        <v>0.04075723466973197</v>
      </c>
      <c r="Y118" s="19"/>
      <c r="Z118" s="19" t="s">
        <v>78</v>
      </c>
      <c r="AA118" s="19"/>
      <c r="AB118" s="19"/>
      <c r="AC118" s="19"/>
      <c r="AD118" s="20">
        <v>1146</v>
      </c>
      <c r="AE118" s="19"/>
      <c r="AF118" s="22">
        <v>0.03907795130600832</v>
      </c>
      <c r="AG118" s="19"/>
      <c r="AH118" s="21">
        <v>7430140.83000001</v>
      </c>
      <c r="AI118" s="19"/>
      <c r="AJ118" s="22">
        <v>0.04070382390306793</v>
      </c>
    </row>
    <row r="119" spans="1:36" ht="12.75">
      <c r="A119" s="19" t="s">
        <v>71</v>
      </c>
      <c r="B119" s="19"/>
      <c r="C119" s="19"/>
      <c r="D119" s="19"/>
      <c r="E119" s="20">
        <v>379</v>
      </c>
      <c r="F119" s="19"/>
      <c r="G119" s="22">
        <v>0.26955903271692744</v>
      </c>
      <c r="H119" s="19"/>
      <c r="I119" s="21">
        <v>2455544.15</v>
      </c>
      <c r="J119" s="19"/>
      <c r="K119" s="22">
        <v>0.2810902809106691</v>
      </c>
      <c r="L119" s="22"/>
      <c r="M119" s="19"/>
      <c r="N119" s="19" t="s">
        <v>71</v>
      </c>
      <c r="O119" s="19"/>
      <c r="P119" s="19"/>
      <c r="Q119" s="19"/>
      <c r="R119" s="20">
        <v>5215</v>
      </c>
      <c r="S119" s="19"/>
      <c r="T119" s="22">
        <v>0.17073729701414353</v>
      </c>
      <c r="U119" s="19"/>
      <c r="V119" s="21">
        <f>32764083.09-18922.42</f>
        <v>32745160.669999998</v>
      </c>
      <c r="W119" s="19"/>
      <c r="X119" s="22">
        <f t="shared" si="5"/>
        <v>0.1680123256898773</v>
      </c>
      <c r="Y119" s="19"/>
      <c r="Z119" s="19" t="s">
        <v>71</v>
      </c>
      <c r="AA119" s="19"/>
      <c r="AB119" s="19"/>
      <c r="AC119" s="19"/>
      <c r="AD119" s="20">
        <v>4900</v>
      </c>
      <c r="AE119" s="19"/>
      <c r="AF119" s="22">
        <v>0.16708722635204257</v>
      </c>
      <c r="AG119" s="19"/>
      <c r="AH119" s="21">
        <v>30214442.209999923</v>
      </c>
      <c r="AI119" s="19"/>
      <c r="AJ119" s="22">
        <v>0.16552086470281047</v>
      </c>
    </row>
    <row r="120" spans="1:36" ht="12.75">
      <c r="A120" s="19" t="s">
        <v>72</v>
      </c>
      <c r="B120" s="19"/>
      <c r="C120" s="19"/>
      <c r="D120" s="19"/>
      <c r="E120" s="20">
        <v>107</v>
      </c>
      <c r="F120" s="19"/>
      <c r="G120" s="22">
        <v>0.07610241820768136</v>
      </c>
      <c r="H120" s="19"/>
      <c r="I120" s="21">
        <v>627101.15</v>
      </c>
      <c r="J120" s="19"/>
      <c r="K120" s="22">
        <v>0.07178532644705397</v>
      </c>
      <c r="L120" s="22"/>
      <c r="M120" s="19"/>
      <c r="N120" s="19" t="s">
        <v>72</v>
      </c>
      <c r="O120" s="19"/>
      <c r="P120" s="19"/>
      <c r="Q120" s="19"/>
      <c r="R120" s="20">
        <v>2568</v>
      </c>
      <c r="S120" s="19"/>
      <c r="T120" s="22">
        <v>0.08407543216343635</v>
      </c>
      <c r="U120" s="19"/>
      <c r="V120" s="21">
        <v>15167965.079999998</v>
      </c>
      <c r="W120" s="19"/>
      <c r="X120" s="22">
        <f t="shared" si="5"/>
        <v>0.07782539578156378</v>
      </c>
      <c r="Y120" s="19"/>
      <c r="Z120" s="19" t="s">
        <v>72</v>
      </c>
      <c r="AA120" s="19"/>
      <c r="AB120" s="19"/>
      <c r="AC120" s="19"/>
      <c r="AD120" s="20">
        <v>2430</v>
      </c>
      <c r="AE120" s="19"/>
      <c r="AF120" s="22">
        <v>0.08286162449703335</v>
      </c>
      <c r="AG120" s="19"/>
      <c r="AH120" s="21">
        <v>14011930.740000036</v>
      </c>
      <c r="AI120" s="19"/>
      <c r="AJ120" s="22">
        <v>0.07676020878098821</v>
      </c>
    </row>
    <row r="121" spans="1:36" ht="12.75">
      <c r="A121" s="19" t="s">
        <v>73</v>
      </c>
      <c r="B121" s="19"/>
      <c r="C121" s="19"/>
      <c r="D121" s="19"/>
      <c r="E121" s="20">
        <v>115</v>
      </c>
      <c r="F121" s="19"/>
      <c r="G121" s="22">
        <v>0.08179231863442389</v>
      </c>
      <c r="H121" s="19"/>
      <c r="I121" s="21">
        <v>696056.63</v>
      </c>
      <c r="J121" s="19"/>
      <c r="K121" s="22">
        <v>0.07967877655811388</v>
      </c>
      <c r="L121" s="22"/>
      <c r="M121" s="19"/>
      <c r="N121" s="19" t="s">
        <v>73</v>
      </c>
      <c r="O121" s="19"/>
      <c r="P121" s="19"/>
      <c r="Q121" s="19"/>
      <c r="R121" s="20">
        <v>897</v>
      </c>
      <c r="S121" s="19"/>
      <c r="T121" s="22">
        <v>0.029367469879518073</v>
      </c>
      <c r="U121" s="19"/>
      <c r="V121" s="21">
        <v>5315837.489999994</v>
      </c>
      <c r="W121" s="19"/>
      <c r="X121" s="22">
        <f t="shared" si="5"/>
        <v>0.027275059929774317</v>
      </c>
      <c r="Y121" s="19"/>
      <c r="Z121" s="19" t="s">
        <v>73</v>
      </c>
      <c r="AA121" s="19"/>
      <c r="AB121" s="19"/>
      <c r="AC121" s="19"/>
      <c r="AD121" s="20">
        <v>842</v>
      </c>
      <c r="AE121" s="19"/>
      <c r="AF121" s="22">
        <v>0.028711723385391803</v>
      </c>
      <c r="AG121" s="19"/>
      <c r="AH121" s="21">
        <v>4900242.24</v>
      </c>
      <c r="AI121" s="19"/>
      <c r="AJ121" s="22">
        <v>0.026844524455579517</v>
      </c>
    </row>
    <row r="122" spans="1:36" ht="12.75">
      <c r="A122" s="19" t="s">
        <v>74</v>
      </c>
      <c r="B122" s="19"/>
      <c r="C122" s="19"/>
      <c r="D122" s="19"/>
      <c r="E122" s="20">
        <v>64</v>
      </c>
      <c r="F122" s="19"/>
      <c r="G122" s="22">
        <v>0.04551920341394026</v>
      </c>
      <c r="H122" s="19"/>
      <c r="I122" s="21">
        <v>423038</v>
      </c>
      <c r="J122" s="19"/>
      <c r="K122" s="22">
        <v>0.04842587344881893</v>
      </c>
      <c r="L122" s="22"/>
      <c r="M122" s="19"/>
      <c r="N122" s="19" t="s">
        <v>74</v>
      </c>
      <c r="O122" s="19"/>
      <c r="P122" s="19"/>
      <c r="Q122" s="19"/>
      <c r="R122" s="20">
        <v>2166</v>
      </c>
      <c r="S122" s="19"/>
      <c r="T122" s="22">
        <v>0.07091409114719749</v>
      </c>
      <c r="U122" s="19"/>
      <c r="V122" s="21">
        <v>14166164.939999985</v>
      </c>
      <c r="W122" s="19"/>
      <c r="X122" s="22">
        <f t="shared" si="5"/>
        <v>0.07268525391162171</v>
      </c>
      <c r="Y122" s="19"/>
      <c r="Z122" s="19" t="s">
        <v>74</v>
      </c>
      <c r="AA122" s="19"/>
      <c r="AB122" s="19"/>
      <c r="AC122" s="19"/>
      <c r="AD122" s="20">
        <v>2087</v>
      </c>
      <c r="AE122" s="19"/>
      <c r="AF122" s="22">
        <v>0.07116551865239037</v>
      </c>
      <c r="AG122" s="19"/>
      <c r="AH122" s="21">
        <v>13413876.159999985</v>
      </c>
      <c r="AI122" s="19"/>
      <c r="AJ122" s="22">
        <v>0.07348394405522994</v>
      </c>
    </row>
    <row r="123" spans="1:36" ht="12.75">
      <c r="A123" s="19" t="s">
        <v>75</v>
      </c>
      <c r="B123" s="19"/>
      <c r="C123" s="19"/>
      <c r="D123" s="19"/>
      <c r="E123" s="20">
        <v>118</v>
      </c>
      <c r="F123" s="19"/>
      <c r="G123" s="22">
        <v>0.08392603129445235</v>
      </c>
      <c r="H123" s="19"/>
      <c r="I123" s="21">
        <v>765441.24</v>
      </c>
      <c r="J123" s="19"/>
      <c r="K123" s="22">
        <v>0.08762134990413872</v>
      </c>
      <c r="L123" s="22"/>
      <c r="M123" s="19"/>
      <c r="N123" s="19" t="s">
        <v>75</v>
      </c>
      <c r="O123" s="19"/>
      <c r="P123" s="19"/>
      <c r="Q123" s="19"/>
      <c r="R123" s="20">
        <v>2813</v>
      </c>
      <c r="S123" s="19"/>
      <c r="T123" s="22">
        <v>0.09209664745940283</v>
      </c>
      <c r="U123" s="19"/>
      <c r="V123" s="21">
        <v>21024696.560000006</v>
      </c>
      <c r="W123" s="19"/>
      <c r="X123" s="22">
        <f t="shared" si="5"/>
        <v>0.10787573167127064</v>
      </c>
      <c r="Y123" s="19"/>
      <c r="Z123" s="19" t="s">
        <v>75</v>
      </c>
      <c r="AA123" s="19"/>
      <c r="AB123" s="19"/>
      <c r="AC123" s="19"/>
      <c r="AD123" s="20">
        <v>2702</v>
      </c>
      <c r="AE123" s="19"/>
      <c r="AF123" s="22">
        <v>0.09213667053126919</v>
      </c>
      <c r="AG123" s="19"/>
      <c r="AH123" s="21">
        <v>19852595.699999996</v>
      </c>
      <c r="AI123" s="19"/>
      <c r="AJ123" s="22">
        <v>0.10875656032371629</v>
      </c>
    </row>
    <row r="124" spans="1:36" ht="12.75">
      <c r="A124" s="19" t="s">
        <v>76</v>
      </c>
      <c r="B124" s="19"/>
      <c r="C124" s="19"/>
      <c r="D124" s="19"/>
      <c r="E124" s="20">
        <v>0</v>
      </c>
      <c r="F124" s="19"/>
      <c r="G124" s="22">
        <v>0</v>
      </c>
      <c r="H124" s="19"/>
      <c r="I124" s="21">
        <v>0</v>
      </c>
      <c r="J124" s="19"/>
      <c r="K124" s="22">
        <v>0</v>
      </c>
      <c r="L124" s="22"/>
      <c r="M124" s="19"/>
      <c r="N124" s="19" t="s">
        <v>1</v>
      </c>
      <c r="O124" s="19"/>
      <c r="P124" s="19"/>
      <c r="Q124" s="19"/>
      <c r="R124" s="20">
        <v>372</v>
      </c>
      <c r="S124" s="19"/>
      <c r="T124" s="22">
        <v>0.01217915138816134</v>
      </c>
      <c r="U124" s="19"/>
      <c r="V124" s="21">
        <v>2887746.8</v>
      </c>
      <c r="W124" s="19"/>
      <c r="X124" s="22">
        <f t="shared" si="5"/>
        <v>0.014816756001322776</v>
      </c>
      <c r="Y124" s="19"/>
      <c r="Z124" s="19" t="s">
        <v>1</v>
      </c>
      <c r="AA124" s="19"/>
      <c r="AB124" s="19"/>
      <c r="AC124" s="19"/>
      <c r="AD124" s="20">
        <v>356</v>
      </c>
      <c r="AE124" s="19"/>
      <c r="AF124" s="22">
        <v>0.012139398485985133</v>
      </c>
      <c r="AG124" s="19"/>
      <c r="AH124" s="21">
        <v>2721234.08</v>
      </c>
      <c r="AI124" s="19"/>
      <c r="AJ124" s="22">
        <v>0.01490747420884981</v>
      </c>
    </row>
    <row r="125" spans="1:36" ht="12.75">
      <c r="A125" s="19"/>
      <c r="B125" s="19"/>
      <c r="C125" s="19"/>
      <c r="D125" s="19"/>
      <c r="E125" s="20"/>
      <c r="F125" s="19"/>
      <c r="G125" s="22"/>
      <c r="H125" s="19"/>
      <c r="I125" s="21"/>
      <c r="J125" s="19"/>
      <c r="K125" s="22"/>
      <c r="L125" s="22"/>
      <c r="M125" s="19"/>
      <c r="N125" s="19" t="s">
        <v>0</v>
      </c>
      <c r="O125" s="19"/>
      <c r="P125" s="19"/>
      <c r="Q125" s="19"/>
      <c r="R125" s="20">
        <v>2323</v>
      </c>
      <c r="S125" s="19"/>
      <c r="T125" s="22">
        <v>0.07605421686746988</v>
      </c>
      <c r="U125" s="19"/>
      <c r="V125" s="21">
        <v>2103225.41</v>
      </c>
      <c r="W125" s="19"/>
      <c r="X125" s="22">
        <f t="shared" si="5"/>
        <v>0.010791450869498691</v>
      </c>
      <c r="Y125" s="19"/>
      <c r="Z125" s="19" t="s">
        <v>0</v>
      </c>
      <c r="AA125" s="19"/>
      <c r="AB125" s="19"/>
      <c r="AC125" s="19"/>
      <c r="AD125" s="20">
        <v>2481</v>
      </c>
      <c r="AE125" s="19"/>
      <c r="AF125" s="22">
        <v>0.08460069562845257</v>
      </c>
      <c r="AG125" s="19"/>
      <c r="AH125" s="21">
        <v>2013127.86</v>
      </c>
      <c r="AI125" s="19"/>
      <c r="AJ125" s="22">
        <v>0.011028324197698941</v>
      </c>
    </row>
    <row r="126" spans="1:36" ht="12.75">
      <c r="A126" s="19"/>
      <c r="B126" s="19"/>
      <c r="C126" s="19"/>
      <c r="D126" s="19"/>
      <c r="E126" s="20"/>
      <c r="F126" s="19"/>
      <c r="G126" s="19"/>
      <c r="H126" s="19"/>
      <c r="I126" s="21"/>
      <c r="J126" s="19"/>
      <c r="K126" s="19"/>
      <c r="L126" s="19"/>
      <c r="M126" s="19"/>
      <c r="N126" s="19"/>
      <c r="O126" s="19"/>
      <c r="P126" s="19"/>
      <c r="Q126" s="19"/>
      <c r="R126" s="20"/>
      <c r="S126" s="19"/>
      <c r="T126" s="19"/>
      <c r="U126" s="19"/>
      <c r="V126" s="21"/>
      <c r="W126" s="19"/>
      <c r="X126" s="22"/>
      <c r="Y126" s="19"/>
      <c r="Z126" s="19"/>
      <c r="AA126" s="19"/>
      <c r="AB126" s="19"/>
      <c r="AC126" s="19"/>
      <c r="AD126" s="20"/>
      <c r="AE126" s="19"/>
      <c r="AF126" s="19"/>
      <c r="AG126" s="19"/>
      <c r="AH126" s="21"/>
      <c r="AI126" s="19"/>
      <c r="AJ126" s="22"/>
    </row>
    <row r="127" spans="1:36" s="16" customFormat="1" ht="13.5" thickBot="1">
      <c r="A127" s="47"/>
      <c r="B127" s="47"/>
      <c r="C127" s="47"/>
      <c r="D127" s="47"/>
      <c r="E127" s="77">
        <v>1406</v>
      </c>
      <c r="F127" s="47"/>
      <c r="G127" s="79"/>
      <c r="H127" s="47"/>
      <c r="I127" s="78">
        <v>8735784.61</v>
      </c>
      <c r="J127" s="47"/>
      <c r="K127" s="79"/>
      <c r="L127" s="79"/>
      <c r="M127" s="47"/>
      <c r="N127" s="57"/>
      <c r="O127" s="57"/>
      <c r="P127" s="57"/>
      <c r="Q127" s="57"/>
      <c r="R127" s="88">
        <v>30544</v>
      </c>
      <c r="S127" s="57"/>
      <c r="T127" s="82"/>
      <c r="U127" s="57"/>
      <c r="V127" s="90">
        <f>SUM(V113:V126)</f>
        <v>194897371.57999998</v>
      </c>
      <c r="W127" s="57"/>
      <c r="X127" s="22"/>
      <c r="Y127" s="47"/>
      <c r="Z127" s="57"/>
      <c r="AA127" s="57"/>
      <c r="AB127" s="57"/>
      <c r="AC127" s="57"/>
      <c r="AD127" s="88">
        <v>29326</v>
      </c>
      <c r="AE127" s="57"/>
      <c r="AF127" s="82"/>
      <c r="AG127" s="57"/>
      <c r="AH127" s="90">
        <v>182541592.34999993</v>
      </c>
      <c r="AI127" s="57"/>
      <c r="AJ127" s="22"/>
    </row>
    <row r="128" spans="1:36" ht="13.5" thickTop="1">
      <c r="A128" s="19"/>
      <c r="B128" s="19"/>
      <c r="C128" s="19"/>
      <c r="D128" s="19"/>
      <c r="E128" s="20"/>
      <c r="F128" s="19"/>
      <c r="G128" s="19"/>
      <c r="H128" s="19"/>
      <c r="I128" s="21"/>
      <c r="J128" s="19"/>
      <c r="K128" s="19"/>
      <c r="L128" s="19"/>
      <c r="M128" s="19"/>
      <c r="N128" s="19"/>
      <c r="O128" s="19"/>
      <c r="P128" s="19"/>
      <c r="Q128" s="19"/>
      <c r="R128" s="20"/>
      <c r="S128" s="19"/>
      <c r="T128" s="19"/>
      <c r="U128" s="19"/>
      <c r="V128" s="21"/>
      <c r="W128" s="19"/>
      <c r="X128" s="22"/>
      <c r="Y128" s="19"/>
      <c r="Z128" s="19"/>
      <c r="AA128" s="19"/>
      <c r="AB128" s="19"/>
      <c r="AC128" s="19"/>
      <c r="AD128" s="20"/>
      <c r="AE128" s="19"/>
      <c r="AF128" s="19"/>
      <c r="AG128" s="19"/>
      <c r="AH128" s="21"/>
      <c r="AI128" s="19"/>
      <c r="AJ128" s="22"/>
    </row>
    <row r="129" spans="1:36" ht="12.75">
      <c r="A129" s="19"/>
      <c r="B129" s="19"/>
      <c r="C129" s="19"/>
      <c r="D129" s="19"/>
      <c r="E129" s="20"/>
      <c r="F129" s="19"/>
      <c r="G129" s="19"/>
      <c r="H129" s="19"/>
      <c r="I129" s="21"/>
      <c r="J129" s="19"/>
      <c r="K129" s="19"/>
      <c r="L129" s="19"/>
      <c r="M129" s="19"/>
      <c r="N129" s="19"/>
      <c r="O129" s="19"/>
      <c r="P129" s="19"/>
      <c r="Q129" s="19"/>
      <c r="R129" s="20"/>
      <c r="S129" s="19"/>
      <c r="T129" s="19"/>
      <c r="U129" s="19"/>
      <c r="V129" s="21"/>
      <c r="W129" s="19"/>
      <c r="X129" s="22"/>
      <c r="Y129" s="19"/>
      <c r="Z129" s="19"/>
      <c r="AA129" s="19"/>
      <c r="AB129" s="19"/>
      <c r="AC129" s="19"/>
      <c r="AD129" s="20"/>
      <c r="AE129" s="19"/>
      <c r="AF129" s="19"/>
      <c r="AG129" s="19"/>
      <c r="AH129" s="21"/>
      <c r="AI129" s="19"/>
      <c r="AJ129" s="22"/>
    </row>
    <row r="130" spans="1:36" s="15" customFormat="1" ht="12.75">
      <c r="A130" s="55" t="s">
        <v>90</v>
      </c>
      <c r="B130" s="46"/>
      <c r="C130" s="46"/>
      <c r="D130" s="46"/>
      <c r="E130" s="48"/>
      <c r="F130" s="46"/>
      <c r="G130" s="46"/>
      <c r="H130" s="46"/>
      <c r="I130" s="49"/>
      <c r="J130" s="46"/>
      <c r="K130" s="46"/>
      <c r="L130" s="46"/>
      <c r="M130" s="46"/>
      <c r="N130" s="55" t="s">
        <v>90</v>
      </c>
      <c r="O130" s="19"/>
      <c r="P130" s="19"/>
      <c r="Q130" s="19"/>
      <c r="R130" s="20"/>
      <c r="S130" s="19"/>
      <c r="T130" s="19"/>
      <c r="U130" s="19"/>
      <c r="V130" s="21"/>
      <c r="W130" s="19"/>
      <c r="X130" s="22"/>
      <c r="Y130" s="46"/>
      <c r="Z130" s="55" t="s">
        <v>90</v>
      </c>
      <c r="AA130" s="19"/>
      <c r="AB130" s="19"/>
      <c r="AC130" s="19"/>
      <c r="AD130" s="20"/>
      <c r="AE130" s="19"/>
      <c r="AF130" s="19"/>
      <c r="AG130" s="19"/>
      <c r="AH130" s="21"/>
      <c r="AI130" s="19"/>
      <c r="AJ130" s="22"/>
    </row>
    <row r="131" spans="1:36" ht="12.75">
      <c r="A131" s="19"/>
      <c r="B131" s="19"/>
      <c r="C131" s="19"/>
      <c r="D131" s="19"/>
      <c r="E131" s="20"/>
      <c r="F131" s="19"/>
      <c r="G131" s="19"/>
      <c r="H131" s="19"/>
      <c r="I131" s="21"/>
      <c r="J131" s="19"/>
      <c r="K131" s="19"/>
      <c r="L131" s="19"/>
      <c r="M131" s="19"/>
      <c r="N131" s="19"/>
      <c r="O131" s="19"/>
      <c r="P131" s="19"/>
      <c r="Q131" s="19"/>
      <c r="R131" s="20"/>
      <c r="S131" s="19"/>
      <c r="T131" s="19"/>
      <c r="U131" s="19"/>
      <c r="V131" s="21"/>
      <c r="W131" s="19"/>
      <c r="X131" s="22"/>
      <c r="Y131" s="19"/>
      <c r="Z131" s="19"/>
      <c r="AA131" s="19"/>
      <c r="AB131" s="19"/>
      <c r="AC131" s="19"/>
      <c r="AD131" s="20"/>
      <c r="AE131" s="19"/>
      <c r="AF131" s="19"/>
      <c r="AG131" s="19"/>
      <c r="AH131" s="21"/>
      <c r="AI131" s="19"/>
      <c r="AJ131" s="22"/>
    </row>
    <row r="132" spans="1:36" s="17" customFormat="1" ht="12.75">
      <c r="A132" s="66"/>
      <c r="B132" s="66"/>
      <c r="C132" s="66"/>
      <c r="D132" s="66"/>
      <c r="E132" s="67" t="s">
        <v>83</v>
      </c>
      <c r="F132" s="66"/>
      <c r="G132" s="66" t="s">
        <v>84</v>
      </c>
      <c r="H132" s="66"/>
      <c r="I132" s="68" t="s">
        <v>85</v>
      </c>
      <c r="J132" s="66"/>
      <c r="K132" s="66" t="s">
        <v>84</v>
      </c>
      <c r="L132" s="66"/>
      <c r="M132" s="69"/>
      <c r="N132" s="57"/>
      <c r="O132" s="57"/>
      <c r="P132" s="57"/>
      <c r="Q132" s="57"/>
      <c r="R132" s="67" t="s">
        <v>83</v>
      </c>
      <c r="S132" s="66"/>
      <c r="T132" s="66" t="s">
        <v>84</v>
      </c>
      <c r="U132" s="66"/>
      <c r="V132" s="68" t="s">
        <v>85</v>
      </c>
      <c r="W132" s="66"/>
      <c r="X132" s="66" t="s">
        <v>84</v>
      </c>
      <c r="Y132" s="69"/>
      <c r="Z132" s="57"/>
      <c r="AA132" s="57"/>
      <c r="AB132" s="57"/>
      <c r="AC132" s="57"/>
      <c r="AD132" s="67" t="s">
        <v>83</v>
      </c>
      <c r="AE132" s="66"/>
      <c r="AF132" s="66" t="s">
        <v>84</v>
      </c>
      <c r="AG132" s="66"/>
      <c r="AH132" s="68" t="s">
        <v>85</v>
      </c>
      <c r="AI132" s="66"/>
      <c r="AJ132" s="66" t="s">
        <v>84</v>
      </c>
    </row>
    <row r="133" spans="1:36" ht="12.75">
      <c r="A133" s="19"/>
      <c r="B133" s="19"/>
      <c r="C133" s="19"/>
      <c r="D133" s="19"/>
      <c r="E133" s="20"/>
      <c r="F133" s="19"/>
      <c r="G133" s="19"/>
      <c r="H133" s="19"/>
      <c r="I133" s="21"/>
      <c r="J133" s="19"/>
      <c r="K133" s="19"/>
      <c r="L133" s="19"/>
      <c r="M133" s="19"/>
      <c r="N133" s="19"/>
      <c r="O133" s="19"/>
      <c r="P133" s="19"/>
      <c r="Q133" s="19"/>
      <c r="R133" s="20"/>
      <c r="S133" s="19"/>
      <c r="T133" s="19"/>
      <c r="U133" s="19"/>
      <c r="V133" s="21"/>
      <c r="W133" s="19"/>
      <c r="X133" s="22"/>
      <c r="Y133" s="19"/>
      <c r="Z133" s="19"/>
      <c r="AA133" s="19"/>
      <c r="AB133" s="19"/>
      <c r="AC133" s="19"/>
      <c r="AD133" s="20"/>
      <c r="AE133" s="19"/>
      <c r="AF133" s="19"/>
      <c r="AG133" s="19"/>
      <c r="AH133" s="21"/>
      <c r="AI133" s="19"/>
      <c r="AJ133" s="22"/>
    </row>
    <row r="134" spans="1:36" ht="12.75">
      <c r="A134" s="19"/>
      <c r="B134" s="19"/>
      <c r="C134" s="19"/>
      <c r="D134" s="19"/>
      <c r="E134" s="20"/>
      <c r="F134" s="19"/>
      <c r="G134" s="19"/>
      <c r="H134" s="19"/>
      <c r="I134" s="21"/>
      <c r="J134" s="19"/>
      <c r="K134" s="19"/>
      <c r="L134" s="19"/>
      <c r="M134" s="19"/>
      <c r="N134" s="19" t="s">
        <v>55</v>
      </c>
      <c r="O134" s="19"/>
      <c r="P134" s="19"/>
      <c r="Q134" s="19"/>
      <c r="R134" s="20">
        <f>12938+70</f>
        <v>13008</v>
      </c>
      <c r="S134" s="19"/>
      <c r="T134" s="22">
        <f>+R134/$R$140</f>
        <v>0.4258774227344159</v>
      </c>
      <c r="U134" s="19"/>
      <c r="V134" s="21">
        <f>83033373.5100002+665542.26-18922.42</f>
        <v>83679993.3500002</v>
      </c>
      <c r="W134" s="19"/>
      <c r="X134" s="22">
        <f>+V134/$V$140</f>
        <v>0.4293541399333433</v>
      </c>
      <c r="Y134" s="19"/>
      <c r="Z134" s="19" t="s">
        <v>55</v>
      </c>
      <c r="AA134" s="19"/>
      <c r="AB134" s="19"/>
      <c r="AC134" s="19"/>
      <c r="AD134" s="20">
        <v>8506</v>
      </c>
      <c r="AE134" s="19"/>
      <c r="AF134" s="22">
        <f>+AD134/$AD$140</f>
        <v>0.2900794598097057</v>
      </c>
      <c r="AG134" s="19"/>
      <c r="AH134" s="21">
        <v>59829001.319999985</v>
      </c>
      <c r="AI134" s="19"/>
      <c r="AJ134" s="22">
        <f>+AH134/$AH$140</f>
        <v>0.3277554476751012</v>
      </c>
    </row>
    <row r="135" spans="1:36" ht="12.75">
      <c r="A135" s="19" t="s">
        <v>55</v>
      </c>
      <c r="B135" s="19"/>
      <c r="C135" s="19"/>
      <c r="D135" s="19"/>
      <c r="E135" s="20">
        <v>1406</v>
      </c>
      <c r="F135" s="19"/>
      <c r="G135" s="22">
        <v>1</v>
      </c>
      <c r="H135" s="19"/>
      <c r="I135" s="21">
        <v>8735784.61</v>
      </c>
      <c r="J135" s="19"/>
      <c r="K135" s="22">
        <v>1</v>
      </c>
      <c r="L135" s="22"/>
      <c r="M135" s="19"/>
      <c r="N135" s="19" t="s">
        <v>56</v>
      </c>
      <c r="O135" s="19"/>
      <c r="P135" s="19"/>
      <c r="Q135" s="19"/>
      <c r="R135" s="20">
        <v>10214</v>
      </c>
      <c r="S135" s="19"/>
      <c r="T135" s="22">
        <f>+R135/$R$140</f>
        <v>0.33440282870612886</v>
      </c>
      <c r="U135" s="19"/>
      <c r="V135" s="21">
        <v>66294238.73000004</v>
      </c>
      <c r="W135" s="19"/>
      <c r="X135" s="22">
        <f>+V135/$V$140</f>
        <v>0.3401494755550771</v>
      </c>
      <c r="Y135" s="19"/>
      <c r="Z135" s="19" t="s">
        <v>56</v>
      </c>
      <c r="AA135" s="19"/>
      <c r="AB135" s="19"/>
      <c r="AC135" s="19"/>
      <c r="AD135" s="20">
        <v>10834</v>
      </c>
      <c r="AE135" s="19"/>
      <c r="AF135" s="22">
        <f>+AD135/$AD$140</f>
        <v>0.36947106367015653</v>
      </c>
      <c r="AG135" s="19"/>
      <c r="AH135" s="21">
        <v>64367767.05999993</v>
      </c>
      <c r="AI135" s="19"/>
      <c r="AJ135" s="22">
        <f>+AH135/$AH$140</f>
        <v>0.3526197302836228</v>
      </c>
    </row>
    <row r="136" spans="1:36" ht="12.75">
      <c r="A136" s="19"/>
      <c r="B136" s="19"/>
      <c r="C136" s="19"/>
      <c r="D136" s="19"/>
      <c r="E136" s="20"/>
      <c r="F136" s="19"/>
      <c r="G136" s="22"/>
      <c r="H136" s="19"/>
      <c r="I136" s="21"/>
      <c r="J136" s="19"/>
      <c r="K136" s="22"/>
      <c r="L136" s="22"/>
      <c r="M136" s="19"/>
      <c r="N136" s="19" t="s">
        <v>57</v>
      </c>
      <c r="O136" s="19"/>
      <c r="P136" s="19"/>
      <c r="Q136" s="19"/>
      <c r="R136" s="20">
        <v>5877</v>
      </c>
      <c r="S136" s="19"/>
      <c r="T136" s="22">
        <f>+R136/$R$140</f>
        <v>0.19241094814038764</v>
      </c>
      <c r="U136" s="19"/>
      <c r="V136" s="21">
        <v>35381452.39999989</v>
      </c>
      <c r="W136" s="19"/>
      <c r="X136" s="22">
        <f>+V136/$V$140</f>
        <v>0.1815388894840829</v>
      </c>
      <c r="Y136" s="19"/>
      <c r="Z136" s="19" t="s">
        <v>57</v>
      </c>
      <c r="AA136" s="19"/>
      <c r="AB136" s="19"/>
      <c r="AC136" s="19"/>
      <c r="AD136" s="20">
        <v>7483</v>
      </c>
      <c r="AE136" s="19"/>
      <c r="AF136" s="22">
        <f>+AD136/$AD$140</f>
        <v>0.2551921699689663</v>
      </c>
      <c r="AG136" s="19"/>
      <c r="AH136" s="21">
        <v>42266023.159999855</v>
      </c>
      <c r="AI136" s="19"/>
      <c r="AJ136" s="22">
        <f>+AH136/$AH$140</f>
        <v>0.23154187829675693</v>
      </c>
    </row>
    <row r="137" spans="1:36" ht="12.75">
      <c r="A137" s="19"/>
      <c r="B137" s="19"/>
      <c r="C137" s="19"/>
      <c r="D137" s="19"/>
      <c r="E137" s="20"/>
      <c r="F137" s="19"/>
      <c r="G137" s="22"/>
      <c r="H137" s="19"/>
      <c r="I137" s="21"/>
      <c r="J137" s="19"/>
      <c r="K137" s="22"/>
      <c r="L137" s="22"/>
      <c r="M137" s="19"/>
      <c r="N137" s="19" t="s">
        <v>58</v>
      </c>
      <c r="O137" s="19"/>
      <c r="P137" s="19"/>
      <c r="Q137" s="19"/>
      <c r="R137" s="20">
        <f>1392+53</f>
        <v>1445</v>
      </c>
      <c r="S137" s="19"/>
      <c r="T137" s="22">
        <f>+R137/$R$140</f>
        <v>0.04730880041906758</v>
      </c>
      <c r="U137" s="19"/>
      <c r="V137" s="21">
        <f>9164123.57000003+377563.53</f>
        <v>9541687.10000003</v>
      </c>
      <c r="W137" s="19"/>
      <c r="X137" s="22">
        <f>+V137/$V$140</f>
        <v>0.048957495027496675</v>
      </c>
      <c r="Y137" s="19"/>
      <c r="Z137" s="19" t="s">
        <v>58</v>
      </c>
      <c r="AA137" s="19"/>
      <c r="AB137" s="19"/>
      <c r="AC137" s="19"/>
      <c r="AD137" s="20">
        <v>2361</v>
      </c>
      <c r="AE137" s="19"/>
      <c r="AF137" s="22">
        <f>+AD137/$AD$140</f>
        <v>0.08051700030692631</v>
      </c>
      <c r="AG137" s="19"/>
      <c r="AH137" s="21">
        <v>15186790.36999998</v>
      </c>
      <c r="AI137" s="19"/>
      <c r="AJ137" s="22">
        <f>+AH137/$AH$140</f>
        <v>0.08319632898173304</v>
      </c>
    </row>
    <row r="138" spans="1:36" ht="12.75">
      <c r="A138" s="19"/>
      <c r="B138" s="19"/>
      <c r="C138" s="19"/>
      <c r="D138" s="19"/>
      <c r="E138" s="20"/>
      <c r="F138" s="19"/>
      <c r="G138" s="22"/>
      <c r="H138" s="19"/>
      <c r="I138" s="21"/>
      <c r="J138" s="19"/>
      <c r="K138" s="22"/>
      <c r="L138" s="22"/>
      <c r="M138" s="19"/>
      <c r="N138" s="19" t="s">
        <v>59</v>
      </c>
      <c r="O138" s="19"/>
      <c r="P138" s="19"/>
      <c r="Q138" s="19"/>
      <c r="R138" s="20">
        <v>0</v>
      </c>
      <c r="S138" s="19"/>
      <c r="T138" s="22">
        <f>+R138/$R$140</f>
        <v>0</v>
      </c>
      <c r="U138" s="19"/>
      <c r="V138" s="21">
        <v>0</v>
      </c>
      <c r="W138" s="19"/>
      <c r="X138" s="22">
        <f>+V138/$V$140</f>
        <v>0</v>
      </c>
      <c r="Y138" s="19"/>
      <c r="Z138" s="19" t="s">
        <v>59</v>
      </c>
      <c r="AA138" s="19"/>
      <c r="AB138" s="19"/>
      <c r="AC138" s="19"/>
      <c r="AD138" s="20">
        <v>139</v>
      </c>
      <c r="AE138" s="19"/>
      <c r="AF138" s="22">
        <f>+AD138/$AD$140</f>
        <v>0.004740306244245132</v>
      </c>
      <c r="AG138" s="19"/>
      <c r="AH138" s="21">
        <v>892010.44</v>
      </c>
      <c r="AI138" s="19"/>
      <c r="AJ138" s="22">
        <f>+AH138/$AH$140</f>
        <v>0.004886614762786149</v>
      </c>
    </row>
    <row r="139" spans="1:36" ht="12.75">
      <c r="A139" s="19"/>
      <c r="B139" s="19"/>
      <c r="C139" s="19"/>
      <c r="D139" s="19"/>
      <c r="E139" s="20"/>
      <c r="F139" s="19"/>
      <c r="G139" s="22"/>
      <c r="H139" s="19"/>
      <c r="I139" s="21"/>
      <c r="J139" s="19"/>
      <c r="K139" s="22"/>
      <c r="L139" s="22"/>
      <c r="M139" s="19"/>
      <c r="N139" s="19"/>
      <c r="O139" s="19"/>
      <c r="P139" s="19"/>
      <c r="Q139" s="19"/>
      <c r="R139" s="20"/>
      <c r="S139" s="19"/>
      <c r="T139" s="22"/>
      <c r="U139" s="19"/>
      <c r="V139" s="21"/>
      <c r="W139" s="19"/>
      <c r="X139" s="22"/>
      <c r="Y139" s="19"/>
      <c r="Z139" s="19"/>
      <c r="AA139" s="19"/>
      <c r="AB139" s="19"/>
      <c r="AC139" s="19"/>
      <c r="AD139" s="20"/>
      <c r="AE139" s="19"/>
      <c r="AF139" s="22"/>
      <c r="AG139" s="19"/>
      <c r="AH139" s="21"/>
      <c r="AI139" s="19"/>
      <c r="AJ139" s="22"/>
    </row>
    <row r="140" spans="1:36" ht="13.5" thickBot="1">
      <c r="A140" s="19"/>
      <c r="B140" s="19"/>
      <c r="C140" s="19"/>
      <c r="D140" s="19"/>
      <c r="E140" s="20"/>
      <c r="F140" s="19"/>
      <c r="G140" s="22"/>
      <c r="H140" s="19"/>
      <c r="I140" s="21"/>
      <c r="J140" s="19"/>
      <c r="K140" s="22"/>
      <c r="L140" s="22"/>
      <c r="M140" s="19"/>
      <c r="N140" s="19"/>
      <c r="O140" s="19"/>
      <c r="P140" s="19"/>
      <c r="Q140" s="19"/>
      <c r="R140" s="88">
        <f>SUM(R134:R139)</f>
        <v>30544</v>
      </c>
      <c r="S140" s="57"/>
      <c r="T140" s="83"/>
      <c r="U140" s="57"/>
      <c r="V140" s="90">
        <f>SUM(V134:V139)</f>
        <v>194897371.58000016</v>
      </c>
      <c r="W140" s="19"/>
      <c r="X140" s="22"/>
      <c r="Y140" s="19"/>
      <c r="Z140" s="19"/>
      <c r="AA140" s="19"/>
      <c r="AB140" s="19"/>
      <c r="AC140" s="19"/>
      <c r="AD140" s="88">
        <f>SUM(AD134:AD139)</f>
        <v>29323</v>
      </c>
      <c r="AE140" s="57"/>
      <c r="AF140" s="83"/>
      <c r="AG140" s="57"/>
      <c r="AH140" s="90">
        <f>SUM(AH134:AH139)</f>
        <v>182541592.34999973</v>
      </c>
      <c r="AI140" s="19"/>
      <c r="AJ140" s="22"/>
    </row>
    <row r="141" spans="1:36" ht="13.5" thickTop="1">
      <c r="A141" s="19"/>
      <c r="B141" s="19"/>
      <c r="C141" s="19"/>
      <c r="D141" s="19"/>
      <c r="E141" s="20"/>
      <c r="F141" s="19"/>
      <c r="G141" s="22"/>
      <c r="H141" s="19"/>
      <c r="I141" s="21"/>
      <c r="J141" s="19"/>
      <c r="K141" s="22"/>
      <c r="L141" s="22"/>
      <c r="M141" s="19"/>
      <c r="N141" s="19"/>
      <c r="O141" s="19"/>
      <c r="P141" s="19"/>
      <c r="Q141" s="19"/>
      <c r="R141" s="20"/>
      <c r="S141" s="19"/>
      <c r="T141" s="22"/>
      <c r="U141" s="19"/>
      <c r="V141" s="21"/>
      <c r="W141" s="19"/>
      <c r="X141" s="22"/>
      <c r="Y141" s="19"/>
      <c r="Z141" s="19"/>
      <c r="AA141" s="19"/>
      <c r="AB141" s="19"/>
      <c r="AC141" s="19"/>
      <c r="AD141" s="20"/>
      <c r="AE141" s="19"/>
      <c r="AF141" s="22"/>
      <c r="AG141" s="19"/>
      <c r="AH141" s="21"/>
      <c r="AI141" s="19"/>
      <c r="AJ141" s="22"/>
    </row>
    <row r="142" spans="1:36" ht="12.75">
      <c r="A142" s="19"/>
      <c r="B142" s="19"/>
      <c r="C142" s="19"/>
      <c r="D142" s="19"/>
      <c r="E142" s="20"/>
      <c r="F142" s="19"/>
      <c r="G142" s="22"/>
      <c r="H142" s="19"/>
      <c r="I142" s="21"/>
      <c r="J142" s="19"/>
      <c r="K142" s="22"/>
      <c r="L142" s="22"/>
      <c r="M142" s="19"/>
      <c r="N142" s="19"/>
      <c r="O142" s="19"/>
      <c r="P142" s="19"/>
      <c r="Q142" s="19"/>
      <c r="R142" s="20"/>
      <c r="S142" s="19"/>
      <c r="T142" s="22"/>
      <c r="U142" s="19"/>
      <c r="V142" s="21"/>
      <c r="W142" s="19"/>
      <c r="X142" s="22"/>
      <c r="Y142" s="19"/>
      <c r="Z142" s="19"/>
      <c r="AA142" s="19"/>
      <c r="AB142" s="19"/>
      <c r="AC142" s="19"/>
      <c r="AD142" s="20"/>
      <c r="AE142" s="19"/>
      <c r="AF142" s="22"/>
      <c r="AG142" s="19"/>
      <c r="AH142" s="21"/>
      <c r="AI142" s="19"/>
      <c r="AJ142" s="22"/>
    </row>
    <row r="143" spans="1:36" ht="12.75">
      <c r="A143" s="19"/>
      <c r="B143" s="19"/>
      <c r="C143" s="19"/>
      <c r="D143" s="19"/>
      <c r="E143" s="20"/>
      <c r="F143" s="19"/>
      <c r="G143" s="22"/>
      <c r="H143" s="19"/>
      <c r="I143" s="21"/>
      <c r="J143" s="19"/>
      <c r="K143" s="22"/>
      <c r="L143" s="22"/>
      <c r="M143" s="19"/>
      <c r="N143" s="19"/>
      <c r="O143" s="19"/>
      <c r="P143" s="19"/>
      <c r="Q143" s="19"/>
      <c r="R143" s="20"/>
      <c r="S143" s="19"/>
      <c r="T143" s="22"/>
      <c r="U143" s="19"/>
      <c r="V143" s="21"/>
      <c r="W143" s="19"/>
      <c r="X143" s="22"/>
      <c r="Y143" s="19"/>
      <c r="Z143" s="19"/>
      <c r="AA143" s="19"/>
      <c r="AB143" s="19"/>
      <c r="AC143" s="19"/>
      <c r="AD143" s="20"/>
      <c r="AE143" s="19"/>
      <c r="AF143" s="22"/>
      <c r="AG143" s="19"/>
      <c r="AH143" s="21"/>
      <c r="AI143" s="19"/>
      <c r="AJ143" s="22"/>
    </row>
    <row r="144" spans="1:36" ht="12.75">
      <c r="A144" s="19"/>
      <c r="B144" s="19"/>
      <c r="C144" s="19"/>
      <c r="D144" s="19"/>
      <c r="E144" s="20"/>
      <c r="F144" s="19"/>
      <c r="G144" s="22"/>
      <c r="H144" s="19"/>
      <c r="I144" s="21"/>
      <c r="J144" s="19"/>
      <c r="K144" s="22"/>
      <c r="L144" s="22"/>
      <c r="M144" s="19"/>
      <c r="N144" s="19"/>
      <c r="O144" s="19"/>
      <c r="P144" s="19"/>
      <c r="Q144" s="19"/>
      <c r="R144" s="20"/>
      <c r="S144" s="19"/>
      <c r="T144" s="22"/>
      <c r="U144" s="19"/>
      <c r="V144" s="21"/>
      <c r="W144" s="19"/>
      <c r="X144" s="22"/>
      <c r="Y144" s="19"/>
      <c r="Z144" s="19"/>
      <c r="AA144" s="19"/>
      <c r="AB144" s="19"/>
      <c r="AC144" s="19"/>
      <c r="AD144" s="20"/>
      <c r="AE144" s="19"/>
      <c r="AF144" s="22"/>
      <c r="AG144" s="19"/>
      <c r="AH144" s="21"/>
      <c r="AI144" s="19"/>
      <c r="AJ144" s="22"/>
    </row>
    <row r="145" spans="1:36" ht="12.75">
      <c r="A145" s="19"/>
      <c r="B145" s="19"/>
      <c r="C145" s="19"/>
      <c r="D145" s="19"/>
      <c r="E145" s="20"/>
      <c r="F145" s="19"/>
      <c r="G145" s="22"/>
      <c r="H145" s="19"/>
      <c r="I145" s="21"/>
      <c r="J145" s="19"/>
      <c r="K145" s="22"/>
      <c r="L145" s="22"/>
      <c r="M145" s="19"/>
      <c r="N145" s="19"/>
      <c r="O145" s="19"/>
      <c r="P145" s="19"/>
      <c r="Q145" s="19"/>
      <c r="R145" s="20"/>
      <c r="S145" s="19"/>
      <c r="T145" s="22"/>
      <c r="U145" s="19"/>
      <c r="V145" s="21"/>
      <c r="W145" s="19"/>
      <c r="X145" s="22"/>
      <c r="Y145" s="19"/>
      <c r="Z145" s="19"/>
      <c r="AA145" s="19"/>
      <c r="AB145" s="19"/>
      <c r="AC145" s="19"/>
      <c r="AD145" s="20"/>
      <c r="AE145" s="19"/>
      <c r="AF145" s="22"/>
      <c r="AG145" s="19"/>
      <c r="AH145" s="21"/>
      <c r="AI145" s="19"/>
      <c r="AJ145" s="22"/>
    </row>
    <row r="146" spans="1:36" s="16" customFormat="1" ht="13.5" thickBot="1">
      <c r="A146" s="47"/>
      <c r="B146" s="47"/>
      <c r="C146" s="47"/>
      <c r="D146" s="47"/>
      <c r="E146" s="80">
        <v>1406</v>
      </c>
      <c r="F146" s="47"/>
      <c r="G146" s="47"/>
      <c r="H146" s="47"/>
      <c r="I146" s="78">
        <v>8735784.61</v>
      </c>
      <c r="J146" s="47"/>
      <c r="K146" s="47"/>
      <c r="L146" s="47"/>
      <c r="M146" s="47"/>
      <c r="N146" s="57"/>
      <c r="O146" s="57"/>
      <c r="P146" s="57"/>
      <c r="Q146" s="57"/>
      <c r="R146" s="84"/>
      <c r="S146" s="85"/>
      <c r="T146" s="86"/>
      <c r="U146" s="85"/>
      <c r="V146" s="87"/>
      <c r="W146" s="57"/>
      <c r="X146" s="22"/>
      <c r="Y146" s="47"/>
      <c r="Z146" s="57"/>
      <c r="AA146" s="57"/>
      <c r="AB146" s="57"/>
      <c r="AC146" s="57"/>
      <c r="AD146" s="84"/>
      <c r="AE146" s="85"/>
      <c r="AF146" s="86"/>
      <c r="AG146" s="85"/>
      <c r="AH146" s="87"/>
      <c r="AI146" s="57"/>
      <c r="AJ146" s="22"/>
    </row>
    <row r="147" spans="1:36" ht="13.5" thickTop="1">
      <c r="A147" s="19"/>
      <c r="B147" s="19"/>
      <c r="C147" s="19"/>
      <c r="D147" s="19"/>
      <c r="E147" s="20"/>
      <c r="F147" s="19"/>
      <c r="G147" s="19"/>
      <c r="H147" s="19"/>
      <c r="I147" s="21"/>
      <c r="J147" s="19"/>
      <c r="K147" s="19"/>
      <c r="L147" s="19"/>
      <c r="M147" s="19"/>
      <c r="N147" s="19"/>
      <c r="O147" s="19"/>
      <c r="P147" s="19"/>
      <c r="Q147" s="19"/>
      <c r="R147" s="20"/>
      <c r="S147" s="19"/>
      <c r="T147" s="19"/>
      <c r="U147" s="19"/>
      <c r="V147" s="21"/>
      <c r="W147" s="19"/>
      <c r="X147" s="22"/>
      <c r="Y147" s="19"/>
      <c r="Z147" s="19"/>
      <c r="AA147" s="19"/>
      <c r="AB147" s="19"/>
      <c r="AC147" s="19"/>
      <c r="AD147" s="20"/>
      <c r="AE147" s="19"/>
      <c r="AF147" s="19"/>
      <c r="AG147" s="19"/>
      <c r="AH147" s="21"/>
      <c r="AI147" s="19"/>
      <c r="AJ147" s="22"/>
    </row>
    <row r="148" spans="1:36" ht="12.75">
      <c r="A148" s="19"/>
      <c r="B148" s="19"/>
      <c r="C148" s="19"/>
      <c r="D148" s="19"/>
      <c r="E148" s="20"/>
      <c r="F148" s="19"/>
      <c r="G148" s="19"/>
      <c r="H148" s="19"/>
      <c r="I148" s="21"/>
      <c r="J148" s="19"/>
      <c r="K148" s="19"/>
      <c r="L148" s="19"/>
      <c r="M148" s="19"/>
      <c r="N148" s="19"/>
      <c r="O148" s="19"/>
      <c r="P148" s="19"/>
      <c r="Q148" s="19"/>
      <c r="R148" s="20"/>
      <c r="S148" s="19"/>
      <c r="T148" s="19"/>
      <c r="U148" s="19"/>
      <c r="V148" s="21"/>
      <c r="W148" s="19"/>
      <c r="X148" s="22"/>
      <c r="Y148" s="19"/>
      <c r="Z148" s="19"/>
      <c r="AA148" s="19"/>
      <c r="AB148" s="19"/>
      <c r="AC148" s="19"/>
      <c r="AD148" s="20"/>
      <c r="AE148" s="19"/>
      <c r="AF148" s="19"/>
      <c r="AG148" s="19"/>
      <c r="AH148" s="21"/>
      <c r="AI148" s="19"/>
      <c r="AJ148" s="22"/>
    </row>
    <row r="149" spans="1:36" s="15" customFormat="1" ht="12.75">
      <c r="A149" s="55" t="s">
        <v>91</v>
      </c>
      <c r="B149" s="46"/>
      <c r="C149" s="46"/>
      <c r="D149" s="46"/>
      <c r="E149" s="48"/>
      <c r="F149" s="46"/>
      <c r="G149" s="46"/>
      <c r="H149" s="46"/>
      <c r="I149" s="49"/>
      <c r="J149" s="46"/>
      <c r="K149" s="46"/>
      <c r="L149" s="46"/>
      <c r="M149" s="46"/>
      <c r="N149" s="55" t="s">
        <v>91</v>
      </c>
      <c r="O149" s="19"/>
      <c r="P149" s="19"/>
      <c r="Q149" s="19"/>
      <c r="R149" s="20"/>
      <c r="S149" s="19"/>
      <c r="T149" s="19"/>
      <c r="U149" s="19"/>
      <c r="V149" s="21"/>
      <c r="W149" s="19"/>
      <c r="X149" s="22"/>
      <c r="Y149" s="46"/>
      <c r="Z149" s="55" t="s">
        <v>91</v>
      </c>
      <c r="AA149" s="19"/>
      <c r="AB149" s="19"/>
      <c r="AC149" s="19"/>
      <c r="AD149" s="20"/>
      <c r="AE149" s="19"/>
      <c r="AF149" s="19"/>
      <c r="AG149" s="19"/>
      <c r="AH149" s="21"/>
      <c r="AI149" s="19"/>
      <c r="AJ149" s="22"/>
    </row>
    <row r="150" spans="1:36" ht="12.75">
      <c r="A150" s="19"/>
      <c r="B150" s="19"/>
      <c r="C150" s="19"/>
      <c r="D150" s="19"/>
      <c r="E150" s="20"/>
      <c r="F150" s="19"/>
      <c r="G150" s="19"/>
      <c r="H150" s="19"/>
      <c r="I150" s="21"/>
      <c r="J150" s="19"/>
      <c r="K150" s="19"/>
      <c r="L150" s="19"/>
      <c r="M150" s="19"/>
      <c r="N150" s="19"/>
      <c r="O150" s="19"/>
      <c r="P150" s="19"/>
      <c r="Q150" s="19"/>
      <c r="R150" s="20"/>
      <c r="S150" s="19"/>
      <c r="T150" s="19"/>
      <c r="U150" s="19"/>
      <c r="V150" s="21"/>
      <c r="W150" s="19"/>
      <c r="X150" s="22"/>
      <c r="Y150" s="19"/>
      <c r="Z150" s="19"/>
      <c r="AA150" s="19"/>
      <c r="AB150" s="19"/>
      <c r="AC150" s="19"/>
      <c r="AD150" s="20"/>
      <c r="AE150" s="19"/>
      <c r="AF150" s="19"/>
      <c r="AG150" s="19"/>
      <c r="AH150" s="21"/>
      <c r="AI150" s="19"/>
      <c r="AJ150" s="22"/>
    </row>
    <row r="151" spans="1:36" s="17" customFormat="1" ht="12.75">
      <c r="A151" s="66"/>
      <c r="B151" s="66"/>
      <c r="C151" s="66"/>
      <c r="D151" s="66"/>
      <c r="E151" s="67" t="s">
        <v>83</v>
      </c>
      <c r="F151" s="66"/>
      <c r="G151" s="66" t="s">
        <v>84</v>
      </c>
      <c r="H151" s="66"/>
      <c r="I151" s="68" t="s">
        <v>85</v>
      </c>
      <c r="J151" s="66"/>
      <c r="K151" s="66" t="s">
        <v>84</v>
      </c>
      <c r="L151" s="66"/>
      <c r="M151" s="69"/>
      <c r="N151" s="57"/>
      <c r="O151" s="57"/>
      <c r="P151" s="57"/>
      <c r="Q151" s="57"/>
      <c r="R151" s="67" t="s">
        <v>83</v>
      </c>
      <c r="S151" s="66"/>
      <c r="T151" s="66" t="s">
        <v>84</v>
      </c>
      <c r="U151" s="66"/>
      <c r="V151" s="68" t="s">
        <v>85</v>
      </c>
      <c r="W151" s="66"/>
      <c r="X151" s="66" t="s">
        <v>84</v>
      </c>
      <c r="Y151" s="69"/>
      <c r="Z151" s="57"/>
      <c r="AA151" s="57"/>
      <c r="AB151" s="57"/>
      <c r="AC151" s="57"/>
      <c r="AD151" s="67" t="s">
        <v>83</v>
      </c>
      <c r="AE151" s="66"/>
      <c r="AF151" s="66" t="s">
        <v>84</v>
      </c>
      <c r="AG151" s="66"/>
      <c r="AH151" s="68" t="s">
        <v>85</v>
      </c>
      <c r="AI151" s="66"/>
      <c r="AJ151" s="66" t="s">
        <v>84</v>
      </c>
    </row>
    <row r="152" spans="1:36" ht="12.75">
      <c r="A152" s="19"/>
      <c r="B152" s="19"/>
      <c r="C152" s="19"/>
      <c r="D152" s="19"/>
      <c r="E152" s="20"/>
      <c r="F152" s="19"/>
      <c r="G152" s="19"/>
      <c r="H152" s="19"/>
      <c r="I152" s="21"/>
      <c r="J152" s="19"/>
      <c r="K152" s="19"/>
      <c r="L152" s="19"/>
      <c r="M152" s="19"/>
      <c r="N152" s="19"/>
      <c r="O152" s="19"/>
      <c r="P152" s="19"/>
      <c r="Q152" s="19"/>
      <c r="R152" s="20"/>
      <c r="S152" s="19"/>
      <c r="T152" s="19"/>
      <c r="U152" s="19"/>
      <c r="V152" s="21"/>
      <c r="W152" s="19"/>
      <c r="X152" s="22"/>
      <c r="Y152" s="19"/>
      <c r="Z152" s="19"/>
      <c r="AA152" s="19"/>
      <c r="AB152" s="19"/>
      <c r="AC152" s="19"/>
      <c r="AD152" s="20"/>
      <c r="AE152" s="19"/>
      <c r="AF152" s="19"/>
      <c r="AG152" s="19"/>
      <c r="AH152" s="21"/>
      <c r="AI152" s="19"/>
      <c r="AJ152" s="22"/>
    </row>
    <row r="153" spans="1:44" ht="12.75">
      <c r="A153" s="19" t="s">
        <v>3</v>
      </c>
      <c r="B153" s="19"/>
      <c r="C153" s="19"/>
      <c r="D153" s="19"/>
      <c r="E153" s="20">
        <v>1315</v>
      </c>
      <c r="F153" s="19"/>
      <c r="G153" s="22">
        <v>0.9352773826458037</v>
      </c>
      <c r="H153" s="19"/>
      <c r="I153" s="21">
        <v>8256539.07</v>
      </c>
      <c r="J153" s="19"/>
      <c r="K153" s="22">
        <v>0.9451399546353968</v>
      </c>
      <c r="L153" s="22"/>
      <c r="M153" s="19"/>
      <c r="N153" s="19" t="s">
        <v>3</v>
      </c>
      <c r="O153" s="19"/>
      <c r="P153" s="19"/>
      <c r="Q153" s="19"/>
      <c r="R153" s="20">
        <v>22931</v>
      </c>
      <c r="S153" s="19"/>
      <c r="T153" s="22">
        <v>0.7507530120481928</v>
      </c>
      <c r="U153" s="19"/>
      <c r="V153" s="21">
        <f>148202646.35-18922.42</f>
        <v>148183723.93</v>
      </c>
      <c r="W153" s="19"/>
      <c r="X153" s="22">
        <f>+V153/$V$167</f>
        <v>0.7603166873349785</v>
      </c>
      <c r="Y153" s="19"/>
      <c r="Z153" s="19" t="s">
        <v>3</v>
      </c>
      <c r="AA153" s="19"/>
      <c r="AB153" s="20"/>
      <c r="AC153" s="19"/>
      <c r="AD153" s="20">
        <v>22315</v>
      </c>
      <c r="AE153" s="19"/>
      <c r="AF153" s="22">
        <v>0.795028302530178</v>
      </c>
      <c r="AG153" s="19"/>
      <c r="AH153" s="21">
        <v>133069607.27000019</v>
      </c>
      <c r="AI153" s="19"/>
      <c r="AJ153" s="22">
        <f>+AH153/$AH$167</f>
        <v>0.7289823955017123</v>
      </c>
      <c r="AL153" s="109"/>
      <c r="AN153" s="3"/>
      <c r="AP153" s="109">
        <f>+AN153-AL153</f>
        <v>0</v>
      </c>
      <c r="AR153" s="109">
        <f>+AH153+AP153</f>
        <v>133069607.27000019</v>
      </c>
    </row>
    <row r="154" spans="1:44" ht="12.75">
      <c r="A154" s="19" t="s">
        <v>4</v>
      </c>
      <c r="B154" s="19"/>
      <c r="C154" s="19"/>
      <c r="D154" s="19"/>
      <c r="E154" s="20">
        <v>32</v>
      </c>
      <c r="F154" s="19"/>
      <c r="G154" s="22">
        <v>0.02275960170697013</v>
      </c>
      <c r="H154" s="19"/>
      <c r="I154" s="21">
        <v>183561.99</v>
      </c>
      <c r="J154" s="19"/>
      <c r="K154" s="22">
        <v>0.021012650631275113</v>
      </c>
      <c r="L154" s="22"/>
      <c r="M154" s="19"/>
      <c r="N154" s="19" t="s">
        <v>4</v>
      </c>
      <c r="O154" s="19"/>
      <c r="P154" s="19"/>
      <c r="Q154" s="19"/>
      <c r="R154" s="20">
        <v>795</v>
      </c>
      <c r="S154" s="19"/>
      <c r="T154" s="22">
        <v>0.02602802514405448</v>
      </c>
      <c r="U154" s="19"/>
      <c r="V154" s="21">
        <v>5094704.479999994</v>
      </c>
      <c r="W154" s="19"/>
      <c r="X154" s="22">
        <f aca="true" t="shared" si="6" ref="X154:X165">+V154/$V$167</f>
        <v>0.026140447347740434</v>
      </c>
      <c r="Y154" s="19"/>
      <c r="Z154" s="19" t="s">
        <v>4</v>
      </c>
      <c r="AA154" s="19"/>
      <c r="AB154" s="20"/>
      <c r="AC154" s="19"/>
      <c r="AD154" s="20">
        <v>737</v>
      </c>
      <c r="AE154" s="19"/>
      <c r="AF154" s="22">
        <v>0.00153447452772284</v>
      </c>
      <c r="AG154" s="19"/>
      <c r="AH154" s="21">
        <v>4492606.41</v>
      </c>
      <c r="AI154" s="19"/>
      <c r="AJ154" s="22">
        <f aca="true" t="shared" si="7" ref="AJ154:AJ165">+AH154/$AH$167</f>
        <v>0.024611412402856664</v>
      </c>
      <c r="AL154" s="109"/>
      <c r="AN154" s="3"/>
      <c r="AP154" s="109">
        <f>+AN154-AL154</f>
        <v>0</v>
      </c>
      <c r="AR154" s="109">
        <f>+AH154+AP154</f>
        <v>4492606.41</v>
      </c>
    </row>
    <row r="155" spans="1:44" ht="12.75">
      <c r="A155" s="19" t="s">
        <v>5</v>
      </c>
      <c r="B155" s="19"/>
      <c r="C155" s="19"/>
      <c r="D155" s="19"/>
      <c r="E155" s="20">
        <v>14</v>
      </c>
      <c r="F155" s="19"/>
      <c r="G155" s="22">
        <v>0.00995732574679943</v>
      </c>
      <c r="H155" s="19"/>
      <c r="I155" s="21">
        <v>84802.05</v>
      </c>
      <c r="J155" s="19"/>
      <c r="K155" s="22">
        <v>0.009707433709265866</v>
      </c>
      <c r="L155" s="22"/>
      <c r="M155" s="19"/>
      <c r="N155" s="19" t="s">
        <v>5</v>
      </c>
      <c r="O155" s="19"/>
      <c r="P155" s="19"/>
      <c r="Q155" s="19"/>
      <c r="R155" s="20">
        <v>576</v>
      </c>
      <c r="S155" s="19"/>
      <c r="T155" s="22">
        <v>0.01885804085908853</v>
      </c>
      <c r="U155" s="19"/>
      <c r="V155" s="21">
        <v>3662612.86</v>
      </c>
      <c r="W155" s="19"/>
      <c r="X155" s="22">
        <f t="shared" si="6"/>
        <v>0.018792520547136253</v>
      </c>
      <c r="Y155" s="19"/>
      <c r="Z155" s="19" t="s">
        <v>5</v>
      </c>
      <c r="AA155" s="19"/>
      <c r="AB155" s="20"/>
      <c r="AC155" s="19"/>
      <c r="AD155" s="20">
        <v>527</v>
      </c>
      <c r="AE155" s="19"/>
      <c r="AF155" s="22">
        <v>0.0009206847166337038</v>
      </c>
      <c r="AG155" s="19"/>
      <c r="AH155" s="21">
        <v>3063210.5</v>
      </c>
      <c r="AI155" s="19"/>
      <c r="AJ155" s="22">
        <f t="shared" si="7"/>
        <v>0.016780890648344322</v>
      </c>
      <c r="AL155" s="109"/>
      <c r="AN155" s="3"/>
      <c r="AP155" s="109">
        <f>+AN155-AL155</f>
        <v>0</v>
      </c>
      <c r="AR155" s="109">
        <f>+AH155+AP155</f>
        <v>3063210.5</v>
      </c>
    </row>
    <row r="156" spans="1:44" ht="12.75">
      <c r="A156" s="19" t="s">
        <v>6</v>
      </c>
      <c r="B156" s="19"/>
      <c r="C156" s="19"/>
      <c r="D156" s="19"/>
      <c r="E156" s="20">
        <v>17</v>
      </c>
      <c r="F156" s="19"/>
      <c r="G156" s="22">
        <v>0.01209103840682788</v>
      </c>
      <c r="H156" s="19"/>
      <c r="I156" s="21">
        <v>75370.4</v>
      </c>
      <c r="J156" s="19"/>
      <c r="K156" s="22">
        <v>0.00862777682427314</v>
      </c>
      <c r="L156" s="22"/>
      <c r="M156" s="19"/>
      <c r="N156" s="19" t="s">
        <v>6</v>
      </c>
      <c r="O156" s="19"/>
      <c r="P156" s="19"/>
      <c r="Q156" s="19"/>
      <c r="R156" s="20">
        <v>481</v>
      </c>
      <c r="S156" s="19"/>
      <c r="T156" s="22">
        <v>0.01574777370350969</v>
      </c>
      <c r="U156" s="19"/>
      <c r="V156" s="21">
        <v>3120093.27</v>
      </c>
      <c r="W156" s="19"/>
      <c r="X156" s="22">
        <f t="shared" si="6"/>
        <v>0.016008903787187747</v>
      </c>
      <c r="Y156" s="19"/>
      <c r="Z156" s="19" t="s">
        <v>6</v>
      </c>
      <c r="AA156" s="19"/>
      <c r="AB156" s="20"/>
      <c r="AC156" s="19"/>
      <c r="AD156" s="20">
        <v>469</v>
      </c>
      <c r="AE156" s="19"/>
      <c r="AF156" s="22">
        <v>0.0011252813203300824</v>
      </c>
      <c r="AG156" s="19"/>
      <c r="AH156" s="21">
        <v>3030495.38</v>
      </c>
      <c r="AI156" s="19"/>
      <c r="AJ156" s="22">
        <f t="shared" si="7"/>
        <v>0.01660167056168444</v>
      </c>
      <c r="AL156" s="109"/>
      <c r="AN156" s="3"/>
      <c r="AP156" s="109">
        <f>+AN156-AL156</f>
        <v>0</v>
      </c>
      <c r="AR156" s="109">
        <f>+AH156+AP156</f>
        <v>3030495.38</v>
      </c>
    </row>
    <row r="157" spans="1:40" ht="12.75">
      <c r="A157" s="19" t="s">
        <v>7</v>
      </c>
      <c r="B157" s="19"/>
      <c r="C157" s="19"/>
      <c r="D157" s="19"/>
      <c r="E157" s="20">
        <v>10</v>
      </c>
      <c r="F157" s="19"/>
      <c r="G157" s="22">
        <v>0.007112375533428165</v>
      </c>
      <c r="H157" s="19"/>
      <c r="I157" s="21">
        <v>41958.74</v>
      </c>
      <c r="J157" s="19"/>
      <c r="K157" s="22">
        <v>0.004803087744627896</v>
      </c>
      <c r="L157" s="22"/>
      <c r="M157" s="19"/>
      <c r="N157" s="19" t="s">
        <v>7</v>
      </c>
      <c r="O157" s="19"/>
      <c r="P157" s="19"/>
      <c r="Q157" s="19"/>
      <c r="R157" s="20">
        <v>435</v>
      </c>
      <c r="S157" s="19"/>
      <c r="T157" s="22">
        <v>0.01424174960712415</v>
      </c>
      <c r="U157" s="19"/>
      <c r="V157" s="21">
        <v>2380931.49</v>
      </c>
      <c r="W157" s="19"/>
      <c r="X157" s="22">
        <f t="shared" si="6"/>
        <v>0.012216334528773739</v>
      </c>
      <c r="Y157" s="19"/>
      <c r="Z157" s="19" t="s">
        <v>7</v>
      </c>
      <c r="AA157" s="19"/>
      <c r="AB157" s="20"/>
      <c r="AC157" s="19"/>
      <c r="AD157" s="20">
        <v>284</v>
      </c>
      <c r="AE157" s="19"/>
      <c r="AF157" s="22">
        <v>0.0008865852826843074</v>
      </c>
      <c r="AG157" s="19"/>
      <c r="AH157" s="21">
        <v>2258668.05</v>
      </c>
      <c r="AI157" s="19"/>
      <c r="AJ157" s="22">
        <f t="shared" si="7"/>
        <v>0.012373443339254388</v>
      </c>
      <c r="AL157" s="109"/>
      <c r="AN157" s="3"/>
    </row>
    <row r="158" spans="1:40" ht="12.75">
      <c r="A158" s="19" t="s">
        <v>8</v>
      </c>
      <c r="B158" s="19"/>
      <c r="C158" s="19"/>
      <c r="D158" s="19"/>
      <c r="E158" s="20">
        <v>8</v>
      </c>
      <c r="F158" s="19"/>
      <c r="G158" s="22">
        <v>0.005689900426742532</v>
      </c>
      <c r="H158" s="19"/>
      <c r="I158" s="21">
        <v>39674.94</v>
      </c>
      <c r="J158" s="19"/>
      <c r="K158" s="22">
        <v>0.004541657306269138</v>
      </c>
      <c r="L158" s="22"/>
      <c r="M158" s="19"/>
      <c r="N158" s="19" t="s">
        <v>8</v>
      </c>
      <c r="O158" s="19"/>
      <c r="P158" s="19"/>
      <c r="Q158" s="19"/>
      <c r="R158" s="20">
        <v>394</v>
      </c>
      <c r="S158" s="19"/>
      <c r="T158" s="22">
        <v>0.01289942378208486</v>
      </c>
      <c r="U158" s="19"/>
      <c r="V158" s="21">
        <v>2443290.54</v>
      </c>
      <c r="W158" s="19"/>
      <c r="X158" s="22">
        <f t="shared" si="6"/>
        <v>0.012536292922745221</v>
      </c>
      <c r="Y158" s="19"/>
      <c r="Z158" s="19" t="s">
        <v>8</v>
      </c>
      <c r="AA158" s="19"/>
      <c r="AB158" s="20"/>
      <c r="AC158" s="19"/>
      <c r="AD158" s="20">
        <v>348</v>
      </c>
      <c r="AE158" s="19"/>
      <c r="AF158" s="22">
        <v>0.0007160881129373252</v>
      </c>
      <c r="AG158" s="19"/>
      <c r="AH158" s="21">
        <v>2261707.94</v>
      </c>
      <c r="AI158" s="19"/>
      <c r="AJ158" s="22">
        <f t="shared" si="7"/>
        <v>0.012390096475456748</v>
      </c>
      <c r="AL158" s="109"/>
      <c r="AN158" s="3"/>
    </row>
    <row r="159" spans="1:40" ht="12.75">
      <c r="A159" s="19" t="s">
        <v>9</v>
      </c>
      <c r="B159" s="19"/>
      <c r="C159" s="19"/>
      <c r="D159" s="19"/>
      <c r="E159" s="20">
        <v>4</v>
      </c>
      <c r="F159" s="19"/>
      <c r="G159" s="22">
        <v>0.002844950213371266</v>
      </c>
      <c r="H159" s="19"/>
      <c r="I159" s="21">
        <v>21505.66</v>
      </c>
      <c r="J159" s="19"/>
      <c r="K159" s="22">
        <v>0.0024617891763702715</v>
      </c>
      <c r="L159" s="22"/>
      <c r="M159" s="19"/>
      <c r="N159" s="19" t="s">
        <v>9</v>
      </c>
      <c r="O159" s="19"/>
      <c r="P159" s="19"/>
      <c r="Q159" s="19"/>
      <c r="R159" s="20">
        <v>367</v>
      </c>
      <c r="S159" s="19"/>
      <c r="T159" s="22">
        <v>0.012015453116815086</v>
      </c>
      <c r="U159" s="19"/>
      <c r="V159" s="21">
        <v>2223551.03</v>
      </c>
      <c r="W159" s="19"/>
      <c r="X159" s="22">
        <f t="shared" si="6"/>
        <v>0.011408830257555798</v>
      </c>
      <c r="Y159" s="19"/>
      <c r="Z159" s="19" t="s">
        <v>9</v>
      </c>
      <c r="AA159" s="19"/>
      <c r="AB159" s="20"/>
      <c r="AC159" s="19"/>
      <c r="AD159" s="20">
        <v>376</v>
      </c>
      <c r="AE159" s="19"/>
      <c r="AF159" s="22">
        <v>0.0012616790561276682</v>
      </c>
      <c r="AG159" s="19"/>
      <c r="AH159" s="21">
        <v>2369259.4</v>
      </c>
      <c r="AI159" s="19"/>
      <c r="AJ159" s="22">
        <f t="shared" si="7"/>
        <v>0.0129792852658875</v>
      </c>
      <c r="AL159" s="109"/>
      <c r="AN159" s="3"/>
    </row>
    <row r="160" spans="1:40" ht="12.75">
      <c r="A160" s="19" t="s">
        <v>10</v>
      </c>
      <c r="B160" s="19"/>
      <c r="C160" s="19"/>
      <c r="D160" s="19"/>
      <c r="E160" s="20">
        <v>2</v>
      </c>
      <c r="F160" s="19"/>
      <c r="G160" s="22">
        <v>0.001422475106685633</v>
      </c>
      <c r="H160" s="19"/>
      <c r="I160" s="21">
        <v>16704.38</v>
      </c>
      <c r="J160" s="19"/>
      <c r="K160" s="22">
        <v>0.0019121785558767336</v>
      </c>
      <c r="L160" s="22"/>
      <c r="M160" s="19"/>
      <c r="N160" s="19" t="s">
        <v>10</v>
      </c>
      <c r="O160" s="19"/>
      <c r="P160" s="19"/>
      <c r="Q160" s="19"/>
      <c r="R160" s="20">
        <v>386</v>
      </c>
      <c r="S160" s="19"/>
      <c r="T160" s="22">
        <v>0.012637506547930853</v>
      </c>
      <c r="U160" s="19"/>
      <c r="V160" s="21">
        <v>2358726.13</v>
      </c>
      <c r="W160" s="19"/>
      <c r="X160" s="22">
        <f t="shared" si="6"/>
        <v>0.01210240092453893</v>
      </c>
      <c r="Y160" s="19"/>
      <c r="Z160" s="19" t="s">
        <v>10</v>
      </c>
      <c r="AA160" s="19"/>
      <c r="AB160" s="20"/>
      <c r="AC160" s="19"/>
      <c r="AD160" s="20">
        <v>358</v>
      </c>
      <c r="AE160" s="19"/>
      <c r="AF160" s="22">
        <v>0.00153447452772284</v>
      </c>
      <c r="AG160" s="19"/>
      <c r="AH160" s="21">
        <v>2364686.67</v>
      </c>
      <c r="AI160" s="19"/>
      <c r="AJ160" s="22">
        <f t="shared" si="7"/>
        <v>0.01295423492014913</v>
      </c>
      <c r="AL160" s="109"/>
      <c r="AN160" s="3"/>
    </row>
    <row r="161" spans="1:40" ht="12.75">
      <c r="A161" s="19" t="s">
        <v>11</v>
      </c>
      <c r="B161" s="19"/>
      <c r="C161" s="19"/>
      <c r="D161" s="19"/>
      <c r="E161" s="20">
        <v>2</v>
      </c>
      <c r="F161" s="19"/>
      <c r="G161" s="22">
        <v>0.001422475106685633</v>
      </c>
      <c r="H161" s="19"/>
      <c r="I161" s="21">
        <v>7342.38</v>
      </c>
      <c r="J161" s="19"/>
      <c r="K161" s="22">
        <v>0.0008404946238709974</v>
      </c>
      <c r="L161" s="22"/>
      <c r="M161" s="19"/>
      <c r="N161" s="19" t="s">
        <v>11</v>
      </c>
      <c r="O161" s="19"/>
      <c r="P161" s="19"/>
      <c r="Q161" s="19"/>
      <c r="R161" s="20">
        <v>427</v>
      </c>
      <c r="S161" s="19"/>
      <c r="T161" s="22">
        <v>0.013979832372970142</v>
      </c>
      <c r="U161" s="19"/>
      <c r="V161" s="21">
        <v>2567937.8</v>
      </c>
      <c r="W161" s="19"/>
      <c r="X161" s="22">
        <f t="shared" si="6"/>
        <v>0.013175846237341029</v>
      </c>
      <c r="Y161" s="19"/>
      <c r="Z161" s="19" t="s">
        <v>11</v>
      </c>
      <c r="AA161" s="19"/>
      <c r="AB161" s="20"/>
      <c r="AC161" s="19"/>
      <c r="AD161" s="20">
        <v>342</v>
      </c>
      <c r="AE161" s="19"/>
      <c r="AF161" s="22">
        <v>0.001159380754279479</v>
      </c>
      <c r="AG161" s="19"/>
      <c r="AH161" s="21">
        <v>2008508.35</v>
      </c>
      <c r="AI161" s="19"/>
      <c r="AJ161" s="22">
        <f t="shared" si="7"/>
        <v>0.011003017581598289</v>
      </c>
      <c r="AL161" s="109"/>
      <c r="AN161" s="3"/>
    </row>
    <row r="162" spans="1:40" ht="12.75">
      <c r="A162" s="19" t="s">
        <v>12</v>
      </c>
      <c r="B162" s="19"/>
      <c r="C162" s="19"/>
      <c r="D162" s="19"/>
      <c r="E162" s="20">
        <v>1</v>
      </c>
      <c r="F162" s="19"/>
      <c r="G162" s="22">
        <v>0.0007112375533428165</v>
      </c>
      <c r="H162" s="19"/>
      <c r="I162" s="21">
        <v>5048.69</v>
      </c>
      <c r="J162" s="19"/>
      <c r="K162" s="22">
        <v>0.0005779320605295919</v>
      </c>
      <c r="L162" s="22"/>
      <c r="M162" s="19"/>
      <c r="N162" s="19" t="s">
        <v>12</v>
      </c>
      <c r="O162" s="19"/>
      <c r="P162" s="19"/>
      <c r="Q162" s="19"/>
      <c r="R162" s="20">
        <v>409</v>
      </c>
      <c r="S162" s="19"/>
      <c r="T162" s="22">
        <v>0.013390518596123625</v>
      </c>
      <c r="U162" s="19"/>
      <c r="V162" s="21">
        <v>2177857.35</v>
      </c>
      <c r="W162" s="19"/>
      <c r="X162" s="22">
        <f t="shared" si="6"/>
        <v>0.011174380302538093</v>
      </c>
      <c r="Y162" s="19"/>
      <c r="Z162" s="19" t="s">
        <v>12</v>
      </c>
      <c r="AA162" s="19"/>
      <c r="AB162" s="20"/>
      <c r="AC162" s="19"/>
      <c r="AD162" s="20">
        <v>375</v>
      </c>
      <c r="AE162" s="19"/>
      <c r="AF162" s="22">
        <v>0.0011252813203300824</v>
      </c>
      <c r="AG162" s="19"/>
      <c r="AH162" s="21">
        <v>2095415.18</v>
      </c>
      <c r="AI162" s="19"/>
      <c r="AJ162" s="22">
        <f t="shared" si="7"/>
        <v>0.01147911088658802</v>
      </c>
      <c r="AL162" s="109"/>
      <c r="AN162" s="3"/>
    </row>
    <row r="163" spans="1:40" ht="12.75">
      <c r="A163" s="19" t="s">
        <v>13</v>
      </c>
      <c r="B163" s="19"/>
      <c r="C163" s="19"/>
      <c r="D163" s="19"/>
      <c r="E163" s="20">
        <v>1</v>
      </c>
      <c r="F163" s="19"/>
      <c r="G163" s="22">
        <v>0.0007112375533428165</v>
      </c>
      <c r="H163" s="19"/>
      <c r="I163" s="21">
        <v>3276.31</v>
      </c>
      <c r="J163" s="19"/>
      <c r="K163" s="22">
        <v>0.000375044732244148</v>
      </c>
      <c r="L163" s="22"/>
      <c r="M163" s="19"/>
      <c r="N163" s="19" t="s">
        <v>13</v>
      </c>
      <c r="O163" s="19"/>
      <c r="P163" s="19"/>
      <c r="Q163" s="19"/>
      <c r="R163" s="20">
        <v>390</v>
      </c>
      <c r="S163" s="19"/>
      <c r="T163" s="22">
        <v>0.012768465165007858</v>
      </c>
      <c r="U163" s="19"/>
      <c r="V163" s="21">
        <v>1768583.8</v>
      </c>
      <c r="W163" s="19"/>
      <c r="X163" s="22">
        <f t="shared" si="6"/>
        <v>0.009074436384967074</v>
      </c>
      <c r="Y163" s="19"/>
      <c r="Z163" s="19" t="s">
        <v>13</v>
      </c>
      <c r="AA163" s="19"/>
      <c r="AB163" s="20"/>
      <c r="AC163" s="19"/>
      <c r="AD163" s="20">
        <v>240</v>
      </c>
      <c r="AE163" s="19"/>
      <c r="AF163" s="22">
        <v>0.001227579622178272</v>
      </c>
      <c r="AG163" s="19"/>
      <c r="AH163" s="21">
        <v>2008941.11</v>
      </c>
      <c r="AI163" s="19"/>
      <c r="AJ163" s="22">
        <f t="shared" si="7"/>
        <v>0.011005388328968402</v>
      </c>
      <c r="AL163" s="109"/>
      <c r="AN163" s="3"/>
    </row>
    <row r="164" spans="1:40" ht="12.75">
      <c r="A164" s="19" t="s">
        <v>14</v>
      </c>
      <c r="B164" s="19"/>
      <c r="C164" s="19"/>
      <c r="D164" s="19"/>
      <c r="E164" s="20">
        <v>0</v>
      </c>
      <c r="F164" s="19"/>
      <c r="G164" s="22">
        <v>0</v>
      </c>
      <c r="H164" s="19"/>
      <c r="I164" s="21">
        <v>0</v>
      </c>
      <c r="J164" s="19"/>
      <c r="K164" s="22">
        <v>0</v>
      </c>
      <c r="L164" s="22"/>
      <c r="M164" s="19"/>
      <c r="N164" s="19" t="s">
        <v>14</v>
      </c>
      <c r="O164" s="19"/>
      <c r="P164" s="19"/>
      <c r="Q164" s="19"/>
      <c r="R164" s="20">
        <v>338</v>
      </c>
      <c r="S164" s="19"/>
      <c r="T164" s="22">
        <v>0.011066003143006809</v>
      </c>
      <c r="U164" s="19"/>
      <c r="V164" s="21">
        <v>1793730.11</v>
      </c>
      <c r="W164" s="19"/>
      <c r="X164" s="22">
        <f t="shared" si="6"/>
        <v>0.009203459725795855</v>
      </c>
      <c r="Y164" s="19"/>
      <c r="Z164" s="19" t="s">
        <v>14</v>
      </c>
      <c r="AA164" s="19"/>
      <c r="AB164" s="20"/>
      <c r="AC164" s="19"/>
      <c r="AD164" s="20">
        <v>210</v>
      </c>
      <c r="AE164" s="19"/>
      <c r="AF164" s="22">
        <v>0.0012957784900770647</v>
      </c>
      <c r="AG164" s="19"/>
      <c r="AH164" s="21">
        <v>1671374.99</v>
      </c>
      <c r="AI164" s="19"/>
      <c r="AJ164" s="22">
        <f t="shared" si="7"/>
        <v>0.00915613241060893</v>
      </c>
      <c r="AL164" s="109"/>
      <c r="AN164" s="3"/>
    </row>
    <row r="165" spans="1:40" ht="12.75">
      <c r="A165" s="19" t="s">
        <v>15</v>
      </c>
      <c r="B165" s="19"/>
      <c r="C165" s="19"/>
      <c r="D165" s="19"/>
      <c r="E165" s="20">
        <v>0</v>
      </c>
      <c r="F165" s="19"/>
      <c r="G165" s="22">
        <v>0</v>
      </c>
      <c r="H165" s="19"/>
      <c r="I165" s="21">
        <v>0</v>
      </c>
      <c r="J165" s="19"/>
      <c r="K165" s="22">
        <v>0</v>
      </c>
      <c r="L165" s="22"/>
      <c r="M165" s="19"/>
      <c r="N165" s="19" t="s">
        <v>15</v>
      </c>
      <c r="O165" s="19"/>
      <c r="P165" s="19"/>
      <c r="Q165" s="19"/>
      <c r="R165" s="20">
        <v>2615</v>
      </c>
      <c r="S165" s="19"/>
      <c r="T165" s="22">
        <v>0.08561419591409115</v>
      </c>
      <c r="U165" s="19"/>
      <c r="V165" s="21">
        <v>17121628.789999984</v>
      </c>
      <c r="W165" s="19"/>
      <c r="X165" s="22">
        <f t="shared" si="6"/>
        <v>0.08784945969870109</v>
      </c>
      <c r="Y165" s="19"/>
      <c r="Z165" s="19" t="s">
        <v>15</v>
      </c>
      <c r="AA165" s="19"/>
      <c r="AB165" s="20"/>
      <c r="AC165" s="19"/>
      <c r="AD165" s="20">
        <v>2742</v>
      </c>
      <c r="AE165" s="19"/>
      <c r="AF165" s="22">
        <v>0.19218440973879833</v>
      </c>
      <c r="AG165" s="19"/>
      <c r="AH165" s="21">
        <v>21847111.1</v>
      </c>
      <c r="AI165" s="19"/>
      <c r="AJ165" s="22">
        <f t="shared" si="7"/>
        <v>0.11968292167689079</v>
      </c>
      <c r="AL165" s="109"/>
      <c r="AN165" s="3"/>
    </row>
    <row r="166" spans="1:36" ht="12.75">
      <c r="A166" s="19"/>
      <c r="B166" s="19"/>
      <c r="C166" s="19"/>
      <c r="D166" s="19"/>
      <c r="E166" s="20"/>
      <c r="F166" s="19"/>
      <c r="G166" s="19"/>
      <c r="H166" s="19"/>
      <c r="I166" s="21"/>
      <c r="J166" s="19"/>
      <c r="K166" s="19"/>
      <c r="L166" s="19"/>
      <c r="M166" s="19"/>
      <c r="N166" s="19"/>
      <c r="O166" s="19"/>
      <c r="P166" s="19"/>
      <c r="Q166" s="19"/>
      <c r="R166" s="20"/>
      <c r="S166" s="19"/>
      <c r="T166" s="19"/>
      <c r="U166" s="19"/>
      <c r="V166" s="21"/>
      <c r="W166" s="19"/>
      <c r="X166" s="19"/>
      <c r="Y166" s="19"/>
      <c r="Z166" s="19"/>
      <c r="AA166" s="19"/>
      <c r="AB166" s="19"/>
      <c r="AC166" s="19"/>
      <c r="AD166" s="20"/>
      <c r="AE166" s="19"/>
      <c r="AF166" s="19"/>
      <c r="AG166" s="19"/>
      <c r="AH166" s="21"/>
      <c r="AI166" s="19"/>
      <c r="AJ166" s="19"/>
    </row>
    <row r="167" spans="1:38" s="16" customFormat="1" ht="13.5" thickBot="1">
      <c r="A167" s="47"/>
      <c r="B167" s="47"/>
      <c r="C167" s="47"/>
      <c r="D167" s="47"/>
      <c r="E167" s="77">
        <v>1406</v>
      </c>
      <c r="F167" s="47"/>
      <c r="G167" s="47"/>
      <c r="H167" s="47"/>
      <c r="I167" s="78">
        <v>8735784.610000003</v>
      </c>
      <c r="J167" s="47"/>
      <c r="K167" s="47"/>
      <c r="L167" s="47"/>
      <c r="M167" s="47"/>
      <c r="N167" s="57"/>
      <c r="O167" s="57"/>
      <c r="P167" s="57"/>
      <c r="Q167" s="57"/>
      <c r="R167" s="88">
        <v>30544</v>
      </c>
      <c r="S167" s="57"/>
      <c r="T167" s="57"/>
      <c r="U167" s="57"/>
      <c r="V167" s="90">
        <f>SUM(V153:V166)</f>
        <v>194897371.58000004</v>
      </c>
      <c r="W167" s="57"/>
      <c r="X167" s="82"/>
      <c r="Y167" s="47"/>
      <c r="Z167" s="57"/>
      <c r="AA167" s="57"/>
      <c r="AB167" s="57"/>
      <c r="AC167" s="57"/>
      <c r="AD167" s="88">
        <f>SUM(AD153:AD166)</f>
        <v>29323</v>
      </c>
      <c r="AE167" s="57"/>
      <c r="AF167" s="57"/>
      <c r="AG167" s="57"/>
      <c r="AH167" s="90">
        <f>SUM(AH153:AH166)</f>
        <v>182541592.3500002</v>
      </c>
      <c r="AI167" s="57"/>
      <c r="AJ167" s="82"/>
      <c r="AL167" s="110"/>
    </row>
    <row r="168" spans="18:22" ht="13.5" thickTop="1">
      <c r="R168" s="4"/>
      <c r="V168" s="3"/>
    </row>
    <row r="169" spans="18:22" ht="12.75">
      <c r="R169" s="4"/>
      <c r="V169" s="3"/>
    </row>
    <row r="170" spans="1:22" ht="12.75">
      <c r="A170" s="5"/>
      <c r="N170" s="5"/>
      <c r="R170" s="4"/>
      <c r="V170" s="3"/>
    </row>
    <row r="171" spans="18:22" ht="12.75">
      <c r="R171" s="4"/>
      <c r="V171" s="3"/>
    </row>
    <row r="172" spans="1:24" s="9" customFormat="1" ht="12.75">
      <c r="A172" s="6"/>
      <c r="B172" s="6"/>
      <c r="C172" s="6"/>
      <c r="D172" s="6"/>
      <c r="E172" s="7"/>
      <c r="F172" s="6"/>
      <c r="G172" s="6"/>
      <c r="H172" s="6"/>
      <c r="I172" s="8"/>
      <c r="J172" s="6"/>
      <c r="K172" s="6"/>
      <c r="L172" s="6"/>
      <c r="N172" s="6"/>
      <c r="O172" s="6"/>
      <c r="P172" s="6"/>
      <c r="Q172" s="6"/>
      <c r="R172" s="7"/>
      <c r="S172" s="6"/>
      <c r="T172" s="6"/>
      <c r="U172" s="6"/>
      <c r="V172" s="8"/>
      <c r="W172" s="6"/>
      <c r="X172" s="6"/>
    </row>
    <row r="174" spans="5:19" ht="12.75">
      <c r="E174" s="3"/>
      <c r="G174" s="3"/>
      <c r="H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5:19" ht="12.75">
      <c r="E175" s="3"/>
      <c r="G175" s="3"/>
      <c r="H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5:19" ht="12.75">
      <c r="E176" s="3"/>
      <c r="G176" s="3"/>
      <c r="H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5:19" ht="12.75">
      <c r="E177" s="3"/>
      <c r="G177" s="3"/>
      <c r="H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5:19" ht="12.75">
      <c r="E178" s="3"/>
      <c r="G178" s="3"/>
      <c r="H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5:19" ht="12.75">
      <c r="E179" s="3"/>
      <c r="G179" s="3"/>
      <c r="H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5:19" ht="12.75">
      <c r="E180" s="3"/>
      <c r="G180" s="3"/>
      <c r="H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5:19" ht="12.75">
      <c r="E181" s="3"/>
      <c r="G181" s="3"/>
      <c r="H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5:19" ht="12.75">
      <c r="E182" s="3"/>
      <c r="G182" s="3"/>
      <c r="H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5:19" ht="12.75">
      <c r="E183" s="3"/>
      <c r="G183" s="3"/>
      <c r="H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5:19" ht="12.75">
      <c r="E184" s="3"/>
      <c r="G184" s="3"/>
      <c r="H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5:19" ht="12.75">
      <c r="E185" s="3"/>
      <c r="G185" s="3"/>
      <c r="H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5:19" ht="12.75">
      <c r="E186" s="3"/>
      <c r="G186" s="3"/>
      <c r="H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ht="12.75">
      <c r="E187" s="3"/>
    </row>
    <row r="188" spans="5:12" s="1" customFormat="1" ht="12.75">
      <c r="E188" s="10"/>
      <c r="F188" s="10"/>
      <c r="G188" s="10"/>
      <c r="H188" s="10"/>
      <c r="I188" s="10"/>
      <c r="J188" s="10"/>
      <c r="K188" s="10"/>
      <c r="L188" s="10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</sheetData>
  <mergeCells count="4">
    <mergeCell ref="A4:K4"/>
    <mergeCell ref="N4:X4"/>
    <mergeCell ref="A1:X1"/>
    <mergeCell ref="Z4:AJ4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4" r:id="rId1"/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9"/>
  <sheetViews>
    <sheetView tabSelected="1" view="pageBreakPreview" zoomScale="60" workbookViewId="0" topLeftCell="Y151">
      <selection activeCell="AD167" sqref="AD167"/>
    </sheetView>
  </sheetViews>
  <sheetFormatPr defaultColWidth="9.140625" defaultRowHeight="12.75"/>
  <cols>
    <col min="5" max="5" width="17.421875" style="4" customWidth="1"/>
    <col min="6" max="6" width="4.7109375" style="0" customWidth="1"/>
    <col min="7" max="7" width="16.140625" style="0" customWidth="1"/>
    <col min="8" max="8" width="4.7109375" style="0" customWidth="1"/>
    <col min="9" max="9" width="20.7109375" style="3" customWidth="1"/>
    <col min="10" max="10" width="4.7109375" style="0" customWidth="1"/>
    <col min="11" max="11" width="15.28125" style="0" customWidth="1"/>
    <col min="13" max="13" width="9.421875" style="0" customWidth="1"/>
    <col min="14" max="14" width="15.28125" style="0" customWidth="1"/>
    <col min="18" max="18" width="12.00390625" style="0" customWidth="1"/>
    <col min="19" max="19" width="4.421875" style="0" customWidth="1"/>
    <col min="20" max="20" width="13.28125" style="0" customWidth="1"/>
    <col min="21" max="21" width="4.140625" style="0" customWidth="1"/>
    <col min="22" max="22" width="21.00390625" style="0" customWidth="1"/>
    <col min="23" max="23" width="3.7109375" style="0" customWidth="1"/>
    <col min="24" max="24" width="24.421875" style="0" customWidth="1"/>
    <col min="26" max="26" width="20.7109375" style="0" customWidth="1"/>
    <col min="27" max="27" width="13.8515625" style="0" customWidth="1"/>
    <col min="30" max="30" width="11.7109375" style="0" customWidth="1"/>
    <col min="32" max="32" width="13.8515625" style="0" customWidth="1"/>
    <col min="34" max="34" width="20.8515625" style="0" customWidth="1"/>
    <col min="35" max="35" width="12.57421875" style="0" customWidth="1"/>
    <col min="36" max="36" width="14.140625" style="0" customWidth="1"/>
  </cols>
  <sheetData>
    <row r="1" spans="1:36" s="15" customFormat="1" ht="33.75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2.75">
      <c r="A2" s="19"/>
      <c r="B2" s="19"/>
      <c r="C2" s="19"/>
      <c r="D2" s="19"/>
      <c r="E2" s="20"/>
      <c r="F2" s="19"/>
      <c r="G2" s="19"/>
      <c r="H2" s="19"/>
      <c r="I2" s="2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2.75">
      <c r="A3" s="19"/>
      <c r="B3" s="19"/>
      <c r="C3" s="19"/>
      <c r="D3" s="19"/>
      <c r="E3" s="20"/>
      <c r="F3" s="19"/>
      <c r="G3" s="19"/>
      <c r="H3" s="19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15" customFormat="1" ht="18">
      <c r="A4" s="116" t="s">
        <v>81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46"/>
      <c r="M4" s="46"/>
      <c r="N4" s="117" t="s">
        <v>97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46"/>
      <c r="Z4" s="117" t="s">
        <v>110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</row>
    <row r="5" spans="1:36" ht="12.75">
      <c r="A5" s="19"/>
      <c r="B5" s="19"/>
      <c r="C5" s="19"/>
      <c r="D5" s="19"/>
      <c r="E5" s="20"/>
      <c r="F5" s="19"/>
      <c r="G5" s="19"/>
      <c r="H5" s="19"/>
      <c r="I5" s="21"/>
      <c r="J5" s="19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21"/>
      <c r="W5" s="19"/>
      <c r="X5" s="19"/>
      <c r="Y5" s="19"/>
      <c r="Z5" s="19"/>
      <c r="AA5" s="19"/>
      <c r="AB5" s="19"/>
      <c r="AC5" s="19"/>
      <c r="AD5" s="20"/>
      <c r="AE5" s="19"/>
      <c r="AF5" s="19"/>
      <c r="AG5" s="19"/>
      <c r="AH5" s="21"/>
      <c r="AI5" s="19"/>
      <c r="AJ5" s="19"/>
    </row>
    <row r="6" spans="1:36" ht="12.75">
      <c r="A6" s="19"/>
      <c r="B6" s="19"/>
      <c r="C6" s="19"/>
      <c r="D6" s="19"/>
      <c r="E6" s="20"/>
      <c r="F6" s="19"/>
      <c r="G6" s="19"/>
      <c r="H6" s="19"/>
      <c r="I6" s="21"/>
      <c r="J6" s="19"/>
      <c r="K6" s="19"/>
      <c r="L6" s="19"/>
      <c r="M6" s="19"/>
      <c r="N6" s="19"/>
      <c r="O6" s="19"/>
      <c r="P6" s="19"/>
      <c r="Q6" s="19"/>
      <c r="R6" s="20"/>
      <c r="S6" s="19"/>
      <c r="T6" s="19"/>
      <c r="U6" s="19"/>
      <c r="V6" s="21"/>
      <c r="W6" s="19"/>
      <c r="X6" s="19"/>
      <c r="Y6" s="19"/>
      <c r="Z6" s="19"/>
      <c r="AA6" s="19"/>
      <c r="AB6" s="19"/>
      <c r="AC6" s="19"/>
      <c r="AD6" s="20"/>
      <c r="AE6" s="19"/>
      <c r="AF6" s="19"/>
      <c r="AG6" s="19"/>
      <c r="AH6" s="21"/>
      <c r="AI6" s="19"/>
      <c r="AJ6" s="19"/>
    </row>
    <row r="7" spans="1:36" s="94" customFormat="1" ht="12.75">
      <c r="A7" s="89" t="s">
        <v>93</v>
      </c>
      <c r="B7" s="92"/>
      <c r="C7" s="92"/>
      <c r="D7" s="92"/>
      <c r="E7" s="91"/>
      <c r="F7" s="92"/>
      <c r="G7" s="92"/>
      <c r="H7" s="92"/>
      <c r="I7" s="93"/>
      <c r="J7" s="92"/>
      <c r="K7" s="92"/>
      <c r="L7" s="92"/>
      <c r="M7" s="92"/>
      <c r="N7" s="89" t="s">
        <v>93</v>
      </c>
      <c r="O7" s="92"/>
      <c r="P7" s="92"/>
      <c r="Q7" s="92"/>
      <c r="R7" s="91"/>
      <c r="S7" s="92"/>
      <c r="T7" s="92"/>
      <c r="U7" s="92"/>
      <c r="V7" s="93"/>
      <c r="W7" s="92"/>
      <c r="X7" s="92"/>
      <c r="Y7" s="92"/>
      <c r="Z7" s="89" t="s">
        <v>93</v>
      </c>
      <c r="AA7" s="92"/>
      <c r="AB7" s="92"/>
      <c r="AC7" s="92"/>
      <c r="AD7" s="91"/>
      <c r="AE7" s="92"/>
      <c r="AF7" s="92"/>
      <c r="AG7" s="92"/>
      <c r="AH7" s="93"/>
      <c r="AI7" s="92"/>
      <c r="AJ7" s="92"/>
    </row>
    <row r="8" spans="1:36" ht="12.75">
      <c r="A8" s="50" t="s">
        <v>26</v>
      </c>
      <c r="B8" s="19"/>
      <c r="C8" s="19"/>
      <c r="D8" s="19"/>
      <c r="E8" s="20"/>
      <c r="F8" s="19"/>
      <c r="G8" s="19"/>
      <c r="H8" s="19"/>
      <c r="I8" s="21"/>
      <c r="J8" s="19"/>
      <c r="K8" s="19"/>
      <c r="L8" s="19"/>
      <c r="M8" s="19"/>
      <c r="N8" s="50" t="s">
        <v>26</v>
      </c>
      <c r="O8" s="19"/>
      <c r="P8" s="19"/>
      <c r="Q8" s="19"/>
      <c r="R8" s="20"/>
      <c r="S8" s="19"/>
      <c r="T8" s="19"/>
      <c r="U8" s="19"/>
      <c r="V8" s="21"/>
      <c r="W8" s="19"/>
      <c r="X8" s="19"/>
      <c r="Y8" s="19"/>
      <c r="Z8" s="50" t="s">
        <v>26</v>
      </c>
      <c r="AA8" s="19"/>
      <c r="AB8" s="19"/>
      <c r="AC8" s="19"/>
      <c r="AD8" s="20"/>
      <c r="AE8" s="19"/>
      <c r="AF8" s="19"/>
      <c r="AG8" s="19"/>
      <c r="AH8" s="21"/>
      <c r="AI8" s="19"/>
      <c r="AJ8" s="19"/>
    </row>
    <row r="9" spans="1:36" ht="12.75">
      <c r="A9" s="19"/>
      <c r="B9" s="19"/>
      <c r="C9" s="19"/>
      <c r="D9" s="19"/>
      <c r="E9" s="20"/>
      <c r="F9" s="19"/>
      <c r="G9" s="19"/>
      <c r="H9" s="19"/>
      <c r="I9" s="21"/>
      <c r="J9" s="19"/>
      <c r="K9" s="19"/>
      <c r="L9" s="19"/>
      <c r="M9" s="19"/>
      <c r="N9" s="19"/>
      <c r="O9" s="19"/>
      <c r="P9" s="19"/>
      <c r="Q9" s="19"/>
      <c r="R9" s="20"/>
      <c r="S9" s="19"/>
      <c r="T9" s="19"/>
      <c r="U9" s="19"/>
      <c r="V9" s="21"/>
      <c r="W9" s="19"/>
      <c r="X9" s="19"/>
      <c r="Y9" s="19"/>
      <c r="Z9" s="19"/>
      <c r="AA9" s="19"/>
      <c r="AB9" s="19"/>
      <c r="AC9" s="19"/>
      <c r="AD9" s="20"/>
      <c r="AE9" s="19"/>
      <c r="AF9" s="19"/>
      <c r="AG9" s="19"/>
      <c r="AH9" s="21"/>
      <c r="AI9" s="111"/>
      <c r="AJ9" s="19"/>
    </row>
    <row r="10" spans="1:36" ht="12.75">
      <c r="A10" s="19" t="s">
        <v>27</v>
      </c>
      <c r="B10" s="19"/>
      <c r="C10" s="19"/>
      <c r="D10" s="19"/>
      <c r="E10" s="20"/>
      <c r="F10" s="19"/>
      <c r="G10" s="51">
        <v>6504.23</v>
      </c>
      <c r="H10" s="19"/>
      <c r="I10" s="21"/>
      <c r="J10" s="19"/>
      <c r="K10" s="19"/>
      <c r="L10" s="19"/>
      <c r="M10" s="19"/>
      <c r="N10" s="19" t="s">
        <v>27</v>
      </c>
      <c r="O10" s="19"/>
      <c r="P10" s="19"/>
      <c r="Q10" s="19"/>
      <c r="R10" s="20"/>
      <c r="S10" s="19"/>
      <c r="T10" s="51">
        <v>4482.745761094171</v>
      </c>
      <c r="U10" s="19"/>
      <c r="V10" s="21"/>
      <c r="W10" s="19"/>
      <c r="X10" s="19"/>
      <c r="Y10" s="19"/>
      <c r="Z10" s="19" t="s">
        <v>27</v>
      </c>
      <c r="AA10" s="19"/>
      <c r="AB10" s="19"/>
      <c r="AC10" s="19"/>
      <c r="AD10" s="20"/>
      <c r="AE10" s="19"/>
      <c r="AF10" s="51">
        <v>4342.517695842208</v>
      </c>
      <c r="AG10" s="19"/>
      <c r="AH10" s="21"/>
      <c r="AI10" s="19"/>
      <c r="AJ10" s="19"/>
    </row>
    <row r="11" spans="1:36" ht="12.75">
      <c r="A11" s="19" t="s">
        <v>28</v>
      </c>
      <c r="B11" s="19"/>
      <c r="C11" s="19"/>
      <c r="D11" s="19"/>
      <c r="E11" s="20"/>
      <c r="F11" s="19"/>
      <c r="G11" s="52" t="s">
        <v>19</v>
      </c>
      <c r="H11" s="19"/>
      <c r="I11" s="21"/>
      <c r="J11" s="19"/>
      <c r="K11" s="19"/>
      <c r="L11" s="19"/>
      <c r="M11" s="19"/>
      <c r="N11" s="19" t="s">
        <v>28</v>
      </c>
      <c r="O11" s="19"/>
      <c r="P11" s="19"/>
      <c r="Q11" s="19"/>
      <c r="R11" s="20"/>
      <c r="S11" s="19"/>
      <c r="T11" s="53">
        <v>21.885259417904425</v>
      </c>
      <c r="U11" s="19" t="s">
        <v>80</v>
      </c>
      <c r="V11" s="21"/>
      <c r="W11" s="19"/>
      <c r="X11" s="19"/>
      <c r="Y11" s="19"/>
      <c r="Z11" s="19" t="s">
        <v>28</v>
      </c>
      <c r="AA11" s="19"/>
      <c r="AB11" s="19"/>
      <c r="AC11" s="19"/>
      <c r="AD11" s="20"/>
      <c r="AE11" s="19"/>
      <c r="AF11" s="53">
        <v>23.657705368413644</v>
      </c>
      <c r="AG11" s="19" t="s">
        <v>80</v>
      </c>
      <c r="AH11" s="21"/>
      <c r="AI11" s="19"/>
      <c r="AJ11" s="19"/>
    </row>
    <row r="12" spans="1:36" ht="12.75">
      <c r="A12" s="19" t="s">
        <v>30</v>
      </c>
      <c r="B12" s="19"/>
      <c r="C12" s="19"/>
      <c r="D12" s="19"/>
      <c r="E12" s="20"/>
      <c r="F12" s="19"/>
      <c r="G12" s="54">
        <v>0.1504</v>
      </c>
      <c r="H12" s="19"/>
      <c r="I12" s="21"/>
      <c r="J12" s="19"/>
      <c r="K12" s="19"/>
      <c r="L12" s="19"/>
      <c r="M12" s="19"/>
      <c r="N12" s="19" t="s">
        <v>30</v>
      </c>
      <c r="O12" s="19"/>
      <c r="P12" s="19"/>
      <c r="Q12" s="19"/>
      <c r="R12" s="20"/>
      <c r="S12" s="19"/>
      <c r="T12" s="54">
        <v>0.137342971791547</v>
      </c>
      <c r="U12" s="19"/>
      <c r="V12" s="21"/>
      <c r="W12" s="19"/>
      <c r="X12" s="19"/>
      <c r="Y12" s="19"/>
      <c r="Z12" s="19" t="s">
        <v>30</v>
      </c>
      <c r="AA12" s="19"/>
      <c r="AB12" s="19"/>
      <c r="AC12" s="19"/>
      <c r="AD12" s="20"/>
      <c r="AE12" s="19"/>
      <c r="AF12" s="54">
        <v>0.136980731950438</v>
      </c>
      <c r="AG12" s="19"/>
      <c r="AH12" s="112"/>
      <c r="AI12" s="111"/>
      <c r="AJ12" s="19"/>
    </row>
    <row r="13" spans="1:36" ht="12.75">
      <c r="A13" s="19" t="s">
        <v>31</v>
      </c>
      <c r="B13" s="19"/>
      <c r="C13" s="19"/>
      <c r="D13" s="19"/>
      <c r="E13" s="20"/>
      <c r="F13" s="19"/>
      <c r="G13" s="52" t="s">
        <v>20</v>
      </c>
      <c r="H13" s="19"/>
      <c r="I13" s="21"/>
      <c r="J13" s="19"/>
      <c r="K13" s="19"/>
      <c r="L13" s="19"/>
      <c r="M13" s="19"/>
      <c r="N13" s="19" t="s">
        <v>31</v>
      </c>
      <c r="O13" s="19"/>
      <c r="P13" s="19"/>
      <c r="Q13" s="19"/>
      <c r="R13" s="20"/>
      <c r="S13" s="19"/>
      <c r="T13" s="53">
        <v>52.30967686346888</v>
      </c>
      <c r="U13" s="19" t="s">
        <v>80</v>
      </c>
      <c r="V13" s="21"/>
      <c r="W13" s="19"/>
      <c r="X13" s="19"/>
      <c r="Y13" s="19"/>
      <c r="Z13" s="19" t="s">
        <v>31</v>
      </c>
      <c r="AA13" s="19"/>
      <c r="AB13" s="19"/>
      <c r="AC13" s="19"/>
      <c r="AD13" s="20"/>
      <c r="AE13" s="19"/>
      <c r="AF13" s="53">
        <v>52.75495353142438</v>
      </c>
      <c r="AG13" s="19" t="s">
        <v>80</v>
      </c>
      <c r="AH13" s="21"/>
      <c r="AI13" s="111"/>
      <c r="AJ13" s="19"/>
    </row>
    <row r="14" spans="1:36" ht="12.75">
      <c r="A14" s="19" t="s">
        <v>33</v>
      </c>
      <c r="B14" s="19"/>
      <c r="C14" s="19"/>
      <c r="D14" s="19"/>
      <c r="E14" s="20"/>
      <c r="F14" s="19"/>
      <c r="G14" s="52" t="s">
        <v>21</v>
      </c>
      <c r="H14" s="19"/>
      <c r="I14" s="21"/>
      <c r="J14" s="19"/>
      <c r="K14" s="19"/>
      <c r="L14" s="19"/>
      <c r="M14" s="19"/>
      <c r="N14" s="19" t="s">
        <v>33</v>
      </c>
      <c r="O14" s="19"/>
      <c r="P14" s="19"/>
      <c r="Q14" s="19"/>
      <c r="R14" s="20"/>
      <c r="S14" s="19"/>
      <c r="T14" s="53">
        <v>36.3413513171085</v>
      </c>
      <c r="U14" s="19" t="s">
        <v>80</v>
      </c>
      <c r="V14" s="21"/>
      <c r="W14" s="19"/>
      <c r="X14" s="19"/>
      <c r="Y14" s="19"/>
      <c r="Z14" s="19" t="s">
        <v>33</v>
      </c>
      <c r="AA14" s="19"/>
      <c r="AB14" s="19"/>
      <c r="AC14" s="19"/>
      <c r="AD14" s="20"/>
      <c r="AE14" s="19"/>
      <c r="AF14" s="53">
        <v>33.54</v>
      </c>
      <c r="AG14" s="19" t="s">
        <v>80</v>
      </c>
      <c r="AH14" s="21"/>
      <c r="AI14" s="111"/>
      <c r="AJ14" s="19"/>
    </row>
    <row r="15" spans="1:36" ht="12.75">
      <c r="A15" s="19"/>
      <c r="B15" s="19"/>
      <c r="C15" s="19"/>
      <c r="D15" s="19"/>
      <c r="E15" s="20"/>
      <c r="F15" s="19"/>
      <c r="G15" s="19"/>
      <c r="H15" s="19"/>
      <c r="I15" s="21"/>
      <c r="J15" s="19"/>
      <c r="K15" s="19"/>
      <c r="L15" s="19"/>
      <c r="M15" s="19"/>
      <c r="N15" s="19"/>
      <c r="O15" s="19"/>
      <c r="P15" s="19"/>
      <c r="Q15" s="19"/>
      <c r="R15" s="20"/>
      <c r="S15" s="19"/>
      <c r="T15" s="19"/>
      <c r="U15" s="19"/>
      <c r="V15" s="21"/>
      <c r="W15" s="19"/>
      <c r="X15" s="19"/>
      <c r="Y15" s="19"/>
      <c r="Z15" s="19"/>
      <c r="AA15" s="19"/>
      <c r="AB15" s="19"/>
      <c r="AC15" s="19"/>
      <c r="AD15" s="20"/>
      <c r="AE15" s="19"/>
      <c r="AF15" s="19"/>
      <c r="AG15" s="19"/>
      <c r="AH15" s="21"/>
      <c r="AI15" s="111"/>
      <c r="AJ15" s="19"/>
    </row>
    <row r="16" spans="1:36" ht="12.75">
      <c r="A16" s="19"/>
      <c r="B16" s="19"/>
      <c r="C16" s="19"/>
      <c r="D16" s="19"/>
      <c r="E16" s="20"/>
      <c r="F16" s="19"/>
      <c r="G16" s="19"/>
      <c r="H16" s="19"/>
      <c r="I16" s="21"/>
      <c r="J16" s="19"/>
      <c r="K16" s="19"/>
      <c r="L16" s="19"/>
      <c r="M16" s="19"/>
      <c r="N16" s="19"/>
      <c r="O16" s="19"/>
      <c r="P16" s="19"/>
      <c r="Q16" s="19"/>
      <c r="R16" s="20"/>
      <c r="S16" s="19"/>
      <c r="T16" s="19"/>
      <c r="U16" s="19"/>
      <c r="V16" s="21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21"/>
      <c r="AI16" s="19"/>
      <c r="AJ16" s="19"/>
    </row>
    <row r="17" spans="1:36" s="15" customFormat="1" ht="12.75">
      <c r="A17" s="55" t="s">
        <v>82</v>
      </c>
      <c r="B17" s="46"/>
      <c r="C17" s="46"/>
      <c r="D17" s="46"/>
      <c r="E17" s="48"/>
      <c r="F17" s="46"/>
      <c r="G17" s="46"/>
      <c r="H17" s="46"/>
      <c r="I17" s="49"/>
      <c r="J17" s="46"/>
      <c r="K17" s="46"/>
      <c r="L17" s="46"/>
      <c r="M17" s="46"/>
      <c r="N17" s="55" t="s">
        <v>82</v>
      </c>
      <c r="O17" s="19"/>
      <c r="P17" s="19"/>
      <c r="Q17" s="19"/>
      <c r="R17" s="20"/>
      <c r="S17" s="19"/>
      <c r="T17" s="19"/>
      <c r="U17" s="19"/>
      <c r="V17" s="21"/>
      <c r="W17" s="19"/>
      <c r="X17" s="19"/>
      <c r="Y17" s="46"/>
      <c r="Z17" s="55" t="s">
        <v>82</v>
      </c>
      <c r="AA17" s="19"/>
      <c r="AB17" s="19"/>
      <c r="AC17" s="19"/>
      <c r="AD17" s="20"/>
      <c r="AE17" s="19"/>
      <c r="AF17" s="19"/>
      <c r="AG17" s="19"/>
      <c r="AH17" s="21"/>
      <c r="AI17" s="19"/>
      <c r="AJ17" s="19"/>
    </row>
    <row r="18" spans="1:36" ht="12.75">
      <c r="A18" s="58"/>
      <c r="B18" s="19"/>
      <c r="C18" s="19"/>
      <c r="D18" s="19"/>
      <c r="E18" s="20"/>
      <c r="F18" s="19"/>
      <c r="G18" s="19"/>
      <c r="H18" s="19"/>
      <c r="I18" s="21"/>
      <c r="J18" s="19"/>
      <c r="K18" s="19"/>
      <c r="L18" s="19"/>
      <c r="M18" s="19"/>
      <c r="N18" s="58"/>
      <c r="O18" s="19"/>
      <c r="P18" s="19"/>
      <c r="Q18" s="19"/>
      <c r="R18" s="20"/>
      <c r="S18" s="19"/>
      <c r="T18" s="19"/>
      <c r="U18" s="19"/>
      <c r="V18" s="21"/>
      <c r="W18" s="19"/>
      <c r="X18" s="19"/>
      <c r="Y18" s="19"/>
      <c r="Z18" s="58"/>
      <c r="AA18" s="19"/>
      <c r="AB18" s="19"/>
      <c r="AC18" s="19"/>
      <c r="AD18" s="20"/>
      <c r="AE18" s="19"/>
      <c r="AF18" s="19"/>
      <c r="AG18" s="19"/>
      <c r="AH18" s="21"/>
      <c r="AI18" s="19"/>
      <c r="AJ18" s="19"/>
    </row>
    <row r="19" spans="1:36" s="18" customFormat="1" ht="12.75">
      <c r="A19" s="69"/>
      <c r="B19" s="66"/>
      <c r="C19" s="66"/>
      <c r="D19" s="66"/>
      <c r="E19" s="67" t="s">
        <v>83</v>
      </c>
      <c r="F19" s="66"/>
      <c r="G19" s="66" t="s">
        <v>84</v>
      </c>
      <c r="H19" s="66"/>
      <c r="I19" s="68" t="s">
        <v>85</v>
      </c>
      <c r="J19" s="66"/>
      <c r="K19" s="66" t="s">
        <v>84</v>
      </c>
      <c r="L19" s="66"/>
      <c r="M19" s="66"/>
      <c r="N19" s="19"/>
      <c r="O19" s="57"/>
      <c r="P19" s="57"/>
      <c r="Q19" s="57"/>
      <c r="R19" s="67" t="s">
        <v>83</v>
      </c>
      <c r="S19" s="66"/>
      <c r="T19" s="66" t="s">
        <v>84</v>
      </c>
      <c r="U19" s="66"/>
      <c r="V19" s="68" t="s">
        <v>85</v>
      </c>
      <c r="W19" s="66"/>
      <c r="X19" s="66" t="s">
        <v>84</v>
      </c>
      <c r="Y19" s="66"/>
      <c r="Z19" s="19"/>
      <c r="AA19" s="57"/>
      <c r="AB19" s="57"/>
      <c r="AC19" s="57"/>
      <c r="AD19" s="67" t="s">
        <v>83</v>
      </c>
      <c r="AE19" s="66"/>
      <c r="AF19" s="66" t="s">
        <v>84</v>
      </c>
      <c r="AG19" s="66"/>
      <c r="AH19" s="68" t="s">
        <v>85</v>
      </c>
      <c r="AI19" s="66"/>
      <c r="AJ19" s="66" t="s">
        <v>84</v>
      </c>
    </row>
    <row r="20" spans="1:36" ht="12.75">
      <c r="A20" s="57"/>
      <c r="B20" s="19"/>
      <c r="C20" s="19"/>
      <c r="D20" s="19"/>
      <c r="E20" s="20"/>
      <c r="F20" s="19"/>
      <c r="G20" s="19"/>
      <c r="H20" s="19"/>
      <c r="I20" s="21"/>
      <c r="J20" s="19"/>
      <c r="K20" s="19"/>
      <c r="L20" s="19"/>
      <c r="M20" s="19"/>
      <c r="N20" s="57"/>
      <c r="O20" s="19"/>
      <c r="P20" s="19"/>
      <c r="Q20" s="19"/>
      <c r="R20" s="20"/>
      <c r="S20" s="19"/>
      <c r="T20" s="19"/>
      <c r="U20" s="19"/>
      <c r="V20" s="21"/>
      <c r="W20" s="19"/>
      <c r="X20" s="19"/>
      <c r="Y20" s="19"/>
      <c r="Z20" s="57"/>
      <c r="AA20" s="19"/>
      <c r="AB20" s="19"/>
      <c r="AC20" s="19"/>
      <c r="AD20" s="20"/>
      <c r="AE20" s="19"/>
      <c r="AF20" s="19"/>
      <c r="AG20" s="19"/>
      <c r="AH20" s="21"/>
      <c r="AI20" s="19"/>
      <c r="AJ20" s="19"/>
    </row>
    <row r="21" spans="1:36" ht="12.75">
      <c r="A21" s="19" t="s">
        <v>35</v>
      </c>
      <c r="B21" s="19"/>
      <c r="C21" s="19"/>
      <c r="D21" s="19"/>
      <c r="E21" s="20">
        <v>52</v>
      </c>
      <c r="F21" s="19"/>
      <c r="G21" s="22">
        <v>0.026026026026026026</v>
      </c>
      <c r="H21" s="19"/>
      <c r="I21" s="21">
        <v>74186</v>
      </c>
      <c r="J21" s="19"/>
      <c r="K21" s="22">
        <v>0.005708615068561479</v>
      </c>
      <c r="L21" s="19"/>
      <c r="M21" s="19"/>
      <c r="N21" s="19" t="s">
        <v>35</v>
      </c>
      <c r="O21" s="19"/>
      <c r="P21" s="19"/>
      <c r="Q21" s="19"/>
      <c r="R21" s="20">
        <v>458</v>
      </c>
      <c r="S21" s="19"/>
      <c r="T21" s="22">
        <f>+R21/$R$31</f>
        <v>0.04548162859980139</v>
      </c>
      <c r="U21" s="19"/>
      <c r="V21" s="21">
        <v>285686.17</v>
      </c>
      <c r="W21" s="19"/>
      <c r="X21" s="22">
        <f>+V21/$V$31</f>
        <v>0.006271216323291101</v>
      </c>
      <c r="Y21" s="19"/>
      <c r="Z21" s="19" t="s">
        <v>35</v>
      </c>
      <c r="AA21" s="19"/>
      <c r="AB21" s="19"/>
      <c r="AC21" s="19"/>
      <c r="AD21" s="20">
        <v>272</v>
      </c>
      <c r="AE21" s="19"/>
      <c r="AF21" s="22">
        <v>0.03048302140535694</v>
      </c>
      <c r="AG21" s="19"/>
      <c r="AH21" s="21">
        <v>270155.3</v>
      </c>
      <c r="AI21" s="19"/>
      <c r="AJ21" s="22">
        <v>0.006972058175250248</v>
      </c>
    </row>
    <row r="22" spans="1:36" ht="12.75">
      <c r="A22" s="19" t="s">
        <v>36</v>
      </c>
      <c r="B22" s="19"/>
      <c r="C22" s="19"/>
      <c r="D22" s="19"/>
      <c r="E22" s="20">
        <v>391</v>
      </c>
      <c r="F22" s="19"/>
      <c r="G22" s="22">
        <v>0.1956956956956957</v>
      </c>
      <c r="H22" s="19"/>
      <c r="I22" s="21">
        <v>1125451.2</v>
      </c>
      <c r="J22" s="19"/>
      <c r="K22" s="22">
        <v>0.08660350577266059</v>
      </c>
      <c r="L22" s="19"/>
      <c r="M22" s="19"/>
      <c r="N22" s="19" t="s">
        <v>36</v>
      </c>
      <c r="O22" s="19"/>
      <c r="P22" s="19"/>
      <c r="Q22" s="19"/>
      <c r="R22" s="20">
        <v>1851</v>
      </c>
      <c r="S22" s="19"/>
      <c r="T22" s="22">
        <f aca="true" t="shared" si="0" ref="T22:T29">+R22/$R$31</f>
        <v>0.18381330685203576</v>
      </c>
      <c r="U22" s="19"/>
      <c r="V22" s="21">
        <v>3482479.66</v>
      </c>
      <c r="W22" s="19"/>
      <c r="X22" s="22">
        <f aca="true" t="shared" si="1" ref="X22:X29">+V22/$V$31</f>
        <v>0.07644536411868046</v>
      </c>
      <c r="Y22" s="19"/>
      <c r="Z22" s="19" t="s">
        <v>36</v>
      </c>
      <c r="AA22" s="19"/>
      <c r="AB22" s="19"/>
      <c r="AC22" s="19"/>
      <c r="AD22" s="20">
        <v>1569</v>
      </c>
      <c r="AE22" s="19"/>
      <c r="AF22" s="22">
        <v>0.17583772273898912</v>
      </c>
      <c r="AG22" s="19"/>
      <c r="AH22" s="21">
        <v>2769817.66</v>
      </c>
      <c r="AI22" s="19"/>
      <c r="AJ22" s="22">
        <v>0.07148232835097267</v>
      </c>
    </row>
    <row r="23" spans="1:36" ht="12.75">
      <c r="A23" s="19" t="s">
        <v>37</v>
      </c>
      <c r="B23" s="19"/>
      <c r="C23" s="19"/>
      <c r="D23" s="19"/>
      <c r="E23" s="20">
        <v>617</v>
      </c>
      <c r="F23" s="19"/>
      <c r="G23" s="22">
        <v>0.3088088088088088</v>
      </c>
      <c r="H23" s="19"/>
      <c r="I23" s="21">
        <v>2907733.1</v>
      </c>
      <c r="J23" s="19"/>
      <c r="K23" s="22">
        <v>0.22375015488117678</v>
      </c>
      <c r="L23" s="19"/>
      <c r="M23" s="19"/>
      <c r="N23" s="19" t="s">
        <v>37</v>
      </c>
      <c r="O23" s="19"/>
      <c r="P23" s="19"/>
      <c r="Q23" s="19"/>
      <c r="R23" s="20">
        <f>3064-93</f>
        <v>2971</v>
      </c>
      <c r="S23" s="19"/>
      <c r="T23" s="22">
        <f t="shared" si="0"/>
        <v>0.29503475670307844</v>
      </c>
      <c r="U23" s="19"/>
      <c r="V23" s="21">
        <v>9971669.970000034</v>
      </c>
      <c r="W23" s="19"/>
      <c r="X23" s="22">
        <f t="shared" si="1"/>
        <v>0.21889228829780558</v>
      </c>
      <c r="Y23" s="19"/>
      <c r="Z23" s="19" t="s">
        <v>37</v>
      </c>
      <c r="AA23" s="19"/>
      <c r="AB23" s="19"/>
      <c r="AC23" s="19"/>
      <c r="AD23" s="20">
        <v>2735</v>
      </c>
      <c r="AE23" s="19"/>
      <c r="AF23" s="22">
        <v>0.30651126302812953</v>
      </c>
      <c r="AG23" s="19"/>
      <c r="AH23" s="21">
        <v>8355362.47999998</v>
      </c>
      <c r="AI23" s="19"/>
      <c r="AJ23" s="22">
        <v>0.21563179876857147</v>
      </c>
    </row>
    <row r="24" spans="1:36" ht="12.75">
      <c r="A24" s="19" t="s">
        <v>38</v>
      </c>
      <c r="B24" s="19"/>
      <c r="C24" s="19"/>
      <c r="D24" s="19"/>
      <c r="E24" s="20">
        <v>380</v>
      </c>
      <c r="F24" s="19"/>
      <c r="G24" s="22">
        <v>0.19019019019019018</v>
      </c>
      <c r="H24" s="19"/>
      <c r="I24" s="21">
        <v>2493658.21</v>
      </c>
      <c r="J24" s="19"/>
      <c r="K24" s="22">
        <v>0.1918870788753679</v>
      </c>
      <c r="L24" s="19"/>
      <c r="M24" s="19"/>
      <c r="N24" s="19" t="s">
        <v>38</v>
      </c>
      <c r="O24" s="19"/>
      <c r="P24" s="19"/>
      <c r="Q24" s="19"/>
      <c r="R24" s="20">
        <v>2241</v>
      </c>
      <c r="S24" s="19"/>
      <c r="T24" s="22">
        <f t="shared" si="0"/>
        <v>0.22254220456802384</v>
      </c>
      <c r="U24" s="19"/>
      <c r="V24" s="21">
        <f>10879939.75-3000</f>
        <v>10876939.75</v>
      </c>
      <c r="W24" s="19"/>
      <c r="X24" s="22">
        <f t="shared" si="1"/>
        <v>0.23876424297211807</v>
      </c>
      <c r="Y24" s="19"/>
      <c r="Z24" s="19" t="s">
        <v>38</v>
      </c>
      <c r="AA24" s="19"/>
      <c r="AB24" s="19"/>
      <c r="AC24" s="19"/>
      <c r="AD24" s="20">
        <v>2018</v>
      </c>
      <c r="AE24" s="19"/>
      <c r="AF24" s="22">
        <v>0.22615712204415556</v>
      </c>
      <c r="AG24" s="19"/>
      <c r="AH24" s="21">
        <v>9242049.720000038</v>
      </c>
      <c r="AI24" s="19"/>
      <c r="AJ24" s="22">
        <v>0.2385150626561668</v>
      </c>
    </row>
    <row r="25" spans="1:36" ht="12.75">
      <c r="A25" s="19" t="s">
        <v>39</v>
      </c>
      <c r="B25" s="19"/>
      <c r="C25" s="19"/>
      <c r="D25" s="19"/>
      <c r="E25" s="20">
        <v>233</v>
      </c>
      <c r="F25" s="19"/>
      <c r="G25" s="22">
        <v>0.11661661661661661</v>
      </c>
      <c r="H25" s="19"/>
      <c r="I25" s="21">
        <v>1995884.52</v>
      </c>
      <c r="J25" s="19"/>
      <c r="K25" s="22">
        <v>0.1535833775372792</v>
      </c>
      <c r="L25" s="19"/>
      <c r="M25" s="19"/>
      <c r="N25" s="19" t="s">
        <v>39</v>
      </c>
      <c r="O25" s="19"/>
      <c r="P25" s="19"/>
      <c r="Q25" s="19"/>
      <c r="R25" s="20">
        <v>1204</v>
      </c>
      <c r="S25" s="19"/>
      <c r="T25" s="22">
        <f t="shared" si="0"/>
        <v>0.1195630585898709</v>
      </c>
      <c r="U25" s="19"/>
      <c r="V25" s="21">
        <v>7731225.250000008</v>
      </c>
      <c r="W25" s="19"/>
      <c r="X25" s="22">
        <f t="shared" si="1"/>
        <v>0.16971135139947577</v>
      </c>
      <c r="Y25" s="19"/>
      <c r="Z25" s="19" t="s">
        <v>39</v>
      </c>
      <c r="AA25" s="19"/>
      <c r="AB25" s="19"/>
      <c r="AC25" s="19"/>
      <c r="AD25" s="20">
        <v>1103</v>
      </c>
      <c r="AE25" s="19"/>
      <c r="AF25" s="22">
        <v>0.1236131345959879</v>
      </c>
      <c r="AG25" s="19"/>
      <c r="AH25" s="21">
        <v>6709425.320000002</v>
      </c>
      <c r="AI25" s="19"/>
      <c r="AJ25" s="22">
        <v>0.1731541215498531</v>
      </c>
    </row>
    <row r="26" spans="1:36" ht="12.75">
      <c r="A26" s="19" t="s">
        <v>40</v>
      </c>
      <c r="B26" s="19"/>
      <c r="C26" s="19"/>
      <c r="D26" s="19"/>
      <c r="E26" s="20">
        <v>131</v>
      </c>
      <c r="F26" s="19"/>
      <c r="G26" s="22">
        <v>0.06556556556556556</v>
      </c>
      <c r="H26" s="19"/>
      <c r="I26" s="21">
        <v>1356435.01</v>
      </c>
      <c r="J26" s="19"/>
      <c r="K26" s="22">
        <v>0.1043777173268587</v>
      </c>
      <c r="L26" s="19"/>
      <c r="M26" s="19"/>
      <c r="N26" s="19" t="s">
        <v>40</v>
      </c>
      <c r="O26" s="19"/>
      <c r="P26" s="19"/>
      <c r="Q26" s="19"/>
      <c r="R26" s="20">
        <v>599</v>
      </c>
      <c r="S26" s="19"/>
      <c r="T26" s="22">
        <f t="shared" si="0"/>
        <v>0.05948361469712016</v>
      </c>
      <c r="U26" s="19"/>
      <c r="V26" s="21">
        <v>4670500.4</v>
      </c>
      <c r="W26" s="19"/>
      <c r="X26" s="22">
        <f t="shared" si="1"/>
        <v>0.10252410309682691</v>
      </c>
      <c r="Y26" s="19"/>
      <c r="Z26" s="19" t="s">
        <v>40</v>
      </c>
      <c r="AA26" s="19"/>
      <c r="AB26" s="19"/>
      <c r="AC26" s="19"/>
      <c r="AD26" s="20">
        <v>543</v>
      </c>
      <c r="AE26" s="19"/>
      <c r="AF26" s="22">
        <v>0.06085397287907655</v>
      </c>
      <c r="AG26" s="19"/>
      <c r="AH26" s="21">
        <v>3993769.87</v>
      </c>
      <c r="AI26" s="19"/>
      <c r="AJ26" s="22">
        <v>0.10306958949982328</v>
      </c>
    </row>
    <row r="27" spans="1:36" ht="12.75">
      <c r="A27" s="19" t="s">
        <v>41</v>
      </c>
      <c r="B27" s="19"/>
      <c r="C27" s="19"/>
      <c r="D27" s="19"/>
      <c r="E27" s="20">
        <v>79</v>
      </c>
      <c r="F27" s="19"/>
      <c r="G27" s="22">
        <v>0.03953953953953954</v>
      </c>
      <c r="H27" s="19"/>
      <c r="I27" s="21">
        <v>967302.82</v>
      </c>
      <c r="J27" s="19"/>
      <c r="K27" s="22">
        <v>0.07443398288240384</v>
      </c>
      <c r="L27" s="19"/>
      <c r="M27" s="19"/>
      <c r="N27" s="19" t="s">
        <v>41</v>
      </c>
      <c r="O27" s="19"/>
      <c r="P27" s="19"/>
      <c r="Q27" s="19"/>
      <c r="R27" s="20">
        <v>340</v>
      </c>
      <c r="S27" s="19"/>
      <c r="T27" s="22">
        <f t="shared" si="0"/>
        <v>0.033763654419066536</v>
      </c>
      <c r="U27" s="19"/>
      <c r="V27" s="21">
        <v>3091857.98</v>
      </c>
      <c r="W27" s="19"/>
      <c r="X27" s="22">
        <f t="shared" si="1"/>
        <v>0.06787066462991138</v>
      </c>
      <c r="Y27" s="19"/>
      <c r="Z27" s="19" t="s">
        <v>41</v>
      </c>
      <c r="AA27" s="19"/>
      <c r="AB27" s="19"/>
      <c r="AC27" s="19"/>
      <c r="AD27" s="20">
        <v>318</v>
      </c>
      <c r="AE27" s="19"/>
      <c r="AF27" s="22">
        <v>0.03563823826067466</v>
      </c>
      <c r="AG27" s="19"/>
      <c r="AH27" s="21">
        <v>2724760.3</v>
      </c>
      <c r="AI27" s="19"/>
      <c r="AJ27" s="22">
        <v>0.07031950631807823</v>
      </c>
    </row>
    <row r="28" spans="1:36" ht="12.75">
      <c r="A28" s="19" t="s">
        <v>42</v>
      </c>
      <c r="B28" s="19"/>
      <c r="C28" s="19"/>
      <c r="D28" s="19"/>
      <c r="E28" s="20">
        <v>40</v>
      </c>
      <c r="F28" s="19"/>
      <c r="G28" s="22">
        <v>0.02002002002002002</v>
      </c>
      <c r="H28" s="19"/>
      <c r="I28" s="21">
        <v>575442.76</v>
      </c>
      <c r="J28" s="19"/>
      <c r="K28" s="22">
        <v>0.04428033875435536</v>
      </c>
      <c r="L28" s="19"/>
      <c r="M28" s="19"/>
      <c r="N28" s="19" t="s">
        <v>42</v>
      </c>
      <c r="O28" s="19"/>
      <c r="P28" s="19"/>
      <c r="Q28" s="19"/>
      <c r="R28" s="20">
        <v>138</v>
      </c>
      <c r="S28" s="19"/>
      <c r="T28" s="22">
        <f t="shared" si="0"/>
        <v>0.013704071499503475</v>
      </c>
      <c r="U28" s="19"/>
      <c r="V28" s="21">
        <v>1422341.85</v>
      </c>
      <c r="W28" s="19"/>
      <c r="X28" s="22">
        <f t="shared" si="1"/>
        <v>0.031222419436754894</v>
      </c>
      <c r="Y28" s="19"/>
      <c r="Z28" s="19" t="s">
        <v>42</v>
      </c>
      <c r="AA28" s="19"/>
      <c r="AB28" s="19"/>
      <c r="AC28" s="19"/>
      <c r="AD28" s="20">
        <v>122</v>
      </c>
      <c r="AE28" s="19"/>
      <c r="AF28" s="22">
        <v>0.013672531659755688</v>
      </c>
      <c r="AG28" s="19"/>
      <c r="AH28" s="21">
        <v>1209542.53</v>
      </c>
      <c r="AI28" s="19"/>
      <c r="AJ28" s="22">
        <v>0.031215381984359993</v>
      </c>
    </row>
    <row r="29" spans="1:36" ht="12.75">
      <c r="A29" s="19" t="s">
        <v>43</v>
      </c>
      <c r="B29" s="19"/>
      <c r="C29" s="19"/>
      <c r="D29" s="19"/>
      <c r="E29" s="20">
        <v>75</v>
      </c>
      <c r="F29" s="19"/>
      <c r="G29" s="22">
        <v>0.03753753753753754</v>
      </c>
      <c r="H29" s="19"/>
      <c r="I29" s="21">
        <v>1499352.58</v>
      </c>
      <c r="J29" s="19"/>
      <c r="K29" s="22">
        <v>0.11537522890133624</v>
      </c>
      <c r="L29" s="19"/>
      <c r="M29" s="19"/>
      <c r="N29" s="19" t="s">
        <v>43</v>
      </c>
      <c r="O29" s="19"/>
      <c r="P29" s="19"/>
      <c r="Q29" s="19"/>
      <c r="R29" s="20">
        <v>268</v>
      </c>
      <c r="S29" s="19"/>
      <c r="T29" s="22">
        <f t="shared" si="0"/>
        <v>0.026613704071499503</v>
      </c>
      <c r="U29" s="19"/>
      <c r="V29" s="21">
        <v>4022444.14</v>
      </c>
      <c r="W29" s="19"/>
      <c r="X29" s="22">
        <f t="shared" si="1"/>
        <v>0.08829834972513592</v>
      </c>
      <c r="Y29" s="19"/>
      <c r="Z29" s="19" t="s">
        <v>43</v>
      </c>
      <c r="AA29" s="19"/>
      <c r="AB29" s="19"/>
      <c r="AC29" s="19"/>
      <c r="AD29" s="20">
        <v>243</v>
      </c>
      <c r="AE29" s="19"/>
      <c r="AF29" s="22">
        <v>0.027232993387874032</v>
      </c>
      <c r="AG29" s="19"/>
      <c r="AH29" s="21">
        <v>3473402.22</v>
      </c>
      <c r="AI29" s="19"/>
      <c r="AJ29" s="22">
        <v>0.08964015269692426</v>
      </c>
    </row>
    <row r="30" spans="1:36" ht="12.75">
      <c r="A30" s="19"/>
      <c r="B30" s="19"/>
      <c r="C30" s="19"/>
      <c r="D30" s="19"/>
      <c r="E30" s="20"/>
      <c r="F30" s="19"/>
      <c r="G30" s="19"/>
      <c r="H30" s="19"/>
      <c r="I30" s="21"/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21"/>
      <c r="W30" s="19"/>
      <c r="X30" s="19"/>
      <c r="Y30" s="19"/>
      <c r="Z30" s="19"/>
      <c r="AA30" s="19"/>
      <c r="AB30" s="19"/>
      <c r="AC30" s="19"/>
      <c r="AD30" s="20"/>
      <c r="AE30" s="19"/>
      <c r="AF30" s="19"/>
      <c r="AG30" s="19"/>
      <c r="AH30" s="21"/>
      <c r="AI30" s="19"/>
      <c r="AJ30" s="19"/>
    </row>
    <row r="31" spans="1:36" s="16" customFormat="1" ht="13.5" thickBot="1">
      <c r="A31" s="46"/>
      <c r="B31" s="47"/>
      <c r="C31" s="47"/>
      <c r="D31" s="47"/>
      <c r="E31" s="77">
        <v>1998</v>
      </c>
      <c r="F31" s="47"/>
      <c r="G31" s="47"/>
      <c r="H31" s="47"/>
      <c r="I31" s="78">
        <v>12995446.2</v>
      </c>
      <c r="J31" s="47"/>
      <c r="K31" s="47"/>
      <c r="L31" s="47"/>
      <c r="M31" s="47"/>
      <c r="N31" s="19"/>
      <c r="O31" s="57"/>
      <c r="P31" s="57"/>
      <c r="Q31" s="57"/>
      <c r="R31" s="88">
        <f>SUM(R21:R30)</f>
        <v>10070</v>
      </c>
      <c r="S31" s="57"/>
      <c r="T31" s="82"/>
      <c r="U31" s="57"/>
      <c r="V31" s="90">
        <f>SUM(V21:V30)</f>
        <v>45555145.17000004</v>
      </c>
      <c r="W31" s="57"/>
      <c r="X31" s="57"/>
      <c r="Y31" s="47"/>
      <c r="Z31" s="19"/>
      <c r="AA31" s="57"/>
      <c r="AB31" s="57"/>
      <c r="AC31" s="57"/>
      <c r="AD31" s="88">
        <v>8923</v>
      </c>
      <c r="AE31" s="57"/>
      <c r="AF31" s="82"/>
      <c r="AG31" s="57"/>
      <c r="AH31" s="90">
        <v>38748285.40000002</v>
      </c>
      <c r="AI31" s="57"/>
      <c r="AJ31" s="57"/>
    </row>
    <row r="32" spans="1:36" ht="13.5" thickTop="1">
      <c r="A32" s="57"/>
      <c r="B32" s="19"/>
      <c r="C32" s="19"/>
      <c r="D32" s="19"/>
      <c r="E32" s="20"/>
      <c r="F32" s="19"/>
      <c r="G32" s="19"/>
      <c r="H32" s="19"/>
      <c r="I32" s="21"/>
      <c r="J32" s="19"/>
      <c r="K32" s="19"/>
      <c r="L32" s="19"/>
      <c r="M32" s="19"/>
      <c r="N32" s="57"/>
      <c r="O32" s="19"/>
      <c r="P32" s="19"/>
      <c r="Q32" s="19"/>
      <c r="R32" s="20"/>
      <c r="S32" s="19"/>
      <c r="T32" s="19"/>
      <c r="U32" s="19"/>
      <c r="V32" s="21"/>
      <c r="W32" s="19"/>
      <c r="X32" s="19"/>
      <c r="Y32" s="19"/>
      <c r="Z32" s="57"/>
      <c r="AA32" s="19"/>
      <c r="AB32" s="19"/>
      <c r="AC32" s="19"/>
      <c r="AD32" s="20"/>
      <c r="AE32" s="19"/>
      <c r="AF32" s="19"/>
      <c r="AG32" s="19"/>
      <c r="AH32" s="21"/>
      <c r="AI32" s="19"/>
      <c r="AJ32" s="19"/>
    </row>
    <row r="33" spans="1:36" ht="12.75">
      <c r="A33" s="19"/>
      <c r="B33" s="19"/>
      <c r="C33" s="19"/>
      <c r="D33" s="19"/>
      <c r="E33" s="20"/>
      <c r="F33" s="19"/>
      <c r="G33" s="19"/>
      <c r="H33" s="19"/>
      <c r="I33" s="21"/>
      <c r="J33" s="19"/>
      <c r="K33" s="19"/>
      <c r="L33" s="19"/>
      <c r="M33" s="19"/>
      <c r="N33" s="19"/>
      <c r="O33" s="19"/>
      <c r="P33" s="19"/>
      <c r="Q33" s="19"/>
      <c r="R33" s="20"/>
      <c r="S33" s="19"/>
      <c r="T33" s="19"/>
      <c r="U33" s="19"/>
      <c r="V33" s="21"/>
      <c r="W33" s="19"/>
      <c r="X33" s="19"/>
      <c r="Y33" s="19"/>
      <c r="Z33" s="19"/>
      <c r="AA33" s="19"/>
      <c r="AB33" s="19"/>
      <c r="AC33" s="19"/>
      <c r="AD33" s="20"/>
      <c r="AE33" s="19"/>
      <c r="AF33" s="19"/>
      <c r="AG33" s="19"/>
      <c r="AH33" s="21"/>
      <c r="AI33" s="19"/>
      <c r="AJ33" s="19"/>
    </row>
    <row r="34" spans="1:36" ht="12.75">
      <c r="A34" s="19"/>
      <c r="B34" s="19"/>
      <c r="C34" s="19"/>
      <c r="D34" s="19"/>
      <c r="E34" s="20"/>
      <c r="F34" s="19"/>
      <c r="G34" s="19"/>
      <c r="H34" s="19"/>
      <c r="I34" s="21"/>
      <c r="J34" s="19"/>
      <c r="K34" s="19"/>
      <c r="L34" s="19"/>
      <c r="M34" s="19"/>
      <c r="N34" s="19"/>
      <c r="O34" s="19"/>
      <c r="P34" s="19"/>
      <c r="Q34" s="19"/>
      <c r="R34" s="20"/>
      <c r="S34" s="19"/>
      <c r="T34" s="19"/>
      <c r="U34" s="19"/>
      <c r="V34" s="21"/>
      <c r="W34" s="19"/>
      <c r="X34" s="19"/>
      <c r="Y34" s="19"/>
      <c r="Z34" s="19"/>
      <c r="AA34" s="19"/>
      <c r="AB34" s="19"/>
      <c r="AC34" s="19"/>
      <c r="AD34" s="20"/>
      <c r="AE34" s="19"/>
      <c r="AF34" s="19"/>
      <c r="AG34" s="19"/>
      <c r="AH34" s="21"/>
      <c r="AI34" s="19"/>
      <c r="AJ34" s="19"/>
    </row>
    <row r="35" spans="1:36" s="15" customFormat="1" ht="12.75">
      <c r="A35" s="55" t="s">
        <v>94</v>
      </c>
      <c r="B35" s="46"/>
      <c r="C35" s="46"/>
      <c r="D35" s="46"/>
      <c r="E35" s="48"/>
      <c r="F35" s="46"/>
      <c r="G35" s="46"/>
      <c r="H35" s="46"/>
      <c r="I35" s="49"/>
      <c r="J35" s="46"/>
      <c r="K35" s="46"/>
      <c r="L35" s="46"/>
      <c r="M35" s="46"/>
      <c r="N35" s="55" t="s">
        <v>94</v>
      </c>
      <c r="O35" s="19"/>
      <c r="P35" s="19"/>
      <c r="Q35" s="19"/>
      <c r="R35" s="20"/>
      <c r="S35" s="19"/>
      <c r="T35" s="19"/>
      <c r="U35" s="19"/>
      <c r="V35" s="21"/>
      <c r="W35" s="19"/>
      <c r="X35" s="19"/>
      <c r="Y35" s="46"/>
      <c r="Z35" s="55" t="s">
        <v>94</v>
      </c>
      <c r="AA35" s="19"/>
      <c r="AB35" s="19"/>
      <c r="AC35" s="19"/>
      <c r="AD35" s="20"/>
      <c r="AE35" s="19"/>
      <c r="AF35" s="19"/>
      <c r="AG35" s="19"/>
      <c r="AH35" s="21"/>
      <c r="AI35" s="19"/>
      <c r="AJ35" s="19"/>
    </row>
    <row r="36" spans="1:36" ht="12.75">
      <c r="A36" s="58"/>
      <c r="B36" s="19"/>
      <c r="C36" s="19"/>
      <c r="D36" s="19"/>
      <c r="E36" s="20"/>
      <c r="F36" s="19"/>
      <c r="G36" s="19"/>
      <c r="H36" s="19"/>
      <c r="I36" s="21"/>
      <c r="J36" s="19"/>
      <c r="K36" s="19"/>
      <c r="L36" s="19"/>
      <c r="M36" s="19"/>
      <c r="N36" s="58"/>
      <c r="O36" s="19"/>
      <c r="P36" s="19"/>
      <c r="Q36" s="19"/>
      <c r="R36" s="20"/>
      <c r="S36" s="19"/>
      <c r="T36" s="19"/>
      <c r="U36" s="19"/>
      <c r="V36" s="21"/>
      <c r="W36" s="19"/>
      <c r="X36" s="19"/>
      <c r="Y36" s="19"/>
      <c r="Z36" s="58"/>
      <c r="AA36" s="19"/>
      <c r="AB36" s="19"/>
      <c r="AC36" s="19"/>
      <c r="AD36" s="20"/>
      <c r="AE36" s="19"/>
      <c r="AF36" s="19"/>
      <c r="AG36" s="19"/>
      <c r="AH36" s="21"/>
      <c r="AI36" s="19"/>
      <c r="AJ36" s="19"/>
    </row>
    <row r="37" spans="1:36" s="17" customFormat="1" ht="12.75">
      <c r="A37" s="69"/>
      <c r="B37" s="66"/>
      <c r="C37" s="66"/>
      <c r="D37" s="66"/>
      <c r="E37" s="67" t="s">
        <v>83</v>
      </c>
      <c r="F37" s="66"/>
      <c r="G37" s="66" t="s">
        <v>84</v>
      </c>
      <c r="H37" s="66"/>
      <c r="I37" s="68" t="s">
        <v>85</v>
      </c>
      <c r="J37" s="66"/>
      <c r="K37" s="66" t="s">
        <v>84</v>
      </c>
      <c r="L37" s="69"/>
      <c r="M37" s="69"/>
      <c r="N37" s="19"/>
      <c r="O37" s="57"/>
      <c r="P37" s="57"/>
      <c r="Q37" s="57"/>
      <c r="R37" s="67" t="s">
        <v>83</v>
      </c>
      <c r="S37" s="66"/>
      <c r="T37" s="66" t="s">
        <v>84</v>
      </c>
      <c r="U37" s="66"/>
      <c r="V37" s="68" t="s">
        <v>85</v>
      </c>
      <c r="W37" s="66"/>
      <c r="X37" s="66" t="s">
        <v>84</v>
      </c>
      <c r="Y37" s="69"/>
      <c r="Z37" s="19"/>
      <c r="AA37" s="57"/>
      <c r="AB37" s="57"/>
      <c r="AC37" s="57"/>
      <c r="AD37" s="67" t="s">
        <v>83</v>
      </c>
      <c r="AE37" s="66"/>
      <c r="AF37" s="66" t="s">
        <v>84</v>
      </c>
      <c r="AG37" s="66"/>
      <c r="AH37" s="68" t="s">
        <v>85</v>
      </c>
      <c r="AI37" s="66"/>
      <c r="AJ37" s="66" t="s">
        <v>84</v>
      </c>
    </row>
    <row r="38" spans="1:36" ht="12.75">
      <c r="A38" s="57"/>
      <c r="B38" s="19"/>
      <c r="C38" s="19"/>
      <c r="D38" s="19"/>
      <c r="E38" s="20"/>
      <c r="F38" s="19"/>
      <c r="G38" s="19"/>
      <c r="H38" s="19"/>
      <c r="I38" s="21"/>
      <c r="J38" s="19"/>
      <c r="K38" s="19"/>
      <c r="L38" s="19"/>
      <c r="M38" s="19"/>
      <c r="N38" s="57"/>
      <c r="O38" s="19"/>
      <c r="P38" s="19"/>
      <c r="Q38" s="19"/>
      <c r="R38" s="20"/>
      <c r="S38" s="19"/>
      <c r="T38" s="19"/>
      <c r="U38" s="19"/>
      <c r="V38" s="21"/>
      <c r="W38" s="19"/>
      <c r="X38" s="19"/>
      <c r="Y38" s="19"/>
      <c r="Z38" s="57"/>
      <c r="AA38" s="19"/>
      <c r="AB38" s="19"/>
      <c r="AC38" s="19"/>
      <c r="AD38" s="20"/>
      <c r="AE38" s="19"/>
      <c r="AF38" s="19"/>
      <c r="AG38" s="19"/>
      <c r="AH38" s="21"/>
      <c r="AI38" s="19"/>
      <c r="AJ38" s="19"/>
    </row>
    <row r="39" spans="1:36" ht="12.75">
      <c r="A39" s="19" t="s">
        <v>35</v>
      </c>
      <c r="B39" s="19"/>
      <c r="C39" s="19"/>
      <c r="D39" s="19"/>
      <c r="E39" s="20">
        <v>86</v>
      </c>
      <c r="F39" s="19"/>
      <c r="G39" s="22">
        <v>0.043043043043043044</v>
      </c>
      <c r="H39" s="19"/>
      <c r="I39" s="21">
        <v>136096.4</v>
      </c>
      <c r="J39" s="19"/>
      <c r="K39" s="22">
        <v>0.010472622325195729</v>
      </c>
      <c r="L39" s="19"/>
      <c r="M39" s="19"/>
      <c r="N39" s="19" t="s">
        <v>35</v>
      </c>
      <c r="O39" s="19"/>
      <c r="P39" s="19"/>
      <c r="Q39" s="19"/>
      <c r="R39" s="20">
        <v>2292</v>
      </c>
      <c r="S39" s="19"/>
      <c r="T39" s="22">
        <f>+R39/$R$49</f>
        <v>0.22760675273088382</v>
      </c>
      <c r="U39" s="19"/>
      <c r="V39" s="21">
        <v>2500625.7</v>
      </c>
      <c r="W39" s="19"/>
      <c r="X39" s="22">
        <f>+V39/$V$49</f>
        <v>0.05489227815361608</v>
      </c>
      <c r="Y39" s="19"/>
      <c r="Z39" s="19" t="s">
        <v>35</v>
      </c>
      <c r="AA39" s="19"/>
      <c r="AB39" s="19"/>
      <c r="AC39" s="19"/>
      <c r="AD39" s="20">
        <v>2093</v>
      </c>
      <c r="AE39" s="19"/>
      <c r="AF39" s="22">
        <v>0.23456236691695617</v>
      </c>
      <c r="AG39" s="19"/>
      <c r="AH39" s="21">
        <v>2410782.4099999936</v>
      </c>
      <c r="AI39" s="19"/>
      <c r="AJ39" s="22">
        <v>0.062216492552209644</v>
      </c>
    </row>
    <row r="40" spans="1:36" ht="12.75">
      <c r="A40" s="19" t="s">
        <v>36</v>
      </c>
      <c r="B40" s="19"/>
      <c r="C40" s="19"/>
      <c r="D40" s="19"/>
      <c r="E40" s="20">
        <v>449</v>
      </c>
      <c r="F40" s="19"/>
      <c r="G40" s="22">
        <v>0.2247247247247247</v>
      </c>
      <c r="H40" s="19"/>
      <c r="I40" s="21">
        <v>1406922.87</v>
      </c>
      <c r="J40" s="19"/>
      <c r="K40" s="22">
        <v>0.10826275976580167</v>
      </c>
      <c r="L40" s="19"/>
      <c r="M40" s="19"/>
      <c r="N40" s="19" t="s">
        <v>36</v>
      </c>
      <c r="O40" s="19"/>
      <c r="P40" s="19"/>
      <c r="Q40" s="19"/>
      <c r="R40" s="20">
        <f>3077-93</f>
        <v>2984</v>
      </c>
      <c r="S40" s="19"/>
      <c r="T40" s="22">
        <f aca="true" t="shared" si="2" ref="T40:T47">+R40/$R$49</f>
        <v>0.29632571996027807</v>
      </c>
      <c r="U40" s="19"/>
      <c r="V40" s="21">
        <v>9251355.680000015</v>
      </c>
      <c r="W40" s="19"/>
      <c r="X40" s="22">
        <f aca="true" t="shared" si="3" ref="X40:X47">+V40/$V$49</f>
        <v>0.20308036875914567</v>
      </c>
      <c r="Y40" s="19"/>
      <c r="Z40" s="19" t="s">
        <v>36</v>
      </c>
      <c r="AA40" s="19"/>
      <c r="AB40" s="19"/>
      <c r="AC40" s="19"/>
      <c r="AD40" s="20">
        <v>2790</v>
      </c>
      <c r="AE40" s="19"/>
      <c r="AF40" s="22">
        <v>0.31267510926818337</v>
      </c>
      <c r="AG40" s="19"/>
      <c r="AH40" s="21">
        <v>8281656.039999991</v>
      </c>
      <c r="AI40" s="19"/>
      <c r="AJ40" s="22">
        <v>0.21372961292372414</v>
      </c>
    </row>
    <row r="41" spans="1:36" ht="12.75">
      <c r="A41" s="19" t="s">
        <v>37</v>
      </c>
      <c r="B41" s="19"/>
      <c r="C41" s="19"/>
      <c r="D41" s="19"/>
      <c r="E41" s="20">
        <v>593</v>
      </c>
      <c r="F41" s="19"/>
      <c r="G41" s="22">
        <v>0.29679679679679677</v>
      </c>
      <c r="H41" s="19"/>
      <c r="I41" s="21">
        <v>2949314.05</v>
      </c>
      <c r="J41" s="19"/>
      <c r="K41" s="22">
        <v>0.2269498103112458</v>
      </c>
      <c r="L41" s="19"/>
      <c r="M41" s="19"/>
      <c r="N41" s="19" t="s">
        <v>37</v>
      </c>
      <c r="O41" s="19"/>
      <c r="P41" s="19"/>
      <c r="Q41" s="19"/>
      <c r="R41" s="20">
        <v>2284</v>
      </c>
      <c r="S41" s="19"/>
      <c r="T41" s="22">
        <f t="shared" si="2"/>
        <v>0.22681231380337635</v>
      </c>
      <c r="U41" s="19"/>
      <c r="V41" s="21">
        <f>11302461.19-3000</f>
        <v>11299461.19</v>
      </c>
      <c r="W41" s="19"/>
      <c r="X41" s="22">
        <f t="shared" si="3"/>
        <v>0.2480391874031646</v>
      </c>
      <c r="Y41" s="19"/>
      <c r="Z41" s="19" t="s">
        <v>37</v>
      </c>
      <c r="AA41" s="19"/>
      <c r="AB41" s="19"/>
      <c r="AC41" s="19"/>
      <c r="AD41" s="20">
        <v>2007</v>
      </c>
      <c r="AE41" s="19"/>
      <c r="AF41" s="22">
        <v>0.22492435279614478</v>
      </c>
      <c r="AG41" s="19"/>
      <c r="AH41" s="21">
        <v>9905851.330000019</v>
      </c>
      <c r="AI41" s="19"/>
      <c r="AJ41" s="22">
        <v>0.2556461847986703</v>
      </c>
    </row>
    <row r="42" spans="1:36" ht="12.75">
      <c r="A42" s="19" t="s">
        <v>38</v>
      </c>
      <c r="B42" s="19"/>
      <c r="C42" s="19"/>
      <c r="D42" s="19"/>
      <c r="E42" s="20">
        <v>362</v>
      </c>
      <c r="F42" s="19"/>
      <c r="G42" s="22">
        <v>0.18118118118118118</v>
      </c>
      <c r="H42" s="19"/>
      <c r="I42" s="21">
        <v>2488398.33</v>
      </c>
      <c r="J42" s="19"/>
      <c r="K42" s="22">
        <v>0.19148233094143394</v>
      </c>
      <c r="L42" s="19"/>
      <c r="M42" s="19"/>
      <c r="N42" s="19" t="s">
        <v>38</v>
      </c>
      <c r="O42" s="19"/>
      <c r="P42" s="19"/>
      <c r="Q42" s="19"/>
      <c r="R42" s="20">
        <v>1278</v>
      </c>
      <c r="S42" s="19"/>
      <c r="T42" s="22">
        <f t="shared" si="2"/>
        <v>0.1269116186693148</v>
      </c>
      <c r="U42" s="19"/>
      <c r="V42" s="21">
        <v>8784487.859999992</v>
      </c>
      <c r="W42" s="19"/>
      <c r="X42" s="22">
        <f t="shared" si="3"/>
        <v>0.19283195843671574</v>
      </c>
      <c r="Y42" s="19"/>
      <c r="Z42" s="19" t="s">
        <v>38</v>
      </c>
      <c r="AA42" s="19"/>
      <c r="AB42" s="19"/>
      <c r="AC42" s="19"/>
      <c r="AD42" s="20">
        <v>1042</v>
      </c>
      <c r="AE42" s="19"/>
      <c r="AF42" s="22">
        <v>0.11677686876611006</v>
      </c>
      <c r="AG42" s="19"/>
      <c r="AH42" s="21">
        <v>7180914.9700000025</v>
      </c>
      <c r="AI42" s="19"/>
      <c r="AJ42" s="22">
        <v>0.18532213479567286</v>
      </c>
    </row>
    <row r="43" spans="1:36" ht="12.75">
      <c r="A43" s="19" t="s">
        <v>39</v>
      </c>
      <c r="B43" s="19"/>
      <c r="C43" s="19"/>
      <c r="D43" s="19"/>
      <c r="E43" s="20">
        <v>223</v>
      </c>
      <c r="F43" s="19"/>
      <c r="G43" s="22">
        <v>0.11161161161161161</v>
      </c>
      <c r="H43" s="19"/>
      <c r="I43" s="21">
        <v>1988982.99</v>
      </c>
      <c r="J43" s="19"/>
      <c r="K43" s="22">
        <v>0.1530523045834317</v>
      </c>
      <c r="L43" s="19"/>
      <c r="M43" s="19"/>
      <c r="N43" s="19" t="s">
        <v>39</v>
      </c>
      <c r="O43" s="19"/>
      <c r="P43" s="19"/>
      <c r="Q43" s="19"/>
      <c r="R43" s="20">
        <v>639</v>
      </c>
      <c r="S43" s="19"/>
      <c r="T43" s="22">
        <f t="shared" si="2"/>
        <v>0.0634558093346574</v>
      </c>
      <c r="U43" s="19"/>
      <c r="V43" s="21">
        <v>5685717.760000001</v>
      </c>
      <c r="W43" s="19"/>
      <c r="X43" s="22">
        <f t="shared" si="3"/>
        <v>0.12480956297652822</v>
      </c>
      <c r="Y43" s="19"/>
      <c r="Z43" s="19" t="s">
        <v>39</v>
      </c>
      <c r="AA43" s="19"/>
      <c r="AB43" s="19"/>
      <c r="AC43" s="19"/>
      <c r="AD43" s="20">
        <v>529</v>
      </c>
      <c r="AE43" s="19"/>
      <c r="AF43" s="22">
        <v>0.05928499383615376</v>
      </c>
      <c r="AG43" s="19"/>
      <c r="AH43" s="21">
        <v>4688534.14</v>
      </c>
      <c r="AI43" s="19"/>
      <c r="AJ43" s="22">
        <v>0.12099978338654428</v>
      </c>
    </row>
    <row r="44" spans="1:36" ht="12.75">
      <c r="A44" s="19" t="s">
        <v>40</v>
      </c>
      <c r="B44" s="19"/>
      <c r="C44" s="19"/>
      <c r="D44" s="19"/>
      <c r="E44" s="20">
        <v>118</v>
      </c>
      <c r="F44" s="19"/>
      <c r="G44" s="22">
        <v>0.05905905905905906</v>
      </c>
      <c r="H44" s="19"/>
      <c r="I44" s="21">
        <v>1285490.04</v>
      </c>
      <c r="J44" s="19"/>
      <c r="K44" s="22">
        <v>0.09891849962027469</v>
      </c>
      <c r="L44" s="19"/>
      <c r="M44" s="19"/>
      <c r="N44" s="19" t="s">
        <v>40</v>
      </c>
      <c r="O44" s="19"/>
      <c r="P44" s="19"/>
      <c r="Q44" s="19"/>
      <c r="R44" s="20">
        <v>276</v>
      </c>
      <c r="S44" s="19"/>
      <c r="T44" s="22">
        <f t="shared" si="2"/>
        <v>0.02740814299900695</v>
      </c>
      <c r="U44" s="19"/>
      <c r="V44" s="21">
        <v>2996218.59</v>
      </c>
      <c r="W44" s="19"/>
      <c r="X44" s="22">
        <f t="shared" si="3"/>
        <v>0.06577124447345932</v>
      </c>
      <c r="Y44" s="19"/>
      <c r="Z44" s="19" t="s">
        <v>40</v>
      </c>
      <c r="AA44" s="19"/>
      <c r="AB44" s="19"/>
      <c r="AC44" s="19"/>
      <c r="AD44" s="20">
        <v>207</v>
      </c>
      <c r="AE44" s="19"/>
      <c r="AF44" s="22">
        <v>0.02319847584892973</v>
      </c>
      <c r="AG44" s="19"/>
      <c r="AH44" s="21">
        <v>2248406.25</v>
      </c>
      <c r="AI44" s="19"/>
      <c r="AJ44" s="22">
        <v>0.05802595461423955</v>
      </c>
    </row>
    <row r="45" spans="1:36" ht="12.75">
      <c r="A45" s="19" t="s">
        <v>41</v>
      </c>
      <c r="B45" s="19"/>
      <c r="C45" s="19"/>
      <c r="D45" s="19"/>
      <c r="E45" s="20">
        <v>66</v>
      </c>
      <c r="F45" s="19"/>
      <c r="G45" s="22">
        <v>0.03303303303303303</v>
      </c>
      <c r="H45" s="19"/>
      <c r="I45" s="21">
        <v>854821.36</v>
      </c>
      <c r="J45" s="19"/>
      <c r="K45" s="22">
        <v>0.06577853094417027</v>
      </c>
      <c r="L45" s="19"/>
      <c r="M45" s="19"/>
      <c r="N45" s="19" t="s">
        <v>41</v>
      </c>
      <c r="O45" s="19"/>
      <c r="P45" s="19"/>
      <c r="Q45" s="19"/>
      <c r="R45" s="20">
        <v>135</v>
      </c>
      <c r="S45" s="19"/>
      <c r="T45" s="22">
        <f t="shared" si="2"/>
        <v>0.013406156901688183</v>
      </c>
      <c r="U45" s="19"/>
      <c r="V45" s="21">
        <v>1743493.55</v>
      </c>
      <c r="W45" s="19"/>
      <c r="X45" s="22">
        <f t="shared" si="3"/>
        <v>0.03827215440744912</v>
      </c>
      <c r="Y45" s="19"/>
      <c r="Z45" s="19" t="s">
        <v>41</v>
      </c>
      <c r="AA45" s="19"/>
      <c r="AB45" s="19"/>
      <c r="AC45" s="19"/>
      <c r="AD45" s="20">
        <v>109</v>
      </c>
      <c r="AE45" s="19"/>
      <c r="AF45" s="22">
        <v>0.012215622548470246</v>
      </c>
      <c r="AG45" s="19"/>
      <c r="AH45" s="21">
        <v>1405165.79</v>
      </c>
      <c r="AI45" s="19"/>
      <c r="AJ45" s="22">
        <v>0.03626394756553536</v>
      </c>
    </row>
    <row r="46" spans="1:36" ht="12.75">
      <c r="A46" s="19" t="s">
        <v>42</v>
      </c>
      <c r="B46" s="19"/>
      <c r="C46" s="19"/>
      <c r="D46" s="19"/>
      <c r="E46" s="20">
        <v>38</v>
      </c>
      <c r="F46" s="19"/>
      <c r="G46" s="22">
        <v>0.01901901901901902</v>
      </c>
      <c r="H46" s="19"/>
      <c r="I46" s="21">
        <v>567564.98</v>
      </c>
      <c r="J46" s="19"/>
      <c r="K46" s="22">
        <v>0.04367414333183881</v>
      </c>
      <c r="L46" s="19"/>
      <c r="M46" s="19"/>
      <c r="N46" s="19" t="s">
        <v>42</v>
      </c>
      <c r="O46" s="19"/>
      <c r="P46" s="19"/>
      <c r="Q46" s="19"/>
      <c r="R46" s="20">
        <v>68</v>
      </c>
      <c r="S46" s="19"/>
      <c r="T46" s="22">
        <f t="shared" si="2"/>
        <v>0.006752730883813307</v>
      </c>
      <c r="U46" s="19"/>
      <c r="V46" s="21">
        <v>1015616.35</v>
      </c>
      <c r="W46" s="19"/>
      <c r="X46" s="22">
        <f t="shared" si="3"/>
        <v>0.022294218275674082</v>
      </c>
      <c r="Y46" s="19"/>
      <c r="Z46" s="19" t="s">
        <v>42</v>
      </c>
      <c r="AA46" s="19"/>
      <c r="AB46" s="19"/>
      <c r="AC46" s="19"/>
      <c r="AD46" s="20">
        <v>57</v>
      </c>
      <c r="AE46" s="19"/>
      <c r="AF46" s="22">
        <v>0.006387986103328477</v>
      </c>
      <c r="AG46" s="19"/>
      <c r="AH46" s="21">
        <v>849003.72</v>
      </c>
      <c r="AI46" s="19"/>
      <c r="AJ46" s="22">
        <v>0.021910742920253183</v>
      </c>
    </row>
    <row r="47" spans="1:36" ht="12.75">
      <c r="A47" s="19" t="s">
        <v>43</v>
      </c>
      <c r="B47" s="19"/>
      <c r="C47" s="19"/>
      <c r="D47" s="19"/>
      <c r="E47" s="20">
        <v>63</v>
      </c>
      <c r="F47" s="19"/>
      <c r="G47" s="22">
        <v>0.03153153153153153</v>
      </c>
      <c r="H47" s="19"/>
      <c r="I47" s="21">
        <v>1317855.18</v>
      </c>
      <c r="J47" s="19"/>
      <c r="K47" s="22">
        <v>0.10140899817660744</v>
      </c>
      <c r="L47" s="19"/>
      <c r="M47" s="19"/>
      <c r="N47" s="19" t="s">
        <v>43</v>
      </c>
      <c r="O47" s="19"/>
      <c r="P47" s="19"/>
      <c r="Q47" s="19"/>
      <c r="R47" s="20">
        <v>114</v>
      </c>
      <c r="S47" s="19"/>
      <c r="T47" s="22">
        <f t="shared" si="2"/>
        <v>0.011320754716981131</v>
      </c>
      <c r="U47" s="19"/>
      <c r="V47" s="21">
        <v>2278168.49</v>
      </c>
      <c r="W47" s="19"/>
      <c r="X47" s="22">
        <f t="shared" si="3"/>
        <v>0.05000902711424726</v>
      </c>
      <c r="Y47" s="19"/>
      <c r="Z47" s="19" t="s">
        <v>43</v>
      </c>
      <c r="AA47" s="19"/>
      <c r="AB47" s="19"/>
      <c r="AC47" s="19"/>
      <c r="AD47" s="20">
        <v>89</v>
      </c>
      <c r="AE47" s="19"/>
      <c r="AF47" s="22">
        <v>0.009974223915723411</v>
      </c>
      <c r="AG47" s="19"/>
      <c r="AH47" s="21">
        <v>1777970.75</v>
      </c>
      <c r="AI47" s="19"/>
      <c r="AJ47" s="22">
        <v>0.04588514644315076</v>
      </c>
    </row>
    <row r="48" spans="1:36" ht="12.75">
      <c r="A48" s="19"/>
      <c r="B48" s="19"/>
      <c r="C48" s="19"/>
      <c r="D48" s="19"/>
      <c r="E48" s="20"/>
      <c r="F48" s="19"/>
      <c r="G48" s="19"/>
      <c r="H48" s="19"/>
      <c r="I48" s="21"/>
      <c r="J48" s="19"/>
      <c r="K48" s="19"/>
      <c r="L48" s="19"/>
      <c r="M48" s="19"/>
      <c r="N48" s="19"/>
      <c r="O48" s="19"/>
      <c r="P48" s="19"/>
      <c r="Q48" s="19"/>
      <c r="R48" s="20"/>
      <c r="S48" s="19"/>
      <c r="T48" s="19"/>
      <c r="U48" s="19"/>
      <c r="V48" s="21"/>
      <c r="W48" s="19"/>
      <c r="X48" s="19"/>
      <c r="Y48" s="19"/>
      <c r="Z48" s="19"/>
      <c r="AA48" s="19"/>
      <c r="AB48" s="19"/>
      <c r="AC48" s="19"/>
      <c r="AD48" s="20"/>
      <c r="AE48" s="19"/>
      <c r="AF48" s="19"/>
      <c r="AG48" s="19"/>
      <c r="AH48" s="21"/>
      <c r="AI48" s="19"/>
      <c r="AJ48" s="19"/>
    </row>
    <row r="49" spans="1:36" s="15" customFormat="1" ht="13.5" thickBot="1">
      <c r="A49" s="46"/>
      <c r="B49" s="47"/>
      <c r="C49" s="47"/>
      <c r="D49" s="47"/>
      <c r="E49" s="77">
        <v>1998</v>
      </c>
      <c r="F49" s="47"/>
      <c r="G49" s="47"/>
      <c r="H49" s="47"/>
      <c r="I49" s="78">
        <v>12995446.2</v>
      </c>
      <c r="J49" s="47"/>
      <c r="K49" s="47"/>
      <c r="L49" s="46"/>
      <c r="M49" s="46"/>
      <c r="N49" s="19"/>
      <c r="O49" s="57"/>
      <c r="P49" s="57"/>
      <c r="Q49" s="57"/>
      <c r="R49" s="88">
        <f>SUM(R39:R48)</f>
        <v>10070</v>
      </c>
      <c r="S49" s="57"/>
      <c r="T49" s="82"/>
      <c r="U49" s="57"/>
      <c r="V49" s="90">
        <f>SUM(V39:V48)</f>
        <v>45555145.17</v>
      </c>
      <c r="W49" s="57"/>
      <c r="X49" s="57"/>
      <c r="Y49" s="46"/>
      <c r="Z49" s="19"/>
      <c r="AA49" s="57"/>
      <c r="AB49" s="57"/>
      <c r="AC49" s="57"/>
      <c r="AD49" s="88">
        <v>8923</v>
      </c>
      <c r="AE49" s="57"/>
      <c r="AF49" s="82"/>
      <c r="AG49" s="57"/>
      <c r="AH49" s="90">
        <v>38748285.4</v>
      </c>
      <c r="AI49" s="57"/>
      <c r="AJ49" s="57"/>
    </row>
    <row r="50" spans="1:36" ht="13.5" thickTop="1">
      <c r="A50" s="57"/>
      <c r="B50" s="19"/>
      <c r="C50" s="19"/>
      <c r="D50" s="19"/>
      <c r="E50" s="20"/>
      <c r="F50" s="19"/>
      <c r="G50" s="19"/>
      <c r="H50" s="19"/>
      <c r="I50" s="21"/>
      <c r="J50" s="19"/>
      <c r="K50" s="19"/>
      <c r="L50" s="19"/>
      <c r="M50" s="19"/>
      <c r="N50" s="57"/>
      <c r="O50" s="19"/>
      <c r="P50" s="19"/>
      <c r="Q50" s="19"/>
      <c r="R50" s="20"/>
      <c r="S50" s="19"/>
      <c r="T50" s="19"/>
      <c r="U50" s="19"/>
      <c r="V50" s="21"/>
      <c r="W50" s="19"/>
      <c r="X50" s="19"/>
      <c r="Y50" s="19"/>
      <c r="Z50" s="57"/>
      <c r="AA50" s="19"/>
      <c r="AB50" s="19"/>
      <c r="AC50" s="19"/>
      <c r="AD50" s="20"/>
      <c r="AE50" s="19"/>
      <c r="AF50" s="19"/>
      <c r="AG50" s="19"/>
      <c r="AH50" s="21"/>
      <c r="AI50" s="19"/>
      <c r="AJ50" s="19"/>
    </row>
    <row r="51" spans="1:36" ht="12.75">
      <c r="A51" s="19"/>
      <c r="B51" s="19"/>
      <c r="C51" s="19"/>
      <c r="D51" s="19"/>
      <c r="E51" s="20"/>
      <c r="F51" s="19"/>
      <c r="G51" s="19"/>
      <c r="H51" s="19"/>
      <c r="I51" s="21"/>
      <c r="J51" s="19"/>
      <c r="K51" s="19"/>
      <c r="L51" s="19"/>
      <c r="M51" s="19"/>
      <c r="N51" s="19"/>
      <c r="O51" s="19"/>
      <c r="P51" s="19"/>
      <c r="Q51" s="19"/>
      <c r="R51" s="20"/>
      <c r="S51" s="19"/>
      <c r="T51" s="19"/>
      <c r="U51" s="19"/>
      <c r="V51" s="21"/>
      <c r="W51" s="19"/>
      <c r="X51" s="19"/>
      <c r="Y51" s="19"/>
      <c r="Z51" s="19"/>
      <c r="AA51" s="19"/>
      <c r="AB51" s="19"/>
      <c r="AC51" s="19"/>
      <c r="AD51" s="20"/>
      <c r="AE51" s="19"/>
      <c r="AF51" s="19"/>
      <c r="AG51" s="19"/>
      <c r="AH51" s="21"/>
      <c r="AI51" s="19"/>
      <c r="AJ51" s="19"/>
    </row>
    <row r="52" spans="1:36" ht="12.75">
      <c r="A52" s="19"/>
      <c r="B52" s="19"/>
      <c r="C52" s="19"/>
      <c r="D52" s="19"/>
      <c r="E52" s="20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20"/>
      <c r="S52" s="19"/>
      <c r="T52" s="19"/>
      <c r="U52" s="19"/>
      <c r="V52" s="21"/>
      <c r="W52" s="19"/>
      <c r="X52" s="19"/>
      <c r="Y52" s="19"/>
      <c r="Z52" s="19"/>
      <c r="AA52" s="19"/>
      <c r="AB52" s="19"/>
      <c r="AC52" s="19"/>
      <c r="AD52" s="20"/>
      <c r="AE52" s="19"/>
      <c r="AF52" s="19"/>
      <c r="AG52" s="19"/>
      <c r="AH52" s="21"/>
      <c r="AI52" s="19"/>
      <c r="AJ52" s="19"/>
    </row>
    <row r="53" spans="1:36" s="15" customFormat="1" ht="12.75">
      <c r="A53" s="55" t="s">
        <v>87</v>
      </c>
      <c r="B53" s="46"/>
      <c r="C53" s="46"/>
      <c r="D53" s="46"/>
      <c r="E53" s="48"/>
      <c r="F53" s="46"/>
      <c r="G53" s="46"/>
      <c r="H53" s="46"/>
      <c r="I53" s="49"/>
      <c r="J53" s="46"/>
      <c r="K53" s="46"/>
      <c r="L53" s="46"/>
      <c r="M53" s="46"/>
      <c r="N53" s="55" t="s">
        <v>87</v>
      </c>
      <c r="O53" s="19"/>
      <c r="P53" s="19"/>
      <c r="Q53" s="19"/>
      <c r="R53" s="20"/>
      <c r="S53" s="19"/>
      <c r="T53" s="19"/>
      <c r="U53" s="19"/>
      <c r="V53" s="21"/>
      <c r="W53" s="19"/>
      <c r="X53" s="19"/>
      <c r="Y53" s="46"/>
      <c r="Z53" s="55" t="s">
        <v>87</v>
      </c>
      <c r="AA53" s="19"/>
      <c r="AB53" s="19"/>
      <c r="AC53" s="19"/>
      <c r="AD53" s="20"/>
      <c r="AE53" s="19"/>
      <c r="AF53" s="19"/>
      <c r="AG53" s="19"/>
      <c r="AH53" s="21"/>
      <c r="AI53" s="19"/>
      <c r="AJ53" s="19"/>
    </row>
    <row r="54" spans="1:36" ht="12.75">
      <c r="A54" s="58"/>
      <c r="B54" s="19"/>
      <c r="C54" s="19"/>
      <c r="D54" s="19"/>
      <c r="E54" s="20"/>
      <c r="F54" s="19"/>
      <c r="G54" s="19"/>
      <c r="H54" s="19"/>
      <c r="I54" s="21"/>
      <c r="J54" s="19"/>
      <c r="K54" s="19"/>
      <c r="L54" s="19"/>
      <c r="M54" s="19"/>
      <c r="N54" s="58"/>
      <c r="O54" s="19"/>
      <c r="P54" s="19"/>
      <c r="Q54" s="19"/>
      <c r="R54" s="20"/>
      <c r="S54" s="19"/>
      <c r="T54" s="19"/>
      <c r="U54" s="19"/>
      <c r="V54" s="21"/>
      <c r="W54" s="19"/>
      <c r="X54" s="19"/>
      <c r="Y54" s="19"/>
      <c r="Z54" s="58"/>
      <c r="AA54" s="19"/>
      <c r="AB54" s="19"/>
      <c r="AC54" s="19"/>
      <c r="AD54" s="20"/>
      <c r="AE54" s="19"/>
      <c r="AF54" s="19"/>
      <c r="AG54" s="19"/>
      <c r="AH54" s="21"/>
      <c r="AI54" s="19"/>
      <c r="AJ54" s="19"/>
    </row>
    <row r="55" spans="1:36" s="17" customFormat="1" ht="12.75">
      <c r="A55" s="69"/>
      <c r="B55" s="66"/>
      <c r="C55" s="66"/>
      <c r="D55" s="66"/>
      <c r="E55" s="67" t="s">
        <v>83</v>
      </c>
      <c r="F55" s="66"/>
      <c r="G55" s="66" t="s">
        <v>84</v>
      </c>
      <c r="H55" s="66"/>
      <c r="I55" s="68" t="s">
        <v>85</v>
      </c>
      <c r="J55" s="66"/>
      <c r="K55" s="66" t="s">
        <v>84</v>
      </c>
      <c r="L55" s="69"/>
      <c r="M55" s="69"/>
      <c r="N55" s="19"/>
      <c r="O55" s="57"/>
      <c r="P55" s="57"/>
      <c r="Q55" s="57"/>
      <c r="R55" s="67" t="s">
        <v>83</v>
      </c>
      <c r="S55" s="66"/>
      <c r="T55" s="66" t="s">
        <v>84</v>
      </c>
      <c r="U55" s="66"/>
      <c r="V55" s="68" t="s">
        <v>85</v>
      </c>
      <c r="W55" s="66"/>
      <c r="X55" s="66" t="s">
        <v>84</v>
      </c>
      <c r="Y55" s="69"/>
      <c r="Z55" s="19"/>
      <c r="AA55" s="57"/>
      <c r="AB55" s="57"/>
      <c r="AC55" s="57"/>
      <c r="AD55" s="67" t="s">
        <v>83</v>
      </c>
      <c r="AE55" s="66"/>
      <c r="AF55" s="66" t="s">
        <v>84</v>
      </c>
      <c r="AG55" s="66"/>
      <c r="AH55" s="68" t="s">
        <v>85</v>
      </c>
      <c r="AI55" s="66"/>
      <c r="AJ55" s="66" t="s">
        <v>84</v>
      </c>
    </row>
    <row r="56" spans="1:36" ht="12.75">
      <c r="A56" s="57"/>
      <c r="B56" s="19"/>
      <c r="C56" s="19"/>
      <c r="D56" s="19"/>
      <c r="E56" s="20"/>
      <c r="F56" s="19"/>
      <c r="G56" s="19"/>
      <c r="H56" s="19"/>
      <c r="I56" s="21"/>
      <c r="J56" s="19"/>
      <c r="K56" s="19"/>
      <c r="L56" s="19"/>
      <c r="M56" s="19"/>
      <c r="N56" s="57"/>
      <c r="O56" s="19"/>
      <c r="P56" s="19"/>
      <c r="Q56" s="19"/>
      <c r="R56" s="20"/>
      <c r="S56" s="19"/>
      <c r="T56" s="19"/>
      <c r="U56" s="19"/>
      <c r="V56" s="21"/>
      <c r="W56" s="19"/>
      <c r="X56" s="19"/>
      <c r="Y56" s="19"/>
      <c r="Z56" s="57"/>
      <c r="AA56" s="19"/>
      <c r="AB56" s="19"/>
      <c r="AC56" s="19"/>
      <c r="AD56" s="20"/>
      <c r="AE56" s="19"/>
      <c r="AF56" s="19"/>
      <c r="AG56" s="19"/>
      <c r="AH56" s="21"/>
      <c r="AI56" s="19"/>
      <c r="AJ56" s="19"/>
    </row>
    <row r="57" spans="1:36" ht="12.75">
      <c r="A57" s="19" t="s">
        <v>44</v>
      </c>
      <c r="B57" s="19"/>
      <c r="C57" s="19"/>
      <c r="D57" s="19"/>
      <c r="E57" s="20">
        <v>36</v>
      </c>
      <c r="F57" s="19"/>
      <c r="G57" s="22">
        <v>0.018018018018018018</v>
      </c>
      <c r="H57" s="19"/>
      <c r="I57" s="21">
        <v>459607.63</v>
      </c>
      <c r="J57" s="19"/>
      <c r="K57" s="22">
        <v>0.035366821802548035</v>
      </c>
      <c r="L57" s="19"/>
      <c r="M57" s="19"/>
      <c r="N57" s="19" t="s">
        <v>44</v>
      </c>
      <c r="O57" s="19"/>
      <c r="P57" s="19"/>
      <c r="Q57" s="19"/>
      <c r="R57" s="20">
        <v>976</v>
      </c>
      <c r="S57" s="19"/>
      <c r="T57" s="22">
        <f>+R57/$R$69</f>
        <v>0.09692154915590864</v>
      </c>
      <c r="U57" s="19"/>
      <c r="V57" s="21">
        <v>4944384.82</v>
      </c>
      <c r="W57" s="19"/>
      <c r="X57" s="22">
        <f>+V57/$V$69</f>
        <v>0.10853625428146116</v>
      </c>
      <c r="Y57" s="19"/>
      <c r="Z57" s="19" t="s">
        <v>44</v>
      </c>
      <c r="AA57" s="19"/>
      <c r="AB57" s="19"/>
      <c r="AC57" s="19"/>
      <c r="AD57" s="20">
        <v>803</v>
      </c>
      <c r="AE57" s="19"/>
      <c r="AF57" s="22">
        <v>0.08999215510478539</v>
      </c>
      <c r="AG57" s="19"/>
      <c r="AH57" s="21">
        <v>4268647.85</v>
      </c>
      <c r="AI57" s="19"/>
      <c r="AJ57" s="22">
        <v>0.11016352868093611</v>
      </c>
    </row>
    <row r="58" spans="1:36" ht="12.75">
      <c r="A58" s="19" t="s">
        <v>45</v>
      </c>
      <c r="B58" s="19"/>
      <c r="C58" s="19"/>
      <c r="D58" s="19"/>
      <c r="E58" s="20">
        <v>441</v>
      </c>
      <c r="F58" s="19"/>
      <c r="G58" s="22">
        <v>0.22072072072072071</v>
      </c>
      <c r="H58" s="19"/>
      <c r="I58" s="21">
        <v>3814933.14</v>
      </c>
      <c r="J58" s="19"/>
      <c r="K58" s="22">
        <v>0.2935592269236589</v>
      </c>
      <c r="L58" s="19"/>
      <c r="M58" s="19"/>
      <c r="N58" s="19" t="s">
        <v>45</v>
      </c>
      <c r="O58" s="19"/>
      <c r="P58" s="19"/>
      <c r="Q58" s="19"/>
      <c r="R58" s="20">
        <f>3104-93</f>
        <v>3011</v>
      </c>
      <c r="S58" s="19"/>
      <c r="T58" s="22">
        <f aca="true" t="shared" si="4" ref="T58:T67">+R58/$R$69</f>
        <v>0.29900695134061567</v>
      </c>
      <c r="U58" s="19"/>
      <c r="V58" s="21">
        <f>16665253.67-3000</f>
        <v>16662253.67</v>
      </c>
      <c r="W58" s="19"/>
      <c r="X58" s="22">
        <f aca="true" t="shared" si="5" ref="X58:X67">+V58/$V$69</f>
        <v>0.3657600828143731</v>
      </c>
      <c r="Y58" s="19"/>
      <c r="Z58" s="19" t="s">
        <v>45</v>
      </c>
      <c r="AA58" s="19"/>
      <c r="AB58" s="19"/>
      <c r="AC58" s="19"/>
      <c r="AD58" s="20">
        <v>2785</v>
      </c>
      <c r="AE58" s="19"/>
      <c r="AF58" s="22">
        <v>0.31211475960999663</v>
      </c>
      <c r="AG58" s="19"/>
      <c r="AH58" s="21">
        <v>14250285.820000038</v>
      </c>
      <c r="AI58" s="19"/>
      <c r="AJ58" s="22">
        <v>0.3677655842805379</v>
      </c>
    </row>
    <row r="59" spans="1:36" ht="12.75">
      <c r="A59" s="19" t="s">
        <v>46</v>
      </c>
      <c r="B59" s="19"/>
      <c r="C59" s="19"/>
      <c r="D59" s="19"/>
      <c r="E59" s="20">
        <v>449</v>
      </c>
      <c r="F59" s="19"/>
      <c r="G59" s="22">
        <v>0.2247247247247247</v>
      </c>
      <c r="H59" s="19"/>
      <c r="I59" s="21">
        <v>3019490.4</v>
      </c>
      <c r="J59" s="19"/>
      <c r="K59" s="22">
        <v>0.23234988268428983</v>
      </c>
      <c r="L59" s="19"/>
      <c r="M59" s="19"/>
      <c r="N59" s="19" t="s">
        <v>46</v>
      </c>
      <c r="O59" s="19"/>
      <c r="P59" s="19"/>
      <c r="Q59" s="19"/>
      <c r="R59" s="20">
        <v>2202</v>
      </c>
      <c r="S59" s="19"/>
      <c r="T59" s="22">
        <f t="shared" si="4"/>
        <v>0.218669314796425</v>
      </c>
      <c r="U59" s="19"/>
      <c r="V59" s="21">
        <v>9943629.870000022</v>
      </c>
      <c r="W59" s="19"/>
      <c r="X59" s="22">
        <f t="shared" si="5"/>
        <v>0.21827676836267262</v>
      </c>
      <c r="Y59" s="19"/>
      <c r="Z59" s="19" t="s">
        <v>46</v>
      </c>
      <c r="AA59" s="19"/>
      <c r="AB59" s="19"/>
      <c r="AC59" s="19"/>
      <c r="AD59" s="20">
        <v>1954</v>
      </c>
      <c r="AE59" s="19"/>
      <c r="AF59" s="22">
        <v>0.21898464641936569</v>
      </c>
      <c r="AG59" s="19"/>
      <c r="AH59" s="21">
        <v>8397328.089999996</v>
      </c>
      <c r="AI59" s="19"/>
      <c r="AJ59" s="22">
        <v>0.21671483017413706</v>
      </c>
    </row>
    <row r="60" spans="1:36" ht="12.75">
      <c r="A60" s="19" t="s">
        <v>47</v>
      </c>
      <c r="B60" s="19"/>
      <c r="C60" s="19"/>
      <c r="D60" s="19"/>
      <c r="E60" s="20">
        <v>337</v>
      </c>
      <c r="F60" s="19"/>
      <c r="G60" s="22">
        <v>0.16866866866866867</v>
      </c>
      <c r="H60" s="19"/>
      <c r="I60" s="21">
        <v>2070820.74</v>
      </c>
      <c r="J60" s="19"/>
      <c r="K60" s="22">
        <v>0.1593497220587932</v>
      </c>
      <c r="L60" s="19"/>
      <c r="M60" s="19"/>
      <c r="N60" s="19" t="s">
        <v>47</v>
      </c>
      <c r="O60" s="19"/>
      <c r="P60" s="19"/>
      <c r="Q60" s="19"/>
      <c r="R60" s="20">
        <v>1386</v>
      </c>
      <c r="S60" s="19"/>
      <c r="T60" s="22">
        <f t="shared" si="4"/>
        <v>0.13763654419066534</v>
      </c>
      <c r="U60" s="19"/>
      <c r="V60" s="21">
        <v>5529053.759999991</v>
      </c>
      <c r="W60" s="19"/>
      <c r="X60" s="22">
        <f t="shared" si="5"/>
        <v>0.12137056614279225</v>
      </c>
      <c r="Y60" s="19"/>
      <c r="Z60" s="19" t="s">
        <v>47</v>
      </c>
      <c r="AA60" s="19"/>
      <c r="AB60" s="19"/>
      <c r="AC60" s="19"/>
      <c r="AD60" s="20">
        <v>1226</v>
      </c>
      <c r="AE60" s="19"/>
      <c r="AF60" s="22">
        <v>0.13739773618738094</v>
      </c>
      <c r="AG60" s="19"/>
      <c r="AH60" s="21">
        <v>4731898.989999994</v>
      </c>
      <c r="AI60" s="19"/>
      <c r="AJ60" s="22">
        <v>0.1221189258092951</v>
      </c>
    </row>
    <row r="61" spans="1:36" ht="12.75">
      <c r="A61" s="19" t="s">
        <v>48</v>
      </c>
      <c r="B61" s="19"/>
      <c r="C61" s="19"/>
      <c r="D61" s="19"/>
      <c r="E61" s="20">
        <v>458</v>
      </c>
      <c r="F61" s="19"/>
      <c r="G61" s="22">
        <v>0.22922922922922923</v>
      </c>
      <c r="H61" s="19"/>
      <c r="I61" s="21">
        <v>2358276.03</v>
      </c>
      <c r="J61" s="19"/>
      <c r="K61" s="22">
        <v>0.18146941580197531</v>
      </c>
      <c r="L61" s="19"/>
      <c r="M61" s="19"/>
      <c r="N61" s="19" t="s">
        <v>48</v>
      </c>
      <c r="O61" s="19"/>
      <c r="P61" s="19"/>
      <c r="Q61" s="19"/>
      <c r="R61" s="20">
        <v>1723</v>
      </c>
      <c r="S61" s="19"/>
      <c r="T61" s="22">
        <f t="shared" si="4"/>
        <v>0.17110228401191657</v>
      </c>
      <c r="U61" s="19"/>
      <c r="V61" s="21">
        <v>6083038.140000004</v>
      </c>
      <c r="W61" s="19"/>
      <c r="X61" s="22">
        <f t="shared" si="5"/>
        <v>0.13353130842410177</v>
      </c>
      <c r="Y61" s="19"/>
      <c r="Z61" s="19" t="s">
        <v>48</v>
      </c>
      <c r="AA61" s="19"/>
      <c r="AB61" s="19"/>
      <c r="AC61" s="19"/>
      <c r="AD61" s="20">
        <v>1493</v>
      </c>
      <c r="AE61" s="19"/>
      <c r="AF61" s="22">
        <v>0.16732040793455116</v>
      </c>
      <c r="AG61" s="19"/>
      <c r="AH61" s="21">
        <v>5070120.699999985</v>
      </c>
      <c r="AI61" s="19"/>
      <c r="AJ61" s="22">
        <v>0.13084761422759586</v>
      </c>
    </row>
    <row r="62" spans="1:36" ht="12.75">
      <c r="A62" s="19" t="s">
        <v>49</v>
      </c>
      <c r="B62" s="19"/>
      <c r="C62" s="19"/>
      <c r="D62" s="19"/>
      <c r="E62" s="20">
        <v>190</v>
      </c>
      <c r="F62" s="19"/>
      <c r="G62" s="22">
        <v>0.09509509509509509</v>
      </c>
      <c r="H62" s="19"/>
      <c r="I62" s="21">
        <v>932455.52</v>
      </c>
      <c r="J62" s="19"/>
      <c r="K62" s="22">
        <v>0.07175248203482233</v>
      </c>
      <c r="L62" s="19"/>
      <c r="M62" s="19"/>
      <c r="N62" s="19" t="s">
        <v>49</v>
      </c>
      <c r="O62" s="19"/>
      <c r="P62" s="19"/>
      <c r="Q62" s="19"/>
      <c r="R62" s="20">
        <v>552</v>
      </c>
      <c r="S62" s="19"/>
      <c r="T62" s="22">
        <f t="shared" si="4"/>
        <v>0.0548162859980139</v>
      </c>
      <c r="U62" s="19"/>
      <c r="V62" s="21">
        <v>1693590.49</v>
      </c>
      <c r="W62" s="19"/>
      <c r="X62" s="22">
        <f t="shared" si="5"/>
        <v>0.037176711514801626</v>
      </c>
      <c r="Y62" s="19"/>
      <c r="Z62" s="19" t="s">
        <v>49</v>
      </c>
      <c r="AA62" s="19"/>
      <c r="AB62" s="19"/>
      <c r="AC62" s="19"/>
      <c r="AD62" s="20">
        <v>472</v>
      </c>
      <c r="AE62" s="19"/>
      <c r="AF62" s="22">
        <v>0.05289700773282528</v>
      </c>
      <c r="AG62" s="19"/>
      <c r="AH62" s="21">
        <v>1450682.1</v>
      </c>
      <c r="AI62" s="19"/>
      <c r="AJ62" s="22">
        <v>0.037438613993485234</v>
      </c>
    </row>
    <row r="63" spans="1:36" ht="12.75">
      <c r="A63" s="19" t="s">
        <v>50</v>
      </c>
      <c r="B63" s="19"/>
      <c r="C63" s="19"/>
      <c r="D63" s="19"/>
      <c r="E63" s="20">
        <v>60</v>
      </c>
      <c r="F63" s="19"/>
      <c r="G63" s="22">
        <v>0.03003003003003003</v>
      </c>
      <c r="H63" s="19"/>
      <c r="I63" s="21">
        <v>258704.04</v>
      </c>
      <c r="J63" s="19"/>
      <c r="K63" s="22">
        <v>0.019907284137731265</v>
      </c>
      <c r="L63" s="19"/>
      <c r="M63" s="19"/>
      <c r="N63" s="19" t="s">
        <v>50</v>
      </c>
      <c r="O63" s="19"/>
      <c r="P63" s="19"/>
      <c r="Q63" s="19"/>
      <c r="R63" s="20">
        <v>173</v>
      </c>
      <c r="S63" s="19"/>
      <c r="T63" s="22">
        <f t="shared" si="4"/>
        <v>0.01717974180734856</v>
      </c>
      <c r="U63" s="19"/>
      <c r="V63" s="21">
        <v>567256.49</v>
      </c>
      <c r="W63" s="19"/>
      <c r="X63" s="22">
        <f t="shared" si="5"/>
        <v>0.01245208390584961</v>
      </c>
      <c r="Y63" s="19"/>
      <c r="Z63" s="19" t="s">
        <v>50</v>
      </c>
      <c r="AA63" s="19"/>
      <c r="AB63" s="19"/>
      <c r="AC63" s="19"/>
      <c r="AD63" s="20">
        <v>152</v>
      </c>
      <c r="AE63" s="19"/>
      <c r="AF63" s="22">
        <v>0.01703462960887594</v>
      </c>
      <c r="AG63" s="19"/>
      <c r="AH63" s="21">
        <v>473799.3</v>
      </c>
      <c r="AI63" s="19"/>
      <c r="AJ63" s="22">
        <v>0.012227619754240792</v>
      </c>
    </row>
    <row r="64" spans="1:36" ht="12.75">
      <c r="A64" s="19" t="s">
        <v>51</v>
      </c>
      <c r="B64" s="19"/>
      <c r="C64" s="19"/>
      <c r="D64" s="19"/>
      <c r="E64" s="20">
        <v>18</v>
      </c>
      <c r="F64" s="19"/>
      <c r="G64" s="22">
        <v>0.009009009009009009</v>
      </c>
      <c r="H64" s="19"/>
      <c r="I64" s="21">
        <v>60303.68</v>
      </c>
      <c r="J64" s="19"/>
      <c r="K64" s="22">
        <v>0.004640370101335959</v>
      </c>
      <c r="L64" s="19"/>
      <c r="M64" s="19"/>
      <c r="N64" s="19" t="s">
        <v>51</v>
      </c>
      <c r="O64" s="19"/>
      <c r="P64" s="19"/>
      <c r="Q64" s="19"/>
      <c r="R64" s="20">
        <v>30</v>
      </c>
      <c r="S64" s="19"/>
      <c r="T64" s="22">
        <f t="shared" si="4"/>
        <v>0.0029791459781529296</v>
      </c>
      <c r="U64" s="19"/>
      <c r="V64" s="21">
        <v>67611.06</v>
      </c>
      <c r="W64" s="19"/>
      <c r="X64" s="22">
        <f t="shared" si="5"/>
        <v>0.001484158589500549</v>
      </c>
      <c r="Y64" s="19"/>
      <c r="Z64" s="19" t="s">
        <v>51</v>
      </c>
      <c r="AA64" s="19"/>
      <c r="AB64" s="19"/>
      <c r="AC64" s="19"/>
      <c r="AD64" s="20">
        <v>26</v>
      </c>
      <c r="AE64" s="19"/>
      <c r="AF64" s="22">
        <v>0.0029138182225708843</v>
      </c>
      <c r="AG64" s="19"/>
      <c r="AH64" s="21">
        <v>52349.91</v>
      </c>
      <c r="AI64" s="19"/>
      <c r="AJ64" s="22">
        <v>0.0013510251991691999</v>
      </c>
    </row>
    <row r="65" spans="1:36" ht="12.75">
      <c r="A65" s="19" t="s">
        <v>52</v>
      </c>
      <c r="B65" s="19"/>
      <c r="C65" s="19"/>
      <c r="D65" s="19"/>
      <c r="E65" s="20">
        <v>8</v>
      </c>
      <c r="F65" s="19"/>
      <c r="G65" s="22">
        <v>0.004004004004004004</v>
      </c>
      <c r="H65" s="19"/>
      <c r="I65" s="21">
        <v>18567.38</v>
      </c>
      <c r="J65" s="19"/>
      <c r="K65" s="22">
        <v>0.0014287604838070125</v>
      </c>
      <c r="L65" s="19"/>
      <c r="M65" s="19"/>
      <c r="N65" s="19" t="s">
        <v>52</v>
      </c>
      <c r="O65" s="19"/>
      <c r="P65" s="19"/>
      <c r="Q65" s="19"/>
      <c r="R65" s="20">
        <v>13</v>
      </c>
      <c r="S65" s="19"/>
      <c r="T65" s="22">
        <f t="shared" si="4"/>
        <v>0.0012909632571996028</v>
      </c>
      <c r="U65" s="19"/>
      <c r="V65" s="21">
        <v>37833.01</v>
      </c>
      <c r="W65" s="19"/>
      <c r="X65" s="22">
        <f t="shared" si="5"/>
        <v>0.0008304881887395372</v>
      </c>
      <c r="Y65" s="19"/>
      <c r="Z65" s="19" t="s">
        <v>52</v>
      </c>
      <c r="AA65" s="19"/>
      <c r="AB65" s="19"/>
      <c r="AC65" s="19"/>
      <c r="AD65" s="20">
        <v>9</v>
      </c>
      <c r="AE65" s="19"/>
      <c r="AF65" s="22">
        <v>0.0010086293847360753</v>
      </c>
      <c r="AG65" s="19"/>
      <c r="AH65" s="21">
        <v>29770.35</v>
      </c>
      <c r="AI65" s="19"/>
      <c r="AJ65" s="22">
        <v>0.000768301092362657</v>
      </c>
    </row>
    <row r="66" spans="1:36" ht="12.75">
      <c r="A66" s="19" t="s">
        <v>53</v>
      </c>
      <c r="B66" s="19"/>
      <c r="C66" s="19"/>
      <c r="D66" s="19"/>
      <c r="E66" s="20">
        <v>1</v>
      </c>
      <c r="F66" s="19"/>
      <c r="G66" s="22">
        <v>0.0005005005005005005</v>
      </c>
      <c r="H66" s="19"/>
      <c r="I66" s="21">
        <v>2287.64</v>
      </c>
      <c r="J66" s="19"/>
      <c r="K66" s="22">
        <v>0.00017603397103825493</v>
      </c>
      <c r="L66" s="19"/>
      <c r="M66" s="19"/>
      <c r="N66" s="19" t="s">
        <v>53</v>
      </c>
      <c r="O66" s="19"/>
      <c r="P66" s="19"/>
      <c r="Q66" s="19"/>
      <c r="R66" s="20">
        <v>1</v>
      </c>
      <c r="S66" s="19"/>
      <c r="T66" s="22">
        <f t="shared" si="4"/>
        <v>9.930486593843098E-05</v>
      </c>
      <c r="U66" s="19"/>
      <c r="V66" s="21">
        <v>2725.52</v>
      </c>
      <c r="W66" s="19"/>
      <c r="X66" s="22">
        <f t="shared" si="5"/>
        <v>5.982902677247682E-05</v>
      </c>
      <c r="Y66" s="19"/>
      <c r="Z66" s="19" t="s">
        <v>53</v>
      </c>
      <c r="AA66" s="19"/>
      <c r="AB66" s="19"/>
      <c r="AC66" s="19"/>
      <c r="AD66" s="20">
        <v>0</v>
      </c>
      <c r="AE66" s="19"/>
      <c r="AF66" s="22">
        <v>0</v>
      </c>
      <c r="AG66" s="19"/>
      <c r="AH66" s="21">
        <v>0</v>
      </c>
      <c r="AI66" s="19"/>
      <c r="AJ66" s="22">
        <v>0</v>
      </c>
    </row>
    <row r="67" spans="1:36" ht="12.75">
      <c r="A67" s="19" t="s">
        <v>54</v>
      </c>
      <c r="B67" s="19"/>
      <c r="C67" s="19"/>
      <c r="D67" s="19"/>
      <c r="E67" s="20">
        <v>0</v>
      </c>
      <c r="F67" s="19"/>
      <c r="G67" s="22">
        <v>0</v>
      </c>
      <c r="H67" s="19"/>
      <c r="I67" s="21">
        <v>0</v>
      </c>
      <c r="J67" s="19"/>
      <c r="K67" s="22">
        <v>0</v>
      </c>
      <c r="L67" s="19"/>
      <c r="M67" s="19"/>
      <c r="N67" s="19" t="s">
        <v>54</v>
      </c>
      <c r="O67" s="19"/>
      <c r="P67" s="19"/>
      <c r="Q67" s="19"/>
      <c r="R67" s="20">
        <v>3</v>
      </c>
      <c r="S67" s="19"/>
      <c r="T67" s="22">
        <f t="shared" si="4"/>
        <v>0.00029791459781529296</v>
      </c>
      <c r="U67" s="19"/>
      <c r="V67" s="21">
        <v>23768.34</v>
      </c>
      <c r="W67" s="19"/>
      <c r="X67" s="22">
        <f t="shared" si="5"/>
        <v>0.0005217487489350039</v>
      </c>
      <c r="Y67" s="19"/>
      <c r="Z67" s="19" t="s">
        <v>54</v>
      </c>
      <c r="AA67" s="19"/>
      <c r="AB67" s="19"/>
      <c r="AC67" s="19"/>
      <c r="AD67" s="20">
        <v>3</v>
      </c>
      <c r="AE67" s="19"/>
      <c r="AF67" s="22">
        <v>0.0003362097949120251</v>
      </c>
      <c r="AG67" s="19"/>
      <c r="AH67" s="21">
        <v>23402.29</v>
      </c>
      <c r="AI67" s="19"/>
      <c r="AJ67" s="22">
        <v>0.0006039567882402352</v>
      </c>
    </row>
    <row r="68" spans="1:36" ht="12.75">
      <c r="A68" s="19"/>
      <c r="B68" s="19"/>
      <c r="C68" s="19"/>
      <c r="D68" s="19"/>
      <c r="E68" s="20"/>
      <c r="F68" s="19"/>
      <c r="G68" s="19"/>
      <c r="H68" s="19"/>
      <c r="I68" s="21"/>
      <c r="J68" s="19"/>
      <c r="K68" s="19"/>
      <c r="L68" s="19"/>
      <c r="M68" s="19"/>
      <c r="N68" s="19"/>
      <c r="O68" s="19"/>
      <c r="P68" s="19"/>
      <c r="Q68" s="19"/>
      <c r="R68" s="20"/>
      <c r="S68" s="19"/>
      <c r="T68" s="19"/>
      <c r="U68" s="19"/>
      <c r="V68" s="21"/>
      <c r="W68" s="19"/>
      <c r="X68" s="19"/>
      <c r="Y68" s="19"/>
      <c r="Z68" s="19"/>
      <c r="AA68" s="19"/>
      <c r="AB68" s="19"/>
      <c r="AC68" s="19"/>
      <c r="AD68" s="20"/>
      <c r="AE68" s="19"/>
      <c r="AF68" s="19"/>
      <c r="AG68" s="19"/>
      <c r="AH68" s="21"/>
      <c r="AI68" s="19"/>
      <c r="AJ68" s="19"/>
    </row>
    <row r="69" spans="1:36" s="16" customFormat="1" ht="13.5" thickBot="1">
      <c r="A69" s="46"/>
      <c r="B69" s="47"/>
      <c r="C69" s="47"/>
      <c r="D69" s="47"/>
      <c r="E69" s="77">
        <v>1998</v>
      </c>
      <c r="F69" s="47"/>
      <c r="G69" s="47"/>
      <c r="H69" s="47"/>
      <c r="I69" s="78">
        <v>12995446.2</v>
      </c>
      <c r="J69" s="47"/>
      <c r="K69" s="47"/>
      <c r="L69" s="47"/>
      <c r="M69" s="47"/>
      <c r="N69" s="19"/>
      <c r="O69" s="57"/>
      <c r="P69" s="57"/>
      <c r="Q69" s="57"/>
      <c r="R69" s="88">
        <f>SUM(R57:R68)</f>
        <v>10070</v>
      </c>
      <c r="S69" s="57"/>
      <c r="T69" s="57"/>
      <c r="U69" s="57"/>
      <c r="V69" s="90">
        <f>SUM(V57:V68)</f>
        <v>45555145.17000003</v>
      </c>
      <c r="W69" s="57"/>
      <c r="X69" s="57"/>
      <c r="Y69" s="47"/>
      <c r="Z69" s="19"/>
      <c r="AA69" s="57"/>
      <c r="AB69" s="57"/>
      <c r="AC69" s="57"/>
      <c r="AD69" s="88">
        <v>8923</v>
      </c>
      <c r="AE69" s="57"/>
      <c r="AF69" s="57"/>
      <c r="AG69" s="57"/>
      <c r="AH69" s="90">
        <v>38748285.400000006</v>
      </c>
      <c r="AI69" s="57"/>
      <c r="AJ69" s="57"/>
    </row>
    <row r="70" spans="1:36" ht="13.5" thickTop="1">
      <c r="A70" s="57"/>
      <c r="B70" s="19"/>
      <c r="C70" s="19"/>
      <c r="D70" s="19"/>
      <c r="E70" s="20"/>
      <c r="F70" s="19"/>
      <c r="G70" s="19"/>
      <c r="H70" s="19"/>
      <c r="I70" s="21"/>
      <c r="J70" s="19"/>
      <c r="K70" s="19"/>
      <c r="L70" s="19"/>
      <c r="M70" s="19"/>
      <c r="N70" s="57"/>
      <c r="O70" s="19"/>
      <c r="P70" s="19"/>
      <c r="Q70" s="19"/>
      <c r="R70" s="20"/>
      <c r="S70" s="19"/>
      <c r="T70" s="19"/>
      <c r="U70" s="19"/>
      <c r="V70" s="21"/>
      <c r="W70" s="19"/>
      <c r="X70" s="19"/>
      <c r="Y70" s="19"/>
      <c r="Z70" s="57"/>
      <c r="AA70" s="19"/>
      <c r="AB70" s="19"/>
      <c r="AC70" s="19"/>
      <c r="AD70" s="20"/>
      <c r="AE70" s="19"/>
      <c r="AF70" s="19"/>
      <c r="AG70" s="19"/>
      <c r="AH70" s="21"/>
      <c r="AI70" s="19"/>
      <c r="AJ70" s="19"/>
    </row>
    <row r="71" spans="1:36" ht="12.75">
      <c r="A71" s="19"/>
      <c r="B71" s="19"/>
      <c r="C71" s="19"/>
      <c r="D71" s="19"/>
      <c r="E71" s="20"/>
      <c r="F71" s="19"/>
      <c r="G71" s="19"/>
      <c r="H71" s="19"/>
      <c r="I71" s="21"/>
      <c r="J71" s="19"/>
      <c r="K71" s="19"/>
      <c r="L71" s="19"/>
      <c r="M71" s="19"/>
      <c r="N71" s="19"/>
      <c r="O71" s="19"/>
      <c r="P71" s="19"/>
      <c r="Q71" s="19"/>
      <c r="R71" s="20"/>
      <c r="S71" s="19"/>
      <c r="T71" s="19"/>
      <c r="U71" s="19"/>
      <c r="V71" s="21"/>
      <c r="W71" s="19"/>
      <c r="X71" s="19"/>
      <c r="Y71" s="19"/>
      <c r="Z71" s="19"/>
      <c r="AA71" s="19"/>
      <c r="AB71" s="19"/>
      <c r="AC71" s="19"/>
      <c r="AD71" s="20"/>
      <c r="AE71" s="19"/>
      <c r="AF71" s="19"/>
      <c r="AG71" s="19"/>
      <c r="AH71" s="21"/>
      <c r="AI71" s="19"/>
      <c r="AJ71" s="19"/>
    </row>
    <row r="72" spans="1:36" ht="12.75">
      <c r="A72" s="19"/>
      <c r="B72" s="19"/>
      <c r="C72" s="19"/>
      <c r="D72" s="19"/>
      <c r="E72" s="20"/>
      <c r="F72" s="19"/>
      <c r="G72" s="19"/>
      <c r="H72" s="19"/>
      <c r="I72" s="21"/>
      <c r="J72" s="19"/>
      <c r="K72" s="19"/>
      <c r="L72" s="19"/>
      <c r="M72" s="19"/>
      <c r="N72" s="19"/>
      <c r="O72" s="19"/>
      <c r="P72" s="19"/>
      <c r="Q72" s="19"/>
      <c r="R72" s="20"/>
      <c r="S72" s="19"/>
      <c r="T72" s="19"/>
      <c r="U72" s="19"/>
      <c r="V72" s="21"/>
      <c r="W72" s="19"/>
      <c r="X72" s="19"/>
      <c r="Y72" s="19"/>
      <c r="Z72" s="19"/>
      <c r="AA72" s="19"/>
      <c r="AB72" s="19"/>
      <c r="AC72" s="19"/>
      <c r="AD72" s="20"/>
      <c r="AE72" s="19"/>
      <c r="AF72" s="19"/>
      <c r="AG72" s="19"/>
      <c r="AH72" s="21"/>
      <c r="AI72" s="19"/>
      <c r="AJ72" s="19"/>
    </row>
    <row r="73" spans="1:36" ht="12.75">
      <c r="A73" s="19"/>
      <c r="B73" s="19"/>
      <c r="C73" s="19"/>
      <c r="D73" s="19"/>
      <c r="E73" s="20"/>
      <c r="F73" s="19"/>
      <c r="G73" s="19"/>
      <c r="H73" s="19"/>
      <c r="I73" s="21"/>
      <c r="J73" s="19"/>
      <c r="K73" s="19"/>
      <c r="L73" s="19"/>
      <c r="M73" s="19"/>
      <c r="N73" s="19"/>
      <c r="O73" s="19"/>
      <c r="P73" s="19"/>
      <c r="Q73" s="19"/>
      <c r="R73" s="20"/>
      <c r="S73" s="19"/>
      <c r="T73" s="19"/>
      <c r="U73" s="19"/>
      <c r="V73" s="21"/>
      <c r="W73" s="19"/>
      <c r="X73" s="19"/>
      <c r="Y73" s="19"/>
      <c r="Z73" s="19"/>
      <c r="AA73" s="19"/>
      <c r="AB73" s="19"/>
      <c r="AC73" s="19"/>
      <c r="AD73" s="20"/>
      <c r="AE73" s="19"/>
      <c r="AF73" s="19"/>
      <c r="AG73" s="19"/>
      <c r="AH73" s="21"/>
      <c r="AI73" s="19"/>
      <c r="AJ73" s="19"/>
    </row>
    <row r="74" spans="1:36" s="15" customFormat="1" ht="12.75">
      <c r="A74" s="55" t="s">
        <v>95</v>
      </c>
      <c r="B74" s="46"/>
      <c r="C74" s="46"/>
      <c r="D74" s="46"/>
      <c r="E74" s="48"/>
      <c r="F74" s="46"/>
      <c r="G74" s="46"/>
      <c r="H74" s="46"/>
      <c r="I74" s="49"/>
      <c r="J74" s="46"/>
      <c r="K74" s="46"/>
      <c r="L74" s="46"/>
      <c r="M74" s="46"/>
      <c r="N74" s="55" t="s">
        <v>95</v>
      </c>
      <c r="O74" s="19"/>
      <c r="P74" s="19"/>
      <c r="Q74" s="19"/>
      <c r="R74" s="20"/>
      <c r="S74" s="19"/>
      <c r="T74" s="19"/>
      <c r="U74" s="19"/>
      <c r="V74" s="21"/>
      <c r="W74" s="19"/>
      <c r="X74" s="19"/>
      <c r="Y74" s="46"/>
      <c r="Z74" s="55" t="s">
        <v>95</v>
      </c>
      <c r="AA74" s="19"/>
      <c r="AB74" s="19"/>
      <c r="AC74" s="19"/>
      <c r="AD74" s="20"/>
      <c r="AE74" s="19"/>
      <c r="AF74" s="19"/>
      <c r="AG74" s="19"/>
      <c r="AH74" s="21"/>
      <c r="AI74" s="19"/>
      <c r="AJ74" s="19"/>
    </row>
    <row r="75" spans="1:36" ht="12.75">
      <c r="A75" s="58"/>
      <c r="B75" s="19"/>
      <c r="C75" s="19"/>
      <c r="D75" s="19"/>
      <c r="E75" s="20"/>
      <c r="F75" s="19"/>
      <c r="G75" s="19"/>
      <c r="H75" s="19"/>
      <c r="I75" s="21"/>
      <c r="J75" s="19"/>
      <c r="K75" s="19"/>
      <c r="L75" s="19"/>
      <c r="M75" s="19"/>
      <c r="N75" s="58"/>
      <c r="O75" s="19"/>
      <c r="P75" s="19"/>
      <c r="Q75" s="19"/>
      <c r="R75" s="20"/>
      <c r="S75" s="19"/>
      <c r="T75" s="19"/>
      <c r="U75" s="19"/>
      <c r="V75" s="21"/>
      <c r="W75" s="19"/>
      <c r="X75" s="19"/>
      <c r="Y75" s="19"/>
      <c r="Z75" s="58"/>
      <c r="AA75" s="19"/>
      <c r="AB75" s="19"/>
      <c r="AC75" s="19"/>
      <c r="AD75" s="20"/>
      <c r="AE75" s="19"/>
      <c r="AF75" s="19"/>
      <c r="AG75" s="19"/>
      <c r="AH75" s="21"/>
      <c r="AI75" s="19"/>
      <c r="AJ75" s="19"/>
    </row>
    <row r="76" spans="1:36" s="17" customFormat="1" ht="12.75">
      <c r="A76" s="69"/>
      <c r="B76" s="66"/>
      <c r="C76" s="66"/>
      <c r="D76" s="66"/>
      <c r="E76" s="67" t="s">
        <v>83</v>
      </c>
      <c r="F76" s="66"/>
      <c r="G76" s="66" t="s">
        <v>84</v>
      </c>
      <c r="H76" s="66"/>
      <c r="I76" s="68" t="s">
        <v>85</v>
      </c>
      <c r="J76" s="66"/>
      <c r="K76" s="66" t="s">
        <v>84</v>
      </c>
      <c r="L76" s="69"/>
      <c r="M76" s="69"/>
      <c r="N76" s="19"/>
      <c r="O76" s="57"/>
      <c r="P76" s="57"/>
      <c r="Q76" s="57"/>
      <c r="R76" s="67" t="s">
        <v>83</v>
      </c>
      <c r="S76" s="66"/>
      <c r="T76" s="66" t="s">
        <v>84</v>
      </c>
      <c r="U76" s="66"/>
      <c r="V76" s="68" t="s">
        <v>85</v>
      </c>
      <c r="W76" s="66"/>
      <c r="X76" s="66" t="s">
        <v>84</v>
      </c>
      <c r="Y76" s="69"/>
      <c r="Z76" s="19"/>
      <c r="AA76" s="57"/>
      <c r="AB76" s="57"/>
      <c r="AC76" s="57"/>
      <c r="AD76" s="67" t="s">
        <v>83</v>
      </c>
      <c r="AE76" s="66"/>
      <c r="AF76" s="66" t="s">
        <v>84</v>
      </c>
      <c r="AG76" s="66"/>
      <c r="AH76" s="68" t="s">
        <v>85</v>
      </c>
      <c r="AI76" s="66"/>
      <c r="AJ76" s="66" t="s">
        <v>84</v>
      </c>
    </row>
    <row r="77" spans="1:36" ht="12.75">
      <c r="A77" s="57"/>
      <c r="B77" s="19"/>
      <c r="C77" s="19"/>
      <c r="D77" s="19"/>
      <c r="E77" s="20"/>
      <c r="F77" s="19"/>
      <c r="G77" s="19"/>
      <c r="H77" s="19"/>
      <c r="I77" s="21"/>
      <c r="J77" s="19"/>
      <c r="K77" s="19"/>
      <c r="L77" s="19"/>
      <c r="M77" s="19"/>
      <c r="N77" s="57"/>
      <c r="O77" s="19"/>
      <c r="P77" s="19"/>
      <c r="Q77" s="19"/>
      <c r="R77" s="20"/>
      <c r="S77" s="19"/>
      <c r="T77" s="19"/>
      <c r="U77" s="19"/>
      <c r="V77" s="21"/>
      <c r="W77" s="19"/>
      <c r="X77" s="19"/>
      <c r="Y77" s="19"/>
      <c r="Z77" s="57"/>
      <c r="AA77" s="19"/>
      <c r="AB77" s="19"/>
      <c r="AC77" s="19"/>
      <c r="AD77" s="20"/>
      <c r="AE77" s="19"/>
      <c r="AF77" s="19"/>
      <c r="AG77" s="19"/>
      <c r="AH77" s="21"/>
      <c r="AI77" s="19"/>
      <c r="AJ77" s="19"/>
    </row>
    <row r="78" spans="1:36" ht="12.75">
      <c r="A78" s="19" t="s">
        <v>55</v>
      </c>
      <c r="B78" s="19"/>
      <c r="C78" s="19"/>
      <c r="D78" s="19"/>
      <c r="E78" s="20">
        <v>34</v>
      </c>
      <c r="F78" s="19"/>
      <c r="G78" s="22">
        <v>0.01701701701701702</v>
      </c>
      <c r="H78" s="19"/>
      <c r="I78" s="21">
        <v>112523.2</v>
      </c>
      <c r="J78" s="19"/>
      <c r="K78" s="22">
        <v>0.008658663832566211</v>
      </c>
      <c r="L78" s="19"/>
      <c r="M78" s="19"/>
      <c r="N78" s="19" t="s">
        <v>55</v>
      </c>
      <c r="O78" s="19"/>
      <c r="P78" s="19"/>
      <c r="Q78" s="19"/>
      <c r="R78" s="20">
        <v>237</v>
      </c>
      <c r="S78" s="19"/>
      <c r="T78" s="22">
        <f aca="true" t="shared" si="6" ref="T78:T83">+R78/$R$85</f>
        <v>0.023535253227408143</v>
      </c>
      <c r="U78" s="19"/>
      <c r="V78" s="21">
        <v>159784.45</v>
      </c>
      <c r="W78" s="19"/>
      <c r="X78" s="22">
        <f aca="true" t="shared" si="7" ref="X78:X83">+V78/$V$85</f>
        <v>0.0035074951337269603</v>
      </c>
      <c r="Y78" s="19"/>
      <c r="Z78" s="19" t="s">
        <v>55</v>
      </c>
      <c r="AA78" s="19"/>
      <c r="AB78" s="19"/>
      <c r="AC78" s="19"/>
      <c r="AD78" s="20">
        <v>133</v>
      </c>
      <c r="AE78" s="19"/>
      <c r="AF78" s="22">
        <v>0.014905300907766447</v>
      </c>
      <c r="AG78" s="19"/>
      <c r="AH78" s="21">
        <v>145772.18</v>
      </c>
      <c r="AI78" s="19"/>
      <c r="AJ78" s="22">
        <v>0.0037620291709733323</v>
      </c>
    </row>
    <row r="79" spans="1:36" ht="12.75">
      <c r="A79" s="19" t="s">
        <v>56</v>
      </c>
      <c r="B79" s="19"/>
      <c r="C79" s="19"/>
      <c r="D79" s="19"/>
      <c r="E79" s="20">
        <v>214</v>
      </c>
      <c r="F79" s="19"/>
      <c r="G79" s="22">
        <v>0.10710710710710711</v>
      </c>
      <c r="H79" s="19"/>
      <c r="I79" s="21">
        <v>920266.91</v>
      </c>
      <c r="J79" s="19"/>
      <c r="K79" s="22">
        <v>0.07081456810617245</v>
      </c>
      <c r="L79" s="19"/>
      <c r="M79" s="19"/>
      <c r="N79" s="19" t="s">
        <v>56</v>
      </c>
      <c r="O79" s="19"/>
      <c r="P79" s="19"/>
      <c r="Q79" s="19"/>
      <c r="R79" s="20">
        <v>335</v>
      </c>
      <c r="S79" s="19"/>
      <c r="T79" s="22">
        <f t="shared" si="6"/>
        <v>0.03326713008937438</v>
      </c>
      <c r="U79" s="19"/>
      <c r="V79" s="21">
        <v>666348.969999999</v>
      </c>
      <c r="W79" s="19"/>
      <c r="X79" s="22">
        <f t="shared" si="7"/>
        <v>0.014627304281730598</v>
      </c>
      <c r="Y79" s="19"/>
      <c r="Z79" s="19" t="s">
        <v>56</v>
      </c>
      <c r="AA79" s="19"/>
      <c r="AB79" s="19"/>
      <c r="AC79" s="19"/>
      <c r="AD79" s="20">
        <v>195</v>
      </c>
      <c r="AE79" s="19"/>
      <c r="AF79" s="22">
        <v>0.021853636669281633</v>
      </c>
      <c r="AG79" s="19"/>
      <c r="AH79" s="21">
        <v>468986.13</v>
      </c>
      <c r="AI79" s="19"/>
      <c r="AJ79" s="22">
        <v>0.012103403419238788</v>
      </c>
    </row>
    <row r="80" spans="1:36" ht="12.75">
      <c r="A80" s="19" t="s">
        <v>57</v>
      </c>
      <c r="B80" s="19"/>
      <c r="C80" s="19"/>
      <c r="D80" s="19"/>
      <c r="E80" s="20">
        <v>611</v>
      </c>
      <c r="F80" s="19"/>
      <c r="G80" s="22">
        <v>0.3058058058058058</v>
      </c>
      <c r="H80" s="19"/>
      <c r="I80" s="21">
        <v>3502290.79</v>
      </c>
      <c r="J80" s="19"/>
      <c r="K80" s="22">
        <v>0.26950138810932095</v>
      </c>
      <c r="L80" s="19"/>
      <c r="M80" s="19"/>
      <c r="N80" s="19" t="s">
        <v>57</v>
      </c>
      <c r="O80" s="19"/>
      <c r="P80" s="19"/>
      <c r="Q80" s="19"/>
      <c r="R80" s="20">
        <v>2071</v>
      </c>
      <c r="S80" s="19"/>
      <c r="T80" s="22">
        <f t="shared" si="6"/>
        <v>0.20566037735849058</v>
      </c>
      <c r="U80" s="19"/>
      <c r="V80" s="21">
        <v>6206037.640000011</v>
      </c>
      <c r="W80" s="19"/>
      <c r="X80" s="22">
        <f t="shared" si="7"/>
        <v>0.1362313217714639</v>
      </c>
      <c r="Y80" s="19"/>
      <c r="Z80" s="19" t="s">
        <v>57</v>
      </c>
      <c r="AA80" s="19"/>
      <c r="AB80" s="19"/>
      <c r="AC80" s="19"/>
      <c r="AD80" s="20">
        <v>1676</v>
      </c>
      <c r="AE80" s="19"/>
      <c r="AF80" s="22">
        <v>0.1878292054241847</v>
      </c>
      <c r="AG80" s="19"/>
      <c r="AH80" s="21">
        <v>4774892.269999993</v>
      </c>
      <c r="AI80" s="19"/>
      <c r="AJ80" s="22">
        <v>0.12322847890451422</v>
      </c>
    </row>
    <row r="81" spans="1:36" ht="12.75">
      <c r="A81" s="19" t="s">
        <v>58</v>
      </c>
      <c r="B81" s="19"/>
      <c r="C81" s="19"/>
      <c r="D81" s="19"/>
      <c r="E81" s="20">
        <v>683</v>
      </c>
      <c r="F81" s="19"/>
      <c r="G81" s="22">
        <v>0.34184184184184185</v>
      </c>
      <c r="H81" s="19"/>
      <c r="I81" s="21">
        <v>4659197.64</v>
      </c>
      <c r="J81" s="19"/>
      <c r="K81" s="22">
        <v>0.3585254071537767</v>
      </c>
      <c r="L81" s="19"/>
      <c r="M81" s="19"/>
      <c r="N81" s="19" t="s">
        <v>58</v>
      </c>
      <c r="O81" s="19"/>
      <c r="P81" s="19"/>
      <c r="Q81" s="19"/>
      <c r="R81" s="20">
        <v>3156</v>
      </c>
      <c r="S81" s="19"/>
      <c r="T81" s="22">
        <f t="shared" si="6"/>
        <v>0.31340615690168816</v>
      </c>
      <c r="U81" s="19"/>
      <c r="V81" s="21">
        <v>12142718.020000027</v>
      </c>
      <c r="W81" s="19"/>
      <c r="X81" s="22">
        <f t="shared" si="7"/>
        <v>0.2665498699364598</v>
      </c>
      <c r="Y81" s="19"/>
      <c r="Z81" s="19" t="s">
        <v>58</v>
      </c>
      <c r="AA81" s="19"/>
      <c r="AB81" s="19"/>
      <c r="AC81" s="19"/>
      <c r="AD81" s="20">
        <v>2905</v>
      </c>
      <c r="AE81" s="19"/>
      <c r="AF81" s="22">
        <v>0.3255631514064776</v>
      </c>
      <c r="AG81" s="19"/>
      <c r="AH81" s="21">
        <v>10248447.31000001</v>
      </c>
      <c r="AI81" s="19"/>
      <c r="AJ81" s="22">
        <v>0.26448776259916823</v>
      </c>
    </row>
    <row r="82" spans="1:36" ht="12.75">
      <c r="A82" s="19" t="s">
        <v>59</v>
      </c>
      <c r="B82" s="19"/>
      <c r="C82" s="19"/>
      <c r="D82" s="19"/>
      <c r="E82" s="20">
        <v>456</v>
      </c>
      <c r="F82" s="19"/>
      <c r="G82" s="22">
        <v>0.22822822822822822</v>
      </c>
      <c r="H82" s="19"/>
      <c r="I82" s="21">
        <v>3801167.66</v>
      </c>
      <c r="J82" s="19"/>
      <c r="K82" s="22">
        <v>0.29249997279816375</v>
      </c>
      <c r="L82" s="19"/>
      <c r="M82" s="19"/>
      <c r="N82" s="19" t="s">
        <v>59</v>
      </c>
      <c r="O82" s="19"/>
      <c r="P82" s="19"/>
      <c r="Q82" s="19"/>
      <c r="R82" s="20">
        <f>4364-93</f>
        <v>4271</v>
      </c>
      <c r="S82" s="19"/>
      <c r="T82" s="22">
        <f t="shared" si="6"/>
        <v>0.4241310824230387</v>
      </c>
      <c r="U82" s="19"/>
      <c r="V82" s="21">
        <f>26383256.0899999-3000</f>
        <v>26380256.0899999</v>
      </c>
      <c r="W82" s="19"/>
      <c r="X82" s="22">
        <f t="shared" si="7"/>
        <v>0.5790840088766188</v>
      </c>
      <c r="Y82" s="19"/>
      <c r="Z82" s="19" t="s">
        <v>59</v>
      </c>
      <c r="AA82" s="19"/>
      <c r="AB82" s="19"/>
      <c r="AC82" s="19"/>
      <c r="AD82" s="20">
        <v>4014</v>
      </c>
      <c r="AE82" s="19"/>
      <c r="AF82" s="22">
        <v>0.44984870559228957</v>
      </c>
      <c r="AG82" s="19"/>
      <c r="AH82" s="21">
        <v>23110187.509999976</v>
      </c>
      <c r="AI82" s="19"/>
      <c r="AJ82" s="22">
        <v>0.5964183259061056</v>
      </c>
    </row>
    <row r="83" spans="1:36" ht="12.75">
      <c r="A83" s="19" t="s">
        <v>22</v>
      </c>
      <c r="B83" s="19"/>
      <c r="C83" s="19"/>
      <c r="D83" s="19"/>
      <c r="E83" s="20">
        <v>0</v>
      </c>
      <c r="F83" s="19"/>
      <c r="G83" s="22">
        <v>0</v>
      </c>
      <c r="H83" s="19"/>
      <c r="I83" s="21">
        <v>0</v>
      </c>
      <c r="J83" s="19"/>
      <c r="K83" s="22">
        <v>0</v>
      </c>
      <c r="L83" s="19"/>
      <c r="M83" s="19"/>
      <c r="N83" s="19" t="s">
        <v>22</v>
      </c>
      <c r="O83" s="19"/>
      <c r="P83" s="19"/>
      <c r="Q83" s="19"/>
      <c r="R83" s="20">
        <v>0</v>
      </c>
      <c r="S83" s="19"/>
      <c r="T83" s="22">
        <f t="shared" si="6"/>
        <v>0</v>
      </c>
      <c r="U83" s="19"/>
      <c r="V83" s="21">
        <v>0</v>
      </c>
      <c r="W83" s="19"/>
      <c r="X83" s="22">
        <f t="shared" si="7"/>
        <v>0</v>
      </c>
      <c r="Y83" s="19"/>
      <c r="Z83" s="19" t="s">
        <v>22</v>
      </c>
      <c r="AA83" s="19"/>
      <c r="AB83" s="19"/>
      <c r="AC83" s="19"/>
      <c r="AD83" s="20">
        <v>0</v>
      </c>
      <c r="AE83" s="19"/>
      <c r="AF83" s="22">
        <v>0</v>
      </c>
      <c r="AG83" s="19"/>
      <c r="AH83" s="21">
        <v>0</v>
      </c>
      <c r="AI83" s="19"/>
      <c r="AJ83" s="22">
        <v>0</v>
      </c>
    </row>
    <row r="84" spans="1:36" ht="12.75">
      <c r="A84" s="19"/>
      <c r="B84" s="19"/>
      <c r="C84" s="19"/>
      <c r="D84" s="19"/>
      <c r="E84" s="20"/>
      <c r="F84" s="19"/>
      <c r="G84" s="19"/>
      <c r="H84" s="19"/>
      <c r="I84" s="21"/>
      <c r="J84" s="19"/>
      <c r="K84" s="19"/>
      <c r="L84" s="19"/>
      <c r="M84" s="19"/>
      <c r="N84" s="19"/>
      <c r="O84" s="19"/>
      <c r="P84" s="19"/>
      <c r="Q84" s="19"/>
      <c r="R84" s="20"/>
      <c r="S84" s="19"/>
      <c r="T84" s="19"/>
      <c r="U84" s="19"/>
      <c r="V84" s="21"/>
      <c r="W84" s="19"/>
      <c r="X84" s="19"/>
      <c r="Y84" s="19"/>
      <c r="Z84" s="19"/>
      <c r="AA84" s="19"/>
      <c r="AB84" s="19"/>
      <c r="AC84" s="19"/>
      <c r="AD84" s="20"/>
      <c r="AE84" s="19"/>
      <c r="AF84" s="19"/>
      <c r="AG84" s="19"/>
      <c r="AH84" s="21"/>
      <c r="AI84" s="19"/>
      <c r="AJ84" s="19"/>
    </row>
    <row r="85" spans="1:36" s="16" customFormat="1" ht="13.5" thickBot="1">
      <c r="A85" s="46"/>
      <c r="B85" s="47"/>
      <c r="C85" s="47"/>
      <c r="D85" s="47"/>
      <c r="E85" s="77">
        <v>1998</v>
      </c>
      <c r="F85" s="47"/>
      <c r="G85" s="47"/>
      <c r="H85" s="47"/>
      <c r="I85" s="78">
        <v>12995446.2</v>
      </c>
      <c r="J85" s="47"/>
      <c r="K85" s="79"/>
      <c r="L85" s="47"/>
      <c r="M85" s="47"/>
      <c r="N85" s="19"/>
      <c r="O85" s="57"/>
      <c r="P85" s="57"/>
      <c r="Q85" s="57"/>
      <c r="R85" s="88">
        <f>SUM(R78:R84)</f>
        <v>10070</v>
      </c>
      <c r="S85" s="57"/>
      <c r="T85" s="57"/>
      <c r="U85" s="57"/>
      <c r="V85" s="90">
        <f>SUM(V78:V84)</f>
        <v>45555145.169999935</v>
      </c>
      <c r="W85" s="57"/>
      <c r="X85" s="82"/>
      <c r="Y85" s="47"/>
      <c r="Z85" s="19"/>
      <c r="AA85" s="57"/>
      <c r="AB85" s="57"/>
      <c r="AC85" s="57"/>
      <c r="AD85" s="88">
        <v>8923</v>
      </c>
      <c r="AE85" s="57"/>
      <c r="AF85" s="57"/>
      <c r="AG85" s="57"/>
      <c r="AH85" s="90">
        <v>38748285.399999976</v>
      </c>
      <c r="AI85" s="57"/>
      <c r="AJ85" s="82"/>
    </row>
    <row r="86" spans="1:36" ht="13.5" thickTop="1">
      <c r="A86" s="57"/>
      <c r="B86" s="19"/>
      <c r="C86" s="19"/>
      <c r="D86" s="19"/>
      <c r="E86" s="20"/>
      <c r="F86" s="19"/>
      <c r="G86" s="19"/>
      <c r="H86" s="19"/>
      <c r="I86" s="21"/>
      <c r="J86" s="19"/>
      <c r="K86" s="19"/>
      <c r="L86" s="19"/>
      <c r="M86" s="19"/>
      <c r="N86" s="57"/>
      <c r="O86" s="19"/>
      <c r="P86" s="19"/>
      <c r="Q86" s="19"/>
      <c r="R86" s="20"/>
      <c r="S86" s="19"/>
      <c r="T86" s="19"/>
      <c r="U86" s="19"/>
      <c r="V86" s="21"/>
      <c r="W86" s="19"/>
      <c r="X86" s="19"/>
      <c r="Y86" s="19"/>
      <c r="Z86" s="57"/>
      <c r="AA86" s="19"/>
      <c r="AB86" s="19"/>
      <c r="AC86" s="19"/>
      <c r="AD86" s="20"/>
      <c r="AE86" s="19"/>
      <c r="AF86" s="19"/>
      <c r="AG86" s="19"/>
      <c r="AH86" s="21"/>
      <c r="AI86" s="19"/>
      <c r="AJ86" s="19"/>
    </row>
    <row r="87" spans="1:36" ht="12.75">
      <c r="A87" s="19"/>
      <c r="B87" s="19"/>
      <c r="C87" s="19"/>
      <c r="D87" s="19"/>
      <c r="E87" s="20"/>
      <c r="F87" s="19"/>
      <c r="G87" s="19"/>
      <c r="H87" s="19"/>
      <c r="I87" s="21"/>
      <c r="J87" s="19"/>
      <c r="K87" s="19"/>
      <c r="L87" s="19"/>
      <c r="M87" s="19"/>
      <c r="N87" s="19"/>
      <c r="O87" s="19"/>
      <c r="P87" s="19"/>
      <c r="Q87" s="19"/>
      <c r="R87" s="20"/>
      <c r="S87" s="19"/>
      <c r="T87" s="19"/>
      <c r="U87" s="19"/>
      <c r="V87" s="21"/>
      <c r="W87" s="19"/>
      <c r="X87" s="19"/>
      <c r="Y87" s="19"/>
      <c r="Z87" s="19"/>
      <c r="AA87" s="19"/>
      <c r="AB87" s="19"/>
      <c r="AC87" s="19"/>
      <c r="AD87" s="20"/>
      <c r="AE87" s="19"/>
      <c r="AF87" s="19"/>
      <c r="AG87" s="19"/>
      <c r="AH87" s="21"/>
      <c r="AI87" s="19"/>
      <c r="AJ87" s="19"/>
    </row>
    <row r="88" spans="1:36" ht="12.75">
      <c r="A88" s="19"/>
      <c r="B88" s="19"/>
      <c r="C88" s="19"/>
      <c r="D88" s="19"/>
      <c r="E88" s="20"/>
      <c r="F88" s="19"/>
      <c r="G88" s="19"/>
      <c r="H88" s="19"/>
      <c r="I88" s="21"/>
      <c r="J88" s="19"/>
      <c r="K88" s="19"/>
      <c r="L88" s="19"/>
      <c r="M88" s="19"/>
      <c r="N88" s="19"/>
      <c r="O88" s="19"/>
      <c r="P88" s="19"/>
      <c r="Q88" s="19"/>
      <c r="R88" s="20"/>
      <c r="S88" s="19"/>
      <c r="T88" s="19"/>
      <c r="U88" s="19"/>
      <c r="V88" s="21"/>
      <c r="W88" s="19"/>
      <c r="X88" s="19"/>
      <c r="Y88" s="19"/>
      <c r="Z88" s="19"/>
      <c r="AA88" s="19"/>
      <c r="AB88" s="19"/>
      <c r="AC88" s="19"/>
      <c r="AD88" s="20"/>
      <c r="AE88" s="19"/>
      <c r="AF88" s="19"/>
      <c r="AG88" s="19"/>
      <c r="AH88" s="21"/>
      <c r="AI88" s="19"/>
      <c r="AJ88" s="19"/>
    </row>
    <row r="89" spans="1:36" s="15" customFormat="1" ht="12.75">
      <c r="A89" s="55" t="s">
        <v>88</v>
      </c>
      <c r="B89" s="46"/>
      <c r="C89" s="46"/>
      <c r="D89" s="46"/>
      <c r="E89" s="48"/>
      <c r="F89" s="46"/>
      <c r="G89" s="46"/>
      <c r="H89" s="46"/>
      <c r="I89" s="49"/>
      <c r="J89" s="46"/>
      <c r="K89" s="46"/>
      <c r="L89" s="46"/>
      <c r="M89" s="46"/>
      <c r="N89" s="55" t="s">
        <v>88</v>
      </c>
      <c r="O89" s="19"/>
      <c r="P89" s="19"/>
      <c r="Q89" s="19"/>
      <c r="R89" s="20"/>
      <c r="S89" s="19"/>
      <c r="T89" s="19"/>
      <c r="U89" s="19"/>
      <c r="V89" s="21"/>
      <c r="W89" s="19"/>
      <c r="X89" s="19"/>
      <c r="Y89" s="46"/>
      <c r="Z89" s="55" t="s">
        <v>88</v>
      </c>
      <c r="AA89" s="19"/>
      <c r="AB89" s="19"/>
      <c r="AC89" s="19"/>
      <c r="AD89" s="20"/>
      <c r="AE89" s="19"/>
      <c r="AF89" s="19"/>
      <c r="AG89" s="19"/>
      <c r="AH89" s="21"/>
      <c r="AI89" s="19"/>
      <c r="AJ89" s="19"/>
    </row>
    <row r="90" spans="1:36" ht="12.75">
      <c r="A90" s="58"/>
      <c r="B90" s="19"/>
      <c r="C90" s="19"/>
      <c r="D90" s="19"/>
      <c r="E90" s="20"/>
      <c r="F90" s="19"/>
      <c r="G90" s="19"/>
      <c r="H90" s="19"/>
      <c r="I90" s="21"/>
      <c r="J90" s="19"/>
      <c r="K90" s="19"/>
      <c r="L90" s="19"/>
      <c r="M90" s="19"/>
      <c r="N90" s="58"/>
      <c r="O90" s="19"/>
      <c r="P90" s="19"/>
      <c r="Q90" s="19"/>
      <c r="R90" s="20"/>
      <c r="S90" s="19"/>
      <c r="T90" s="19"/>
      <c r="U90" s="19"/>
      <c r="V90" s="21"/>
      <c r="W90" s="19"/>
      <c r="X90" s="19"/>
      <c r="Y90" s="19"/>
      <c r="Z90" s="58"/>
      <c r="AA90" s="19"/>
      <c r="AB90" s="19"/>
      <c r="AC90" s="19"/>
      <c r="AD90" s="20"/>
      <c r="AE90" s="19"/>
      <c r="AF90" s="19"/>
      <c r="AG90" s="19"/>
      <c r="AH90" s="21"/>
      <c r="AI90" s="19"/>
      <c r="AJ90" s="19"/>
    </row>
    <row r="91" spans="1:36" s="17" customFormat="1" ht="12.75">
      <c r="A91" s="69"/>
      <c r="B91" s="66"/>
      <c r="C91" s="66"/>
      <c r="D91" s="66"/>
      <c r="E91" s="67" t="s">
        <v>83</v>
      </c>
      <c r="F91" s="66"/>
      <c r="G91" s="66" t="s">
        <v>84</v>
      </c>
      <c r="H91" s="66"/>
      <c r="I91" s="68" t="s">
        <v>85</v>
      </c>
      <c r="J91" s="66"/>
      <c r="K91" s="66" t="s">
        <v>84</v>
      </c>
      <c r="L91" s="69"/>
      <c r="M91" s="69"/>
      <c r="N91" s="19"/>
      <c r="O91" s="57"/>
      <c r="P91" s="57"/>
      <c r="Q91" s="57"/>
      <c r="R91" s="67" t="s">
        <v>83</v>
      </c>
      <c r="S91" s="66"/>
      <c r="T91" s="66" t="s">
        <v>84</v>
      </c>
      <c r="U91" s="66"/>
      <c r="V91" s="68" t="s">
        <v>85</v>
      </c>
      <c r="W91" s="66"/>
      <c r="X91" s="66" t="s">
        <v>84</v>
      </c>
      <c r="Y91" s="69"/>
      <c r="Z91" s="19"/>
      <c r="AA91" s="57"/>
      <c r="AB91" s="57"/>
      <c r="AC91" s="57"/>
      <c r="AD91" s="67" t="s">
        <v>83</v>
      </c>
      <c r="AE91" s="66"/>
      <c r="AF91" s="66" t="s">
        <v>84</v>
      </c>
      <c r="AG91" s="66"/>
      <c r="AH91" s="68" t="s">
        <v>85</v>
      </c>
      <c r="AI91" s="66"/>
      <c r="AJ91" s="66" t="s">
        <v>84</v>
      </c>
    </row>
    <row r="92" spans="1:36" ht="12.75">
      <c r="A92" s="57"/>
      <c r="B92" s="19"/>
      <c r="C92" s="19"/>
      <c r="D92" s="19"/>
      <c r="E92" s="20"/>
      <c r="F92" s="19"/>
      <c r="G92" s="19"/>
      <c r="H92" s="19"/>
      <c r="I92" s="21"/>
      <c r="J92" s="19"/>
      <c r="K92" s="19"/>
      <c r="L92" s="19"/>
      <c r="M92" s="19"/>
      <c r="N92" s="57"/>
      <c r="O92" s="19"/>
      <c r="P92" s="19"/>
      <c r="Q92" s="19"/>
      <c r="R92" s="20"/>
      <c r="S92" s="19"/>
      <c r="T92" s="19"/>
      <c r="U92" s="19"/>
      <c r="V92" s="21"/>
      <c r="W92" s="19"/>
      <c r="X92" s="19"/>
      <c r="Y92" s="19"/>
      <c r="Z92" s="57"/>
      <c r="AA92" s="19"/>
      <c r="AB92" s="19"/>
      <c r="AC92" s="19"/>
      <c r="AD92" s="20"/>
      <c r="AE92" s="19"/>
      <c r="AF92" s="19"/>
      <c r="AG92" s="19"/>
      <c r="AH92" s="21"/>
      <c r="AI92" s="19"/>
      <c r="AJ92" s="19"/>
    </row>
    <row r="93" spans="1:36" ht="12.75">
      <c r="A93" s="19" t="s">
        <v>55</v>
      </c>
      <c r="B93" s="19"/>
      <c r="C93" s="19"/>
      <c r="D93" s="19"/>
      <c r="E93" s="20">
        <v>34</v>
      </c>
      <c r="F93" s="19"/>
      <c r="G93" s="22">
        <v>0.01701701701701702</v>
      </c>
      <c r="H93" s="19"/>
      <c r="I93" s="21">
        <v>112523.2</v>
      </c>
      <c r="J93" s="19"/>
      <c r="K93" s="22">
        <v>0.00865866383256621</v>
      </c>
      <c r="L93" s="19"/>
      <c r="M93" s="19"/>
      <c r="N93" s="19" t="s">
        <v>55</v>
      </c>
      <c r="O93" s="19"/>
      <c r="P93" s="19"/>
      <c r="Q93" s="19"/>
      <c r="R93" s="20">
        <v>1985</v>
      </c>
      <c r="S93" s="19"/>
      <c r="T93" s="22">
        <f>+R93/$R$99</f>
        <v>0.1971201588877855</v>
      </c>
      <c r="U93" s="19"/>
      <c r="V93" s="21">
        <v>3622598.7899999926</v>
      </c>
      <c r="W93" s="19"/>
      <c r="X93" s="22">
        <f>+V93/$V$99</f>
        <v>0.07952117760752145</v>
      </c>
      <c r="Y93" s="19"/>
      <c r="Z93" s="19" t="s">
        <v>55</v>
      </c>
      <c r="AA93" s="19"/>
      <c r="AB93" s="19"/>
      <c r="AC93" s="19"/>
      <c r="AD93" s="20">
        <v>2031</v>
      </c>
      <c r="AE93" s="19"/>
      <c r="AF93" s="22">
        <v>0.227614031155441</v>
      </c>
      <c r="AG93" s="19"/>
      <c r="AH93" s="21">
        <v>4034009.81</v>
      </c>
      <c r="AI93" s="19"/>
      <c r="AJ93" s="22">
        <v>0.10410808551544323</v>
      </c>
    </row>
    <row r="94" spans="1:36" ht="12.75">
      <c r="A94" s="19" t="s">
        <v>56</v>
      </c>
      <c r="B94" s="19"/>
      <c r="C94" s="19"/>
      <c r="D94" s="19"/>
      <c r="E94" s="20">
        <v>221</v>
      </c>
      <c r="F94" s="19"/>
      <c r="G94" s="22">
        <v>0.11061061061061062</v>
      </c>
      <c r="H94" s="19"/>
      <c r="I94" s="21">
        <v>944569.64</v>
      </c>
      <c r="J94" s="19"/>
      <c r="K94" s="22">
        <v>0.07268466395559392</v>
      </c>
      <c r="L94" s="19"/>
      <c r="M94" s="19"/>
      <c r="N94" s="19" t="s">
        <v>56</v>
      </c>
      <c r="O94" s="19"/>
      <c r="P94" s="19"/>
      <c r="Q94" s="19"/>
      <c r="R94" s="20">
        <v>2388</v>
      </c>
      <c r="S94" s="19"/>
      <c r="T94" s="22">
        <f>+R94/$R$99</f>
        <v>0.2371400198609732</v>
      </c>
      <c r="U94" s="19"/>
      <c r="V94" s="21">
        <v>7891907.280000017</v>
      </c>
      <c r="W94" s="19"/>
      <c r="X94" s="22">
        <f>+V94/$V$99</f>
        <v>0.17323854968630797</v>
      </c>
      <c r="Y94" s="19"/>
      <c r="Z94" s="19" t="s">
        <v>56</v>
      </c>
      <c r="AA94" s="19"/>
      <c r="AB94" s="19"/>
      <c r="AC94" s="19"/>
      <c r="AD94" s="20">
        <v>2306</v>
      </c>
      <c r="AE94" s="19"/>
      <c r="AF94" s="22">
        <v>0.25843326235570996</v>
      </c>
      <c r="AG94" s="19"/>
      <c r="AH94" s="21">
        <v>7848798.230000001</v>
      </c>
      <c r="AI94" s="19"/>
      <c r="AJ94" s="22">
        <v>0.2025585945023518</v>
      </c>
    </row>
    <row r="95" spans="1:36" ht="12.75">
      <c r="A95" s="19" t="s">
        <v>57</v>
      </c>
      <c r="B95" s="19"/>
      <c r="C95" s="19"/>
      <c r="D95" s="19"/>
      <c r="E95" s="20">
        <v>609</v>
      </c>
      <c r="F95" s="19"/>
      <c r="G95" s="22">
        <v>0.3048048048048048</v>
      </c>
      <c r="H95" s="19"/>
      <c r="I95" s="21">
        <v>3513255.7</v>
      </c>
      <c r="J95" s="19"/>
      <c r="K95" s="22">
        <v>0.27034513828390133</v>
      </c>
      <c r="L95" s="19"/>
      <c r="M95" s="19"/>
      <c r="N95" s="19" t="s">
        <v>57</v>
      </c>
      <c r="O95" s="19"/>
      <c r="P95" s="19"/>
      <c r="Q95" s="19"/>
      <c r="R95" s="20">
        <f>2593-93</f>
        <v>2500</v>
      </c>
      <c r="S95" s="19"/>
      <c r="T95" s="22">
        <f>+R95/$R$99</f>
        <v>0.24826216484607747</v>
      </c>
      <c r="U95" s="19"/>
      <c r="V95" s="21">
        <f>12235015.23-3000</f>
        <v>12232015.23</v>
      </c>
      <c r="W95" s="19"/>
      <c r="X95" s="22">
        <f>+V95/$V$99</f>
        <v>0.2685100702533883</v>
      </c>
      <c r="Y95" s="19"/>
      <c r="Z95" s="19" t="s">
        <v>57</v>
      </c>
      <c r="AA95" s="19"/>
      <c r="AB95" s="19"/>
      <c r="AC95" s="19"/>
      <c r="AD95" s="20">
        <v>2239</v>
      </c>
      <c r="AE95" s="19"/>
      <c r="AF95" s="22">
        <v>0.25092457693600806</v>
      </c>
      <c r="AG95" s="19"/>
      <c r="AH95" s="21">
        <v>10710852.080000011</v>
      </c>
      <c r="AI95" s="19"/>
      <c r="AJ95" s="22">
        <v>0.27642131695458216</v>
      </c>
    </row>
    <row r="96" spans="1:36" ht="12.75">
      <c r="A96" s="19" t="s">
        <v>58</v>
      </c>
      <c r="B96" s="19"/>
      <c r="C96" s="19"/>
      <c r="D96" s="19"/>
      <c r="E96" s="20">
        <v>681</v>
      </c>
      <c r="F96" s="19"/>
      <c r="G96" s="22">
        <v>0.3408408408408408</v>
      </c>
      <c r="H96" s="19"/>
      <c r="I96" s="21">
        <v>4639568.74</v>
      </c>
      <c r="J96" s="19"/>
      <c r="K96" s="22">
        <v>0.35701496267207816</v>
      </c>
      <c r="L96" s="19"/>
      <c r="M96" s="19"/>
      <c r="N96" s="19" t="s">
        <v>58</v>
      </c>
      <c r="O96" s="19"/>
      <c r="P96" s="19"/>
      <c r="Q96" s="19"/>
      <c r="R96" s="20">
        <v>1652</v>
      </c>
      <c r="S96" s="19"/>
      <c r="T96" s="22">
        <f>+R96/$R$99</f>
        <v>0.16405163853028798</v>
      </c>
      <c r="U96" s="19"/>
      <c r="V96" s="21">
        <v>9876497.969999991</v>
      </c>
      <c r="W96" s="19"/>
      <c r="X96" s="22">
        <f>+V96/$V$99</f>
        <v>0.21680312801426624</v>
      </c>
      <c r="Y96" s="19"/>
      <c r="Z96" s="19" t="s">
        <v>58</v>
      </c>
      <c r="AA96" s="19"/>
      <c r="AB96" s="19"/>
      <c r="AC96" s="19"/>
      <c r="AD96" s="20">
        <v>923</v>
      </c>
      <c r="AE96" s="19"/>
      <c r="AF96" s="22">
        <v>0.10344054690126639</v>
      </c>
      <c r="AG96" s="19"/>
      <c r="AH96" s="21">
        <v>5552293.92000001</v>
      </c>
      <c r="AI96" s="19"/>
      <c r="AJ96" s="22">
        <v>0.14329134470553911</v>
      </c>
    </row>
    <row r="97" spans="1:36" ht="12.75">
      <c r="A97" s="19" t="s">
        <v>59</v>
      </c>
      <c r="B97" s="19"/>
      <c r="C97" s="19"/>
      <c r="D97" s="19"/>
      <c r="E97" s="20">
        <v>453</v>
      </c>
      <c r="F97" s="19"/>
      <c r="G97" s="22">
        <v>0.22672672672672672</v>
      </c>
      <c r="H97" s="19"/>
      <c r="I97" s="21">
        <v>3785528.92</v>
      </c>
      <c r="J97" s="19"/>
      <c r="K97" s="22">
        <v>0.29129657125586034</v>
      </c>
      <c r="L97" s="19"/>
      <c r="M97" s="19"/>
      <c r="N97" s="19" t="s">
        <v>59</v>
      </c>
      <c r="O97" s="19"/>
      <c r="P97" s="19"/>
      <c r="Q97" s="19"/>
      <c r="R97" s="20">
        <v>1545</v>
      </c>
      <c r="S97" s="19"/>
      <c r="T97" s="22">
        <f>+R97/$R$99</f>
        <v>0.15342601787487586</v>
      </c>
      <c r="U97" s="19"/>
      <c r="V97" s="21">
        <v>11932125.899999993</v>
      </c>
      <c r="W97" s="19"/>
      <c r="X97" s="22">
        <f>+V97/$V$99</f>
        <v>0.26192707443851604</v>
      </c>
      <c r="Y97" s="19"/>
      <c r="Z97" s="19" t="s">
        <v>59</v>
      </c>
      <c r="AA97" s="19"/>
      <c r="AB97" s="19"/>
      <c r="AC97" s="19"/>
      <c r="AD97" s="20">
        <v>1424</v>
      </c>
      <c r="AE97" s="19"/>
      <c r="AF97" s="22">
        <v>0.15958758265157458</v>
      </c>
      <c r="AG97" s="19"/>
      <c r="AH97" s="21">
        <v>10602331.359999992</v>
      </c>
      <c r="AI97" s="19"/>
      <c r="AJ97" s="22">
        <v>0.2736206583220838</v>
      </c>
    </row>
    <row r="98" spans="1:36" ht="12.75">
      <c r="A98" s="19"/>
      <c r="B98" s="19"/>
      <c r="C98" s="19"/>
      <c r="D98" s="19"/>
      <c r="E98" s="20"/>
      <c r="F98" s="19"/>
      <c r="G98" s="19"/>
      <c r="H98" s="19"/>
      <c r="I98" s="21"/>
      <c r="J98" s="19"/>
      <c r="K98" s="19"/>
      <c r="L98" s="19"/>
      <c r="M98" s="19"/>
      <c r="N98" s="19"/>
      <c r="O98" s="19"/>
      <c r="P98" s="19"/>
      <c r="Q98" s="19"/>
      <c r="R98" s="20"/>
      <c r="S98" s="19"/>
      <c r="T98" s="19"/>
      <c r="U98" s="19"/>
      <c r="V98" s="21"/>
      <c r="W98" s="19"/>
      <c r="X98" s="19"/>
      <c r="Y98" s="19"/>
      <c r="Z98" s="19"/>
      <c r="AA98" s="19"/>
      <c r="AB98" s="19"/>
      <c r="AC98" s="19"/>
      <c r="AD98" s="20"/>
      <c r="AE98" s="19"/>
      <c r="AF98" s="19"/>
      <c r="AG98" s="19"/>
      <c r="AH98" s="21"/>
      <c r="AI98" s="19"/>
      <c r="AJ98" s="19"/>
    </row>
    <row r="99" spans="1:36" s="15" customFormat="1" ht="13.5" thickBot="1">
      <c r="A99" s="46"/>
      <c r="B99" s="47"/>
      <c r="C99" s="47"/>
      <c r="D99" s="47"/>
      <c r="E99" s="77">
        <v>1998</v>
      </c>
      <c r="F99" s="47"/>
      <c r="G99" s="47"/>
      <c r="H99" s="47"/>
      <c r="I99" s="78">
        <v>12995446.200000001</v>
      </c>
      <c r="J99" s="47"/>
      <c r="K99" s="79"/>
      <c r="L99" s="46"/>
      <c r="M99" s="46"/>
      <c r="N99" s="19"/>
      <c r="O99" s="57"/>
      <c r="P99" s="57"/>
      <c r="Q99" s="57"/>
      <c r="R99" s="88">
        <f>SUM(R93:R98)</f>
        <v>10070</v>
      </c>
      <c r="S99" s="57"/>
      <c r="T99" s="57"/>
      <c r="U99" s="57"/>
      <c r="V99" s="90">
        <f>SUM(V93:V98)</f>
        <v>45555145.169999994</v>
      </c>
      <c r="W99" s="57"/>
      <c r="X99" s="82"/>
      <c r="Y99" s="46"/>
      <c r="Z99" s="19"/>
      <c r="AA99" s="57"/>
      <c r="AB99" s="57"/>
      <c r="AC99" s="57"/>
      <c r="AD99" s="88">
        <v>8923</v>
      </c>
      <c r="AE99" s="57"/>
      <c r="AF99" s="57"/>
      <c r="AG99" s="57"/>
      <c r="AH99" s="90">
        <v>38748285.40000001</v>
      </c>
      <c r="AI99" s="57"/>
      <c r="AJ99" s="82"/>
    </row>
    <row r="100" spans="1:36" ht="13.5" thickTop="1">
      <c r="A100" s="57"/>
      <c r="B100" s="19"/>
      <c r="C100" s="19"/>
      <c r="D100" s="19"/>
      <c r="E100" s="20"/>
      <c r="F100" s="19"/>
      <c r="G100" s="19"/>
      <c r="H100" s="19"/>
      <c r="I100" s="21"/>
      <c r="J100" s="19"/>
      <c r="K100" s="19"/>
      <c r="L100" s="19"/>
      <c r="M100" s="19"/>
      <c r="N100" s="57"/>
      <c r="O100" s="19"/>
      <c r="P100" s="19"/>
      <c r="Q100" s="19"/>
      <c r="R100" s="91"/>
      <c r="S100" s="19"/>
      <c r="T100" s="19"/>
      <c r="U100" s="19"/>
      <c r="V100" s="21"/>
      <c r="W100" s="19"/>
      <c r="X100" s="19"/>
      <c r="Y100" s="19"/>
      <c r="Z100" s="57"/>
      <c r="AA100" s="19"/>
      <c r="AB100" s="19"/>
      <c r="AC100" s="19"/>
      <c r="AD100" s="91"/>
      <c r="AE100" s="19"/>
      <c r="AF100" s="19"/>
      <c r="AG100" s="19"/>
      <c r="AH100" s="21"/>
      <c r="AI100" s="19"/>
      <c r="AJ100" s="19"/>
    </row>
    <row r="101" spans="1:36" ht="12.75">
      <c r="A101" s="19"/>
      <c r="B101" s="19"/>
      <c r="C101" s="19"/>
      <c r="D101" s="19"/>
      <c r="E101" s="20"/>
      <c r="F101" s="19"/>
      <c r="G101" s="19"/>
      <c r="H101" s="19"/>
      <c r="I101" s="21"/>
      <c r="J101" s="19"/>
      <c r="K101" s="19"/>
      <c r="L101" s="19"/>
      <c r="M101" s="19"/>
      <c r="N101" s="19"/>
      <c r="O101" s="19"/>
      <c r="P101" s="19"/>
      <c r="Q101" s="19"/>
      <c r="R101" s="20"/>
      <c r="S101" s="19"/>
      <c r="T101" s="19"/>
      <c r="U101" s="19"/>
      <c r="V101" s="21"/>
      <c r="W101" s="19"/>
      <c r="X101" s="19"/>
      <c r="Y101" s="19"/>
      <c r="Z101" s="19"/>
      <c r="AA101" s="19"/>
      <c r="AB101" s="19"/>
      <c r="AC101" s="19"/>
      <c r="AD101" s="20"/>
      <c r="AE101" s="19"/>
      <c r="AF101" s="19"/>
      <c r="AG101" s="19"/>
      <c r="AH101" s="21"/>
      <c r="AI101" s="19"/>
      <c r="AJ101" s="19"/>
    </row>
    <row r="102" spans="1:36" ht="12.75">
      <c r="A102" s="19"/>
      <c r="B102" s="19"/>
      <c r="C102" s="19"/>
      <c r="D102" s="19"/>
      <c r="E102" s="20"/>
      <c r="F102" s="19"/>
      <c r="G102" s="19"/>
      <c r="H102" s="19"/>
      <c r="I102" s="21"/>
      <c r="J102" s="19"/>
      <c r="K102" s="19"/>
      <c r="L102" s="19"/>
      <c r="M102" s="19"/>
      <c r="N102" s="19"/>
      <c r="O102" s="19"/>
      <c r="P102" s="19"/>
      <c r="Q102" s="19"/>
      <c r="R102" s="20"/>
      <c r="S102" s="19"/>
      <c r="T102" s="19"/>
      <c r="U102" s="19"/>
      <c r="V102" s="21"/>
      <c r="W102" s="19"/>
      <c r="X102" s="19"/>
      <c r="Y102" s="19"/>
      <c r="Z102" s="19"/>
      <c r="AA102" s="19"/>
      <c r="AB102" s="19"/>
      <c r="AC102" s="19"/>
      <c r="AD102" s="20"/>
      <c r="AE102" s="19"/>
      <c r="AF102" s="19"/>
      <c r="AG102" s="19"/>
      <c r="AH102" s="21"/>
      <c r="AI102" s="19"/>
      <c r="AJ102" s="19"/>
    </row>
    <row r="103" spans="1:36" s="15" customFormat="1" ht="12.75">
      <c r="A103" s="55" t="s">
        <v>89</v>
      </c>
      <c r="B103" s="46"/>
      <c r="C103" s="46"/>
      <c r="D103" s="46"/>
      <c r="E103" s="48"/>
      <c r="F103" s="46"/>
      <c r="G103" s="46"/>
      <c r="H103" s="46"/>
      <c r="I103" s="49"/>
      <c r="J103" s="46"/>
      <c r="K103" s="46"/>
      <c r="L103" s="46"/>
      <c r="M103" s="46"/>
      <c r="N103" s="55" t="s">
        <v>89</v>
      </c>
      <c r="O103" s="19"/>
      <c r="P103" s="19"/>
      <c r="Q103" s="19"/>
      <c r="R103" s="20"/>
      <c r="S103" s="19"/>
      <c r="T103" s="19"/>
      <c r="U103" s="19"/>
      <c r="V103" s="21"/>
      <c r="W103" s="19"/>
      <c r="X103" s="19"/>
      <c r="Y103" s="46"/>
      <c r="Z103" s="55" t="s">
        <v>89</v>
      </c>
      <c r="AA103" s="19"/>
      <c r="AB103" s="19"/>
      <c r="AC103" s="19"/>
      <c r="AD103" s="20"/>
      <c r="AE103" s="19"/>
      <c r="AF103" s="19"/>
      <c r="AG103" s="19"/>
      <c r="AH103" s="21"/>
      <c r="AI103" s="19"/>
      <c r="AJ103" s="19"/>
    </row>
    <row r="104" spans="1:36" ht="12.75">
      <c r="A104" s="58"/>
      <c r="B104" s="19"/>
      <c r="C104" s="19"/>
      <c r="D104" s="19"/>
      <c r="E104" s="20"/>
      <c r="F104" s="19"/>
      <c r="G104" s="19"/>
      <c r="H104" s="19"/>
      <c r="I104" s="21"/>
      <c r="J104" s="19"/>
      <c r="K104" s="19"/>
      <c r="L104" s="19"/>
      <c r="M104" s="19"/>
      <c r="N104" s="58"/>
      <c r="O104" s="19"/>
      <c r="P104" s="19"/>
      <c r="Q104" s="19"/>
      <c r="R104" s="20"/>
      <c r="S104" s="19"/>
      <c r="T104" s="19"/>
      <c r="U104" s="19"/>
      <c r="V104" s="21"/>
      <c r="W104" s="19"/>
      <c r="X104" s="19"/>
      <c r="Y104" s="19"/>
      <c r="Z104" s="58"/>
      <c r="AA104" s="19"/>
      <c r="AB104" s="19"/>
      <c r="AC104" s="19"/>
      <c r="AD104" s="20"/>
      <c r="AE104" s="19"/>
      <c r="AF104" s="19"/>
      <c r="AG104" s="19"/>
      <c r="AH104" s="21"/>
      <c r="AI104" s="19"/>
      <c r="AJ104" s="19"/>
    </row>
    <row r="105" spans="1:36" s="17" customFormat="1" ht="12.75">
      <c r="A105" s="69"/>
      <c r="B105" s="66"/>
      <c r="C105" s="66"/>
      <c r="D105" s="66"/>
      <c r="E105" s="67" t="s">
        <v>83</v>
      </c>
      <c r="F105" s="66"/>
      <c r="G105" s="66" t="s">
        <v>84</v>
      </c>
      <c r="H105" s="66"/>
      <c r="I105" s="68" t="s">
        <v>85</v>
      </c>
      <c r="J105" s="66"/>
      <c r="K105" s="66" t="s">
        <v>84</v>
      </c>
      <c r="L105" s="69"/>
      <c r="M105" s="69"/>
      <c r="N105" s="19"/>
      <c r="O105" s="57"/>
      <c r="P105" s="57"/>
      <c r="Q105" s="57"/>
      <c r="R105" s="67" t="s">
        <v>83</v>
      </c>
      <c r="S105" s="66"/>
      <c r="T105" s="66" t="s">
        <v>84</v>
      </c>
      <c r="U105" s="66"/>
      <c r="V105" s="68" t="s">
        <v>85</v>
      </c>
      <c r="W105" s="66"/>
      <c r="X105" s="66" t="s">
        <v>84</v>
      </c>
      <c r="Y105" s="69"/>
      <c r="Z105" s="19"/>
      <c r="AA105" s="57"/>
      <c r="AB105" s="57"/>
      <c r="AC105" s="57"/>
      <c r="AD105" s="67" t="s">
        <v>83</v>
      </c>
      <c r="AE105" s="66"/>
      <c r="AF105" s="66" t="s">
        <v>84</v>
      </c>
      <c r="AG105" s="66"/>
      <c r="AH105" s="68" t="s">
        <v>85</v>
      </c>
      <c r="AI105" s="66"/>
      <c r="AJ105" s="66" t="s">
        <v>84</v>
      </c>
    </row>
    <row r="106" spans="1:36" ht="12.75">
      <c r="A106" s="57"/>
      <c r="B106" s="19"/>
      <c r="C106" s="19"/>
      <c r="D106" s="19"/>
      <c r="E106" s="20"/>
      <c r="F106" s="19"/>
      <c r="G106" s="19"/>
      <c r="H106" s="19"/>
      <c r="I106" s="21"/>
      <c r="J106" s="19"/>
      <c r="K106" s="19"/>
      <c r="L106" s="19"/>
      <c r="M106" s="19"/>
      <c r="N106" s="57"/>
      <c r="O106" s="19"/>
      <c r="P106" s="19"/>
      <c r="Q106" s="19"/>
      <c r="R106" s="20"/>
      <c r="S106" s="19"/>
      <c r="T106" s="19"/>
      <c r="U106" s="19"/>
      <c r="V106" s="21"/>
      <c r="W106" s="19"/>
      <c r="X106" s="19"/>
      <c r="Y106" s="19"/>
      <c r="Z106" s="57"/>
      <c r="AA106" s="19"/>
      <c r="AB106" s="19"/>
      <c r="AC106" s="19"/>
      <c r="AD106" s="20"/>
      <c r="AE106" s="19"/>
      <c r="AF106" s="19"/>
      <c r="AG106" s="19"/>
      <c r="AH106" s="21"/>
      <c r="AI106" s="19"/>
      <c r="AJ106" s="19"/>
    </row>
    <row r="107" spans="1:36" ht="12.75">
      <c r="A107" s="19" t="s">
        <v>66</v>
      </c>
      <c r="B107" s="19"/>
      <c r="C107" s="19"/>
      <c r="D107" s="19"/>
      <c r="E107" s="20">
        <v>10</v>
      </c>
      <c r="F107" s="19"/>
      <c r="G107" s="22">
        <v>0.005005005005005005</v>
      </c>
      <c r="H107" s="19"/>
      <c r="I107" s="21">
        <v>78746.76</v>
      </c>
      <c r="J107" s="19"/>
      <c r="K107" s="22">
        <v>0.006059565696174404</v>
      </c>
      <c r="L107" s="19"/>
      <c r="M107" s="19"/>
      <c r="N107" s="19" t="s">
        <v>66</v>
      </c>
      <c r="O107" s="19"/>
      <c r="P107" s="19"/>
      <c r="Q107" s="19"/>
      <c r="R107" s="20">
        <v>481</v>
      </c>
      <c r="S107" s="19"/>
      <c r="T107" s="22">
        <f>+R107/$R$121</f>
        <v>0.0477656405163853</v>
      </c>
      <c r="U107" s="19"/>
      <c r="V107" s="21">
        <v>2794167.03</v>
      </c>
      <c r="W107" s="19"/>
      <c r="X107" s="22">
        <f>+V107/$V$121</f>
        <v>0.06133592637171699</v>
      </c>
      <c r="Y107" s="19"/>
      <c r="Z107" s="19" t="s">
        <v>66</v>
      </c>
      <c r="AA107" s="19"/>
      <c r="AB107" s="19"/>
      <c r="AC107" s="19"/>
      <c r="AD107" s="20">
        <v>433</v>
      </c>
      <c r="AE107" s="19"/>
      <c r="AF107" s="22">
        <v>0.04852628039896896</v>
      </c>
      <c r="AG107" s="19"/>
      <c r="AH107" s="21">
        <v>2404549.85</v>
      </c>
      <c r="AI107" s="19"/>
      <c r="AJ107" s="22">
        <v>0.06205564517701216</v>
      </c>
    </row>
    <row r="108" spans="1:36" ht="12.75">
      <c r="A108" s="19" t="s">
        <v>67</v>
      </c>
      <c r="B108" s="19"/>
      <c r="C108" s="19"/>
      <c r="D108" s="19"/>
      <c r="E108" s="20">
        <v>90</v>
      </c>
      <c r="F108" s="19"/>
      <c r="G108" s="22">
        <v>0.04504504504504504</v>
      </c>
      <c r="H108" s="19"/>
      <c r="I108" s="21">
        <v>656114.07</v>
      </c>
      <c r="J108" s="19"/>
      <c r="K108" s="22">
        <v>0.05048799863447552</v>
      </c>
      <c r="L108" s="19"/>
      <c r="M108" s="19"/>
      <c r="N108" s="19" t="s">
        <v>67</v>
      </c>
      <c r="O108" s="19"/>
      <c r="P108" s="19"/>
      <c r="Q108" s="19"/>
      <c r="R108" s="20">
        <v>1170</v>
      </c>
      <c r="S108" s="19"/>
      <c r="T108" s="22">
        <f aca="true" t="shared" si="8" ref="T108:T119">+R108/$R$121</f>
        <v>0.11618669314796425</v>
      </c>
      <c r="U108" s="19"/>
      <c r="V108" s="21">
        <v>5750088.8800000055</v>
      </c>
      <c r="W108" s="19"/>
      <c r="X108" s="22">
        <f aca="true" t="shared" si="9" ref="X108:X119">+V108/$V$121</f>
        <v>0.1262226002911891</v>
      </c>
      <c r="Y108" s="19"/>
      <c r="Z108" s="19" t="s">
        <v>67</v>
      </c>
      <c r="AA108" s="19"/>
      <c r="AB108" s="19"/>
      <c r="AC108" s="19"/>
      <c r="AD108" s="20">
        <v>1064</v>
      </c>
      <c r="AE108" s="19"/>
      <c r="AF108" s="22">
        <v>0.11924240726213158</v>
      </c>
      <c r="AG108" s="19"/>
      <c r="AH108" s="21">
        <v>5028310.099999994</v>
      </c>
      <c r="AI108" s="19"/>
      <c r="AJ108" s="22">
        <v>0.12976858325710575</v>
      </c>
    </row>
    <row r="109" spans="1:36" ht="12.75">
      <c r="A109" s="19" t="s">
        <v>68</v>
      </c>
      <c r="B109" s="19"/>
      <c r="C109" s="19"/>
      <c r="D109" s="19"/>
      <c r="E109" s="20">
        <v>203</v>
      </c>
      <c r="F109" s="19"/>
      <c r="G109" s="22">
        <v>0.1016016016016016</v>
      </c>
      <c r="H109" s="19"/>
      <c r="I109" s="21">
        <v>1060380.23</v>
      </c>
      <c r="J109" s="19"/>
      <c r="K109" s="22">
        <v>0.08159629255361776</v>
      </c>
      <c r="L109" s="19"/>
      <c r="M109" s="19"/>
      <c r="N109" s="19" t="s">
        <v>68</v>
      </c>
      <c r="O109" s="19"/>
      <c r="P109" s="19"/>
      <c r="Q109" s="19"/>
      <c r="R109" s="20">
        <v>955</v>
      </c>
      <c r="S109" s="19"/>
      <c r="T109" s="22">
        <f t="shared" si="8"/>
        <v>0.09483614697120159</v>
      </c>
      <c r="U109" s="19"/>
      <c r="V109" s="21">
        <v>4157798.69</v>
      </c>
      <c r="W109" s="19"/>
      <c r="X109" s="22">
        <f t="shared" si="9"/>
        <v>0.09126957393032491</v>
      </c>
      <c r="Y109" s="19"/>
      <c r="Z109" s="19" t="s">
        <v>68</v>
      </c>
      <c r="AA109" s="19"/>
      <c r="AB109" s="19"/>
      <c r="AC109" s="19"/>
      <c r="AD109" s="20">
        <v>854</v>
      </c>
      <c r="AE109" s="19"/>
      <c r="AF109" s="22">
        <v>0.09570772161828982</v>
      </c>
      <c r="AG109" s="19"/>
      <c r="AH109" s="21">
        <v>3532188.96</v>
      </c>
      <c r="AI109" s="19"/>
      <c r="AJ109" s="22">
        <v>0.09115729698842363</v>
      </c>
    </row>
    <row r="110" spans="1:36" ht="12.75">
      <c r="A110" s="19" t="s">
        <v>69</v>
      </c>
      <c r="B110" s="19"/>
      <c r="C110" s="19"/>
      <c r="D110" s="19"/>
      <c r="E110" s="20">
        <v>59</v>
      </c>
      <c r="F110" s="19"/>
      <c r="G110" s="22">
        <v>0.02952952952952953</v>
      </c>
      <c r="H110" s="19"/>
      <c r="I110" s="21">
        <v>437844.79</v>
      </c>
      <c r="J110" s="19"/>
      <c r="K110" s="22">
        <v>0.033692170569718495</v>
      </c>
      <c r="L110" s="19"/>
      <c r="M110" s="19"/>
      <c r="N110" s="19" t="s">
        <v>69</v>
      </c>
      <c r="O110" s="19"/>
      <c r="P110" s="19"/>
      <c r="Q110" s="19"/>
      <c r="R110" s="20">
        <v>450</v>
      </c>
      <c r="S110" s="19"/>
      <c r="T110" s="22">
        <f t="shared" si="8"/>
        <v>0.044687189672293945</v>
      </c>
      <c r="U110" s="19"/>
      <c r="V110" s="21">
        <v>2167148.76</v>
      </c>
      <c r="W110" s="19"/>
      <c r="X110" s="22">
        <f t="shared" si="9"/>
        <v>0.04757198669684316</v>
      </c>
      <c r="Y110" s="19"/>
      <c r="Z110" s="19" t="s">
        <v>69</v>
      </c>
      <c r="AA110" s="19"/>
      <c r="AB110" s="19"/>
      <c r="AC110" s="19"/>
      <c r="AD110" s="20">
        <v>391</v>
      </c>
      <c r="AE110" s="19"/>
      <c r="AF110" s="22">
        <v>0.04381934327020061</v>
      </c>
      <c r="AG110" s="19"/>
      <c r="AH110" s="21">
        <v>1818910.1</v>
      </c>
      <c r="AI110" s="19"/>
      <c r="AJ110" s="22">
        <v>0.04694169254776884</v>
      </c>
    </row>
    <row r="111" spans="1:36" ht="12.75">
      <c r="A111" s="19" t="s">
        <v>70</v>
      </c>
      <c r="B111" s="19"/>
      <c r="C111" s="19"/>
      <c r="D111" s="19"/>
      <c r="E111" s="20">
        <v>284</v>
      </c>
      <c r="F111" s="19"/>
      <c r="G111" s="22">
        <v>0.14214214214214213</v>
      </c>
      <c r="H111" s="19"/>
      <c r="I111" s="21">
        <v>1791458.72</v>
      </c>
      <c r="J111" s="19"/>
      <c r="K111" s="22">
        <v>0.13785280570050765</v>
      </c>
      <c r="L111" s="19"/>
      <c r="M111" s="19"/>
      <c r="N111" s="19" t="s">
        <v>70</v>
      </c>
      <c r="O111" s="19"/>
      <c r="P111" s="19"/>
      <c r="Q111" s="19"/>
      <c r="R111" s="20">
        <v>791</v>
      </c>
      <c r="S111" s="19"/>
      <c r="T111" s="22">
        <f t="shared" si="8"/>
        <v>0.07855014895729891</v>
      </c>
      <c r="U111" s="19"/>
      <c r="V111" s="21">
        <v>3512504.98</v>
      </c>
      <c r="W111" s="19"/>
      <c r="X111" s="22">
        <f t="shared" si="9"/>
        <v>0.07710446244638756</v>
      </c>
      <c r="Y111" s="19"/>
      <c r="Z111" s="19" t="s">
        <v>70</v>
      </c>
      <c r="AA111" s="19"/>
      <c r="AB111" s="19"/>
      <c r="AC111" s="19"/>
      <c r="AD111" s="20">
        <v>696</v>
      </c>
      <c r="AE111" s="19"/>
      <c r="AF111" s="22">
        <v>0.07800067241958983</v>
      </c>
      <c r="AG111" s="19"/>
      <c r="AH111" s="21">
        <v>3007408.14</v>
      </c>
      <c r="AI111" s="19"/>
      <c r="AJ111" s="22">
        <v>0.07761396688793878</v>
      </c>
    </row>
    <row r="112" spans="1:36" ht="12.75">
      <c r="A112" s="19" t="s">
        <v>78</v>
      </c>
      <c r="B112" s="19"/>
      <c r="C112" s="19"/>
      <c r="D112" s="19"/>
      <c r="E112" s="20">
        <v>28</v>
      </c>
      <c r="F112" s="19"/>
      <c r="G112" s="22">
        <v>0.014014014014014014</v>
      </c>
      <c r="H112" s="19"/>
      <c r="I112" s="21">
        <v>180251.05</v>
      </c>
      <c r="J112" s="19"/>
      <c r="K112" s="22">
        <v>0.013870324052436154</v>
      </c>
      <c r="L112" s="19"/>
      <c r="M112" s="19"/>
      <c r="N112" s="19" t="s">
        <v>78</v>
      </c>
      <c r="O112" s="19"/>
      <c r="P112" s="19"/>
      <c r="Q112" s="19"/>
      <c r="R112" s="20">
        <v>191</v>
      </c>
      <c r="S112" s="19"/>
      <c r="T112" s="22">
        <f t="shared" si="8"/>
        <v>0.018967229394240316</v>
      </c>
      <c r="U112" s="19"/>
      <c r="V112" s="21">
        <v>656579.6</v>
      </c>
      <c r="W112" s="19"/>
      <c r="X112" s="22">
        <f t="shared" si="9"/>
        <v>0.014412852764486091</v>
      </c>
      <c r="Y112" s="19"/>
      <c r="Z112" s="19" t="s">
        <v>78</v>
      </c>
      <c r="AA112" s="19"/>
      <c r="AB112" s="19"/>
      <c r="AC112" s="19"/>
      <c r="AD112" s="20">
        <v>163</v>
      </c>
      <c r="AE112" s="19"/>
      <c r="AF112" s="22">
        <v>0.018267398856886698</v>
      </c>
      <c r="AG112" s="19"/>
      <c r="AH112" s="21">
        <v>512178.08</v>
      </c>
      <c r="AI112" s="19"/>
      <c r="AJ112" s="22">
        <v>0.013218083709066521</v>
      </c>
    </row>
    <row r="113" spans="1:36" ht="12.75">
      <c r="A113" s="19" t="s">
        <v>71</v>
      </c>
      <c r="B113" s="19"/>
      <c r="C113" s="19"/>
      <c r="D113" s="19"/>
      <c r="E113" s="20">
        <v>736</v>
      </c>
      <c r="F113" s="19"/>
      <c r="G113" s="22">
        <v>0.3683683683683684</v>
      </c>
      <c r="H113" s="19"/>
      <c r="I113" s="21">
        <v>5235088.26</v>
      </c>
      <c r="J113" s="19"/>
      <c r="K113" s="22">
        <v>0.40284020874943105</v>
      </c>
      <c r="L113" s="19"/>
      <c r="M113" s="19"/>
      <c r="N113" s="19" t="s">
        <v>71</v>
      </c>
      <c r="O113" s="19"/>
      <c r="P113" s="19"/>
      <c r="Q113" s="19"/>
      <c r="R113" s="20">
        <f>1844-93</f>
        <v>1751</v>
      </c>
      <c r="S113" s="19"/>
      <c r="T113" s="22">
        <f t="shared" si="8"/>
        <v>0.17388282025819266</v>
      </c>
      <c r="U113" s="19"/>
      <c r="V113" s="21">
        <f>8390875.88000002-3000</f>
        <v>8387875.880000019</v>
      </c>
      <c r="W113" s="19"/>
      <c r="X113" s="22">
        <f t="shared" si="9"/>
        <v>0.18412576337313022</v>
      </c>
      <c r="Y113" s="19"/>
      <c r="Z113" s="19" t="s">
        <v>71</v>
      </c>
      <c r="AA113" s="19"/>
      <c r="AB113" s="19"/>
      <c r="AC113" s="19"/>
      <c r="AD113" s="20">
        <v>1586</v>
      </c>
      <c r="AE113" s="19"/>
      <c r="AF113" s="22">
        <v>0.17774291157682393</v>
      </c>
      <c r="AG113" s="19"/>
      <c r="AH113" s="21">
        <v>6949011.54000001</v>
      </c>
      <c r="AI113" s="19"/>
      <c r="AJ113" s="22">
        <v>0.17933726533355232</v>
      </c>
    </row>
    <row r="114" spans="1:36" ht="12.75">
      <c r="A114" s="19" t="s">
        <v>72</v>
      </c>
      <c r="B114" s="19"/>
      <c r="C114" s="19"/>
      <c r="D114" s="19"/>
      <c r="E114" s="20">
        <v>85</v>
      </c>
      <c r="F114" s="19"/>
      <c r="G114" s="22">
        <v>0.04254254254254254</v>
      </c>
      <c r="H114" s="19"/>
      <c r="I114" s="21">
        <v>501211.52</v>
      </c>
      <c r="J114" s="19"/>
      <c r="K114" s="22">
        <v>0.03856824246634949</v>
      </c>
      <c r="L114" s="19"/>
      <c r="M114" s="19"/>
      <c r="N114" s="19" t="s">
        <v>72</v>
      </c>
      <c r="O114" s="19"/>
      <c r="P114" s="19"/>
      <c r="Q114" s="19"/>
      <c r="R114" s="20">
        <v>1127</v>
      </c>
      <c r="S114" s="19"/>
      <c r="T114" s="22">
        <f t="shared" si="8"/>
        <v>0.11191658391261172</v>
      </c>
      <c r="U114" s="19"/>
      <c r="V114" s="21">
        <v>4242790.84</v>
      </c>
      <c r="W114" s="19"/>
      <c r="X114" s="22">
        <f t="shared" si="9"/>
        <v>0.09313527207886182</v>
      </c>
      <c r="Y114" s="19"/>
      <c r="Z114" s="19" t="s">
        <v>72</v>
      </c>
      <c r="AA114" s="19"/>
      <c r="AB114" s="19"/>
      <c r="AC114" s="19"/>
      <c r="AD114" s="20">
        <v>976</v>
      </c>
      <c r="AE114" s="19"/>
      <c r="AF114" s="22">
        <v>0.1093802532780455</v>
      </c>
      <c r="AG114" s="19"/>
      <c r="AH114" s="21">
        <v>3502427.75</v>
      </c>
      <c r="AI114" s="19"/>
      <c r="AJ114" s="22">
        <v>0.09038923177746602</v>
      </c>
    </row>
    <row r="115" spans="1:36" ht="12.75">
      <c r="A115" s="19" t="s">
        <v>73</v>
      </c>
      <c r="B115" s="19"/>
      <c r="C115" s="19"/>
      <c r="D115" s="19"/>
      <c r="E115" s="20">
        <v>159</v>
      </c>
      <c r="F115" s="19"/>
      <c r="G115" s="22">
        <v>0.07957957957957958</v>
      </c>
      <c r="H115" s="19"/>
      <c r="I115" s="21">
        <v>1238519.95</v>
      </c>
      <c r="J115" s="19"/>
      <c r="K115" s="22">
        <v>0.09530414969514477</v>
      </c>
      <c r="L115" s="19"/>
      <c r="M115" s="19"/>
      <c r="N115" s="19" t="s">
        <v>73</v>
      </c>
      <c r="O115" s="19"/>
      <c r="P115" s="19"/>
      <c r="Q115" s="19"/>
      <c r="R115" s="20">
        <v>273</v>
      </c>
      <c r="S115" s="19"/>
      <c r="T115" s="22">
        <f t="shared" si="8"/>
        <v>0.02711022840119166</v>
      </c>
      <c r="U115" s="19"/>
      <c r="V115" s="21">
        <v>1309478.3</v>
      </c>
      <c r="W115" s="19"/>
      <c r="X115" s="22">
        <f t="shared" si="9"/>
        <v>0.02874490455717715</v>
      </c>
      <c r="Y115" s="19"/>
      <c r="Z115" s="19" t="s">
        <v>73</v>
      </c>
      <c r="AA115" s="19"/>
      <c r="AB115" s="19"/>
      <c r="AC115" s="19"/>
      <c r="AD115" s="20">
        <v>244</v>
      </c>
      <c r="AE115" s="19"/>
      <c r="AF115" s="22">
        <v>0.027345063319511375</v>
      </c>
      <c r="AG115" s="19"/>
      <c r="AH115" s="21">
        <v>1067007.92</v>
      </c>
      <c r="AI115" s="19"/>
      <c r="AJ115" s="22">
        <v>0.02753690670400608</v>
      </c>
    </row>
    <row r="116" spans="1:36" ht="12.75">
      <c r="A116" s="19" t="s">
        <v>74</v>
      </c>
      <c r="B116" s="19"/>
      <c r="C116" s="19"/>
      <c r="D116" s="19"/>
      <c r="E116" s="20">
        <v>139</v>
      </c>
      <c r="F116" s="19"/>
      <c r="G116" s="22">
        <v>0.06956956956956957</v>
      </c>
      <c r="H116" s="19"/>
      <c r="I116" s="21">
        <v>712997.15</v>
      </c>
      <c r="J116" s="19"/>
      <c r="K116" s="22">
        <v>0.05486515345660083</v>
      </c>
      <c r="L116" s="19"/>
      <c r="M116" s="19"/>
      <c r="N116" s="19" t="s">
        <v>74</v>
      </c>
      <c r="O116" s="19"/>
      <c r="P116" s="19"/>
      <c r="Q116" s="19"/>
      <c r="R116" s="20">
        <v>702</v>
      </c>
      <c r="S116" s="19"/>
      <c r="T116" s="22">
        <f t="shared" si="8"/>
        <v>0.06971201588877855</v>
      </c>
      <c r="U116" s="19"/>
      <c r="V116" s="21">
        <v>2588506.05</v>
      </c>
      <c r="W116" s="19"/>
      <c r="X116" s="22">
        <f t="shared" si="9"/>
        <v>0.056821376385485435</v>
      </c>
      <c r="Y116" s="19"/>
      <c r="Z116" s="19" t="s">
        <v>74</v>
      </c>
      <c r="AA116" s="19"/>
      <c r="AB116" s="19"/>
      <c r="AC116" s="19"/>
      <c r="AD116" s="20">
        <v>606</v>
      </c>
      <c r="AE116" s="19"/>
      <c r="AF116" s="22">
        <v>0.06791437857222907</v>
      </c>
      <c r="AG116" s="19"/>
      <c r="AH116" s="21">
        <v>2139502.01</v>
      </c>
      <c r="AI116" s="19"/>
      <c r="AJ116" s="22">
        <v>0.055215398253466996</v>
      </c>
    </row>
    <row r="117" spans="1:36" ht="12.75">
      <c r="A117" s="19" t="s">
        <v>75</v>
      </c>
      <c r="B117" s="19"/>
      <c r="C117" s="19"/>
      <c r="D117" s="19"/>
      <c r="E117" s="20">
        <v>205</v>
      </c>
      <c r="F117" s="19"/>
      <c r="G117" s="22">
        <v>0.10260260260260261</v>
      </c>
      <c r="H117" s="19"/>
      <c r="I117" s="21">
        <v>1102833.7</v>
      </c>
      <c r="J117" s="19"/>
      <c r="K117" s="22">
        <v>0.08486308842554403</v>
      </c>
      <c r="L117" s="19"/>
      <c r="M117" s="19"/>
      <c r="N117" s="19" t="s">
        <v>75</v>
      </c>
      <c r="O117" s="19"/>
      <c r="P117" s="19"/>
      <c r="Q117" s="19"/>
      <c r="R117" s="20">
        <v>1591</v>
      </c>
      <c r="S117" s="19"/>
      <c r="T117" s="22">
        <f t="shared" si="8"/>
        <v>0.15799404170804368</v>
      </c>
      <c r="U117" s="19"/>
      <c r="V117" s="21">
        <v>8049514.609999991</v>
      </c>
      <c r="W117" s="19"/>
      <c r="X117" s="22">
        <f t="shared" si="9"/>
        <v>0.17669825395048758</v>
      </c>
      <c r="Y117" s="19"/>
      <c r="Z117" s="19" t="s">
        <v>75</v>
      </c>
      <c r="AA117" s="19"/>
      <c r="AB117" s="19"/>
      <c r="AC117" s="19"/>
      <c r="AD117" s="20">
        <v>1469</v>
      </c>
      <c r="AE117" s="19"/>
      <c r="AF117" s="22">
        <v>0.16463072957525496</v>
      </c>
      <c r="AG117" s="19"/>
      <c r="AH117" s="21">
        <v>7152856.319999991</v>
      </c>
      <c r="AI117" s="19"/>
      <c r="AJ117" s="22">
        <v>0.18459800856117345</v>
      </c>
    </row>
    <row r="118" spans="1:36" ht="12.75">
      <c r="A118" s="19" t="s">
        <v>76</v>
      </c>
      <c r="B118" s="19"/>
      <c r="C118" s="19"/>
      <c r="D118" s="19"/>
      <c r="E118" s="20">
        <v>0</v>
      </c>
      <c r="F118" s="19"/>
      <c r="G118" s="22">
        <v>0</v>
      </c>
      <c r="H118" s="19"/>
      <c r="I118" s="21">
        <v>0</v>
      </c>
      <c r="J118" s="19"/>
      <c r="K118" s="22">
        <v>0</v>
      </c>
      <c r="L118" s="19"/>
      <c r="M118" s="19"/>
      <c r="N118" s="19" t="s">
        <v>76</v>
      </c>
      <c r="O118" s="19"/>
      <c r="P118" s="19"/>
      <c r="Q118" s="19"/>
      <c r="R118" s="20">
        <v>6</v>
      </c>
      <c r="S118" s="19"/>
      <c r="T118" s="22">
        <f t="shared" si="8"/>
        <v>0.0005958291956305859</v>
      </c>
      <c r="U118" s="19"/>
      <c r="V118" s="21">
        <v>24268.1</v>
      </c>
      <c r="W118" s="19"/>
      <c r="X118" s="22">
        <f t="shared" si="9"/>
        <v>0.0005327191892252287</v>
      </c>
      <c r="Y118" s="19"/>
      <c r="Z118" s="19" t="s">
        <v>76</v>
      </c>
      <c r="AA118" s="19"/>
      <c r="AB118" s="19"/>
      <c r="AC118" s="19"/>
      <c r="AD118" s="20">
        <v>6</v>
      </c>
      <c r="AE118" s="19"/>
      <c r="AF118" s="22">
        <v>0.0006724195898240502</v>
      </c>
      <c r="AG118" s="19"/>
      <c r="AH118" s="21">
        <v>21751.06</v>
      </c>
      <c r="AI118" s="19"/>
      <c r="AJ118" s="22">
        <v>0.0005613425155581209</v>
      </c>
    </row>
    <row r="119" spans="1:36" ht="12.75">
      <c r="A119" s="19"/>
      <c r="B119" s="19"/>
      <c r="C119" s="19"/>
      <c r="D119" s="19"/>
      <c r="E119" s="20"/>
      <c r="F119" s="19"/>
      <c r="G119" s="22"/>
      <c r="H119" s="19"/>
      <c r="I119" s="21"/>
      <c r="J119" s="19"/>
      <c r="K119" s="22"/>
      <c r="L119" s="19"/>
      <c r="M119" s="19"/>
      <c r="N119" s="19" t="s">
        <v>2</v>
      </c>
      <c r="O119" s="19"/>
      <c r="P119" s="19"/>
      <c r="Q119" s="19"/>
      <c r="R119" s="20">
        <v>582</v>
      </c>
      <c r="S119" s="19"/>
      <c r="T119" s="22">
        <f t="shared" si="8"/>
        <v>0.05779543197616683</v>
      </c>
      <c r="U119" s="19"/>
      <c r="V119" s="21">
        <v>1914423.45</v>
      </c>
      <c r="W119" s="19"/>
      <c r="X119" s="22">
        <f t="shared" si="9"/>
        <v>0.04202430796468471</v>
      </c>
      <c r="Y119" s="19"/>
      <c r="Z119" s="19" t="s">
        <v>2</v>
      </c>
      <c r="AA119" s="19"/>
      <c r="AB119" s="19"/>
      <c r="AC119" s="19"/>
      <c r="AD119" s="20">
        <v>435</v>
      </c>
      <c r="AE119" s="19"/>
      <c r="AF119" s="22">
        <v>0.04875042026224364</v>
      </c>
      <c r="AG119" s="19"/>
      <c r="AH119" s="21">
        <v>1612183.57</v>
      </c>
      <c r="AI119" s="19"/>
      <c r="AJ119" s="22">
        <v>0.04160657828746138</v>
      </c>
    </row>
    <row r="120" spans="1:36" ht="12.75">
      <c r="A120" s="19"/>
      <c r="B120" s="19"/>
      <c r="C120" s="19"/>
      <c r="D120" s="19"/>
      <c r="E120" s="20"/>
      <c r="F120" s="19"/>
      <c r="G120" s="19"/>
      <c r="H120" s="19"/>
      <c r="I120" s="21"/>
      <c r="J120" s="19"/>
      <c r="K120" s="19"/>
      <c r="L120" s="19"/>
      <c r="M120" s="19"/>
      <c r="N120" s="19"/>
      <c r="O120" s="19"/>
      <c r="P120" s="19"/>
      <c r="Q120" s="19"/>
      <c r="R120" s="20"/>
      <c r="S120" s="19"/>
      <c r="T120" s="19"/>
      <c r="U120" s="19"/>
      <c r="V120" s="21"/>
      <c r="W120" s="19"/>
      <c r="X120" s="19"/>
      <c r="Y120" s="19"/>
      <c r="Z120" s="19"/>
      <c r="AA120" s="19"/>
      <c r="AB120" s="19"/>
      <c r="AC120" s="19"/>
      <c r="AD120" s="20"/>
      <c r="AE120" s="19"/>
      <c r="AF120" s="19"/>
      <c r="AG120" s="19"/>
      <c r="AH120" s="21"/>
      <c r="AI120" s="19"/>
      <c r="AJ120" s="19"/>
    </row>
    <row r="121" spans="1:36" s="16" customFormat="1" ht="13.5" thickBot="1">
      <c r="A121" s="46"/>
      <c r="B121" s="47"/>
      <c r="C121" s="47"/>
      <c r="D121" s="47"/>
      <c r="E121" s="77">
        <v>1998</v>
      </c>
      <c r="F121" s="47"/>
      <c r="G121" s="79"/>
      <c r="H121" s="47"/>
      <c r="I121" s="78">
        <v>12995446.199999997</v>
      </c>
      <c r="J121" s="47"/>
      <c r="K121" s="79"/>
      <c r="L121" s="47"/>
      <c r="M121" s="47"/>
      <c r="N121" s="19"/>
      <c r="O121" s="57"/>
      <c r="P121" s="57"/>
      <c r="Q121" s="57"/>
      <c r="R121" s="88">
        <f>SUM(R107:R120)</f>
        <v>10070</v>
      </c>
      <c r="S121" s="57"/>
      <c r="T121" s="82"/>
      <c r="U121" s="57"/>
      <c r="V121" s="90">
        <f>SUM(V107:V120)</f>
        <v>45555145.17000002</v>
      </c>
      <c r="W121" s="57"/>
      <c r="X121" s="82"/>
      <c r="Y121" s="47"/>
      <c r="Z121" s="19"/>
      <c r="AA121" s="57"/>
      <c r="AB121" s="57"/>
      <c r="AC121" s="57"/>
      <c r="AD121" s="88">
        <v>8923</v>
      </c>
      <c r="AE121" s="57"/>
      <c r="AF121" s="82"/>
      <c r="AG121" s="57"/>
      <c r="AH121" s="90">
        <v>38748285.39999999</v>
      </c>
      <c r="AI121" s="57"/>
      <c r="AJ121" s="82"/>
    </row>
    <row r="122" spans="1:36" ht="13.5" thickTop="1">
      <c r="A122" s="57"/>
      <c r="B122" s="19"/>
      <c r="C122" s="19"/>
      <c r="D122" s="19"/>
      <c r="E122" s="20"/>
      <c r="F122" s="19"/>
      <c r="G122" s="19"/>
      <c r="H122" s="19"/>
      <c r="I122" s="21"/>
      <c r="J122" s="19"/>
      <c r="K122" s="19"/>
      <c r="L122" s="19"/>
      <c r="M122" s="19"/>
      <c r="N122" s="57"/>
      <c r="O122" s="19"/>
      <c r="P122" s="19"/>
      <c r="Q122" s="19"/>
      <c r="R122" s="20"/>
      <c r="S122" s="19"/>
      <c r="T122" s="19"/>
      <c r="U122" s="19"/>
      <c r="V122" s="21"/>
      <c r="W122" s="19"/>
      <c r="X122" s="19"/>
      <c r="Y122" s="19"/>
      <c r="Z122" s="57"/>
      <c r="AA122" s="19"/>
      <c r="AB122" s="19"/>
      <c r="AC122" s="19"/>
      <c r="AD122" s="20"/>
      <c r="AE122" s="19"/>
      <c r="AF122" s="19"/>
      <c r="AG122" s="19"/>
      <c r="AH122" s="21"/>
      <c r="AI122" s="19"/>
      <c r="AJ122" s="19"/>
    </row>
    <row r="123" spans="1:36" ht="12.75">
      <c r="A123" s="19"/>
      <c r="B123" s="19"/>
      <c r="C123" s="19"/>
      <c r="D123" s="19"/>
      <c r="E123" s="20"/>
      <c r="F123" s="19"/>
      <c r="G123" s="19"/>
      <c r="H123" s="19"/>
      <c r="I123" s="21"/>
      <c r="J123" s="19"/>
      <c r="K123" s="19"/>
      <c r="L123" s="19"/>
      <c r="M123" s="19"/>
      <c r="N123" s="19"/>
      <c r="O123" s="19"/>
      <c r="P123" s="19"/>
      <c r="Q123" s="19"/>
      <c r="R123" s="20"/>
      <c r="S123" s="19"/>
      <c r="T123" s="19"/>
      <c r="U123" s="19"/>
      <c r="V123" s="21"/>
      <c r="W123" s="19"/>
      <c r="X123" s="19"/>
      <c r="Y123" s="19"/>
      <c r="Z123" s="19"/>
      <c r="AA123" s="19"/>
      <c r="AB123" s="19"/>
      <c r="AC123" s="19"/>
      <c r="AD123" s="20"/>
      <c r="AE123" s="19"/>
      <c r="AF123" s="19"/>
      <c r="AG123" s="19"/>
      <c r="AH123" s="21"/>
      <c r="AI123" s="19"/>
      <c r="AJ123" s="19"/>
    </row>
    <row r="124" spans="1:36" ht="12.75">
      <c r="A124" s="19"/>
      <c r="B124" s="19"/>
      <c r="C124" s="19"/>
      <c r="D124" s="19"/>
      <c r="E124" s="20"/>
      <c r="F124" s="19"/>
      <c r="G124" s="19"/>
      <c r="H124" s="19"/>
      <c r="I124" s="21"/>
      <c r="J124" s="19"/>
      <c r="K124" s="19"/>
      <c r="L124" s="19"/>
      <c r="M124" s="19"/>
      <c r="N124" s="19"/>
      <c r="O124" s="19"/>
      <c r="P124" s="19"/>
      <c r="Q124" s="19"/>
      <c r="R124" s="20"/>
      <c r="S124" s="19"/>
      <c r="T124" s="19"/>
      <c r="U124" s="19"/>
      <c r="V124" s="21"/>
      <c r="W124" s="19"/>
      <c r="X124" s="19"/>
      <c r="Y124" s="19"/>
      <c r="Z124" s="19"/>
      <c r="AA124" s="19"/>
      <c r="AB124" s="19"/>
      <c r="AC124" s="19"/>
      <c r="AD124" s="20"/>
      <c r="AE124" s="19"/>
      <c r="AF124" s="19"/>
      <c r="AG124" s="19"/>
      <c r="AH124" s="21"/>
      <c r="AI124" s="19"/>
      <c r="AJ124" s="19"/>
    </row>
    <row r="125" spans="1:36" s="15" customFormat="1" ht="12.75">
      <c r="A125" s="55" t="s">
        <v>90</v>
      </c>
      <c r="B125" s="46"/>
      <c r="C125" s="46"/>
      <c r="D125" s="46"/>
      <c r="E125" s="48"/>
      <c r="F125" s="46"/>
      <c r="G125" s="46"/>
      <c r="H125" s="46"/>
      <c r="I125" s="49"/>
      <c r="J125" s="46"/>
      <c r="K125" s="46"/>
      <c r="L125" s="46"/>
      <c r="M125" s="46"/>
      <c r="N125" s="55" t="s">
        <v>90</v>
      </c>
      <c r="O125" s="19"/>
      <c r="P125" s="19"/>
      <c r="Q125" s="19"/>
      <c r="R125" s="20"/>
      <c r="S125" s="19"/>
      <c r="T125" s="19"/>
      <c r="U125" s="19"/>
      <c r="V125" s="21"/>
      <c r="W125" s="19"/>
      <c r="X125" s="19"/>
      <c r="Y125" s="46"/>
      <c r="Z125" s="55" t="s">
        <v>90</v>
      </c>
      <c r="AA125" s="19"/>
      <c r="AB125" s="19"/>
      <c r="AC125" s="19"/>
      <c r="AD125" s="20"/>
      <c r="AE125" s="19"/>
      <c r="AF125" s="19"/>
      <c r="AG125" s="19"/>
      <c r="AH125" s="21"/>
      <c r="AI125" s="19"/>
      <c r="AJ125" s="19"/>
    </row>
    <row r="126" spans="1:36" ht="12.75">
      <c r="A126" s="58"/>
      <c r="B126" s="19"/>
      <c r="C126" s="19"/>
      <c r="D126" s="19"/>
      <c r="E126" s="20"/>
      <c r="F126" s="19"/>
      <c r="G126" s="19"/>
      <c r="H126" s="19"/>
      <c r="I126" s="21"/>
      <c r="J126" s="19"/>
      <c r="K126" s="19"/>
      <c r="L126" s="19"/>
      <c r="M126" s="19"/>
      <c r="N126" s="58"/>
      <c r="O126" s="19"/>
      <c r="P126" s="19"/>
      <c r="Q126" s="19"/>
      <c r="R126" s="20"/>
      <c r="S126" s="19"/>
      <c r="T126" s="19"/>
      <c r="U126" s="19"/>
      <c r="V126" s="21"/>
      <c r="W126" s="19"/>
      <c r="X126" s="19"/>
      <c r="Y126" s="19"/>
      <c r="Z126" s="58"/>
      <c r="AA126" s="19"/>
      <c r="AB126" s="19"/>
      <c r="AC126" s="19"/>
      <c r="AD126" s="20"/>
      <c r="AE126" s="19"/>
      <c r="AF126" s="19"/>
      <c r="AG126" s="19"/>
      <c r="AH126" s="21"/>
      <c r="AI126" s="19"/>
      <c r="AJ126" s="19"/>
    </row>
    <row r="127" spans="1:36" s="17" customFormat="1" ht="12.75">
      <c r="A127" s="69"/>
      <c r="B127" s="66"/>
      <c r="C127" s="66"/>
      <c r="D127" s="66"/>
      <c r="E127" s="67" t="s">
        <v>83</v>
      </c>
      <c r="F127" s="66"/>
      <c r="G127" s="66" t="s">
        <v>84</v>
      </c>
      <c r="H127" s="66"/>
      <c r="I127" s="68" t="s">
        <v>85</v>
      </c>
      <c r="J127" s="66"/>
      <c r="K127" s="66" t="s">
        <v>84</v>
      </c>
      <c r="L127" s="69"/>
      <c r="M127" s="69"/>
      <c r="N127" s="19"/>
      <c r="O127" s="57"/>
      <c r="P127" s="57"/>
      <c r="Q127" s="57"/>
      <c r="R127" s="67" t="s">
        <v>83</v>
      </c>
      <c r="S127" s="66"/>
      <c r="T127" s="66" t="s">
        <v>84</v>
      </c>
      <c r="U127" s="66"/>
      <c r="V127" s="68" t="s">
        <v>85</v>
      </c>
      <c r="W127" s="66"/>
      <c r="X127" s="66" t="s">
        <v>84</v>
      </c>
      <c r="Y127" s="69"/>
      <c r="Z127" s="19"/>
      <c r="AA127" s="57"/>
      <c r="AB127" s="57"/>
      <c r="AC127" s="57"/>
      <c r="AD127" s="67" t="s">
        <v>83</v>
      </c>
      <c r="AE127" s="66"/>
      <c r="AF127" s="66" t="s">
        <v>84</v>
      </c>
      <c r="AG127" s="66"/>
      <c r="AH127" s="68" t="s">
        <v>85</v>
      </c>
      <c r="AI127" s="66"/>
      <c r="AJ127" s="66" t="s">
        <v>84</v>
      </c>
    </row>
    <row r="128" spans="1:36" ht="12.75">
      <c r="A128" s="57"/>
      <c r="B128" s="19"/>
      <c r="C128" s="19"/>
      <c r="D128" s="19"/>
      <c r="E128" s="20"/>
      <c r="F128" s="19"/>
      <c r="G128" s="19"/>
      <c r="H128" s="19"/>
      <c r="I128" s="21"/>
      <c r="J128" s="19"/>
      <c r="K128" s="19"/>
      <c r="L128" s="19"/>
      <c r="M128" s="19"/>
      <c r="N128" s="57"/>
      <c r="O128" s="19"/>
      <c r="P128" s="19"/>
      <c r="Q128" s="19"/>
      <c r="R128" s="20"/>
      <c r="S128" s="19"/>
      <c r="T128" s="19"/>
      <c r="U128" s="19"/>
      <c r="V128" s="21"/>
      <c r="W128" s="19"/>
      <c r="X128" s="19"/>
      <c r="Y128" s="19"/>
      <c r="Z128" s="57"/>
      <c r="AA128" s="19"/>
      <c r="AB128" s="19"/>
      <c r="AC128" s="19"/>
      <c r="AD128" s="20"/>
      <c r="AE128" s="19"/>
      <c r="AF128" s="19"/>
      <c r="AG128" s="19"/>
      <c r="AH128" s="21"/>
      <c r="AI128" s="19"/>
      <c r="AJ128" s="19"/>
    </row>
    <row r="129" spans="1:36" ht="12.75">
      <c r="A129" s="57"/>
      <c r="B129" s="19"/>
      <c r="C129" s="19"/>
      <c r="D129" s="19"/>
      <c r="E129" s="20"/>
      <c r="F129" s="19"/>
      <c r="G129" s="19"/>
      <c r="H129" s="19"/>
      <c r="I129" s="21"/>
      <c r="J129" s="19"/>
      <c r="K129" s="19"/>
      <c r="L129" s="19"/>
      <c r="M129" s="19"/>
      <c r="N129" s="19" t="s">
        <v>55</v>
      </c>
      <c r="O129" s="19"/>
      <c r="P129" s="19"/>
      <c r="Q129" s="19"/>
      <c r="R129" s="20">
        <v>2980</v>
      </c>
      <c r="S129" s="19"/>
      <c r="T129" s="22">
        <f>+R129/$R$135</f>
        <v>0.2959285004965243</v>
      </c>
      <c r="U129" s="19"/>
      <c r="V129" s="21">
        <f>18723624.11-3000</f>
        <v>18720624.11</v>
      </c>
      <c r="W129" s="19"/>
      <c r="X129" s="22">
        <f>+V129/$V$135</f>
        <v>0.41094423121997437</v>
      </c>
      <c r="Y129" s="19"/>
      <c r="Z129" s="19" t="s">
        <v>55</v>
      </c>
      <c r="AA129" s="19"/>
      <c r="AB129" s="19"/>
      <c r="AC129" s="19"/>
      <c r="AD129" s="20">
        <v>2725</v>
      </c>
      <c r="AE129" s="19"/>
      <c r="AF129" s="22">
        <v>0.30539056371175616</v>
      </c>
      <c r="AG129" s="19"/>
      <c r="AH129" s="21">
        <v>16752355.340000045</v>
      </c>
      <c r="AI129" s="19"/>
      <c r="AJ129" s="22">
        <v>0.4323379774631272</v>
      </c>
    </row>
    <row r="130" spans="1:36" ht="12.75">
      <c r="A130" s="57"/>
      <c r="B130" s="19"/>
      <c r="C130" s="19"/>
      <c r="D130" s="19"/>
      <c r="E130" s="20"/>
      <c r="F130" s="19"/>
      <c r="G130" s="19"/>
      <c r="H130" s="19"/>
      <c r="I130" s="21"/>
      <c r="J130" s="19"/>
      <c r="K130" s="19"/>
      <c r="L130" s="19"/>
      <c r="M130" s="19"/>
      <c r="N130" s="19" t="s">
        <v>56</v>
      </c>
      <c r="O130" s="19"/>
      <c r="P130" s="19"/>
      <c r="Q130" s="19"/>
      <c r="R130" s="20">
        <v>3201</v>
      </c>
      <c r="S130" s="19"/>
      <c r="T130" s="22">
        <f>+R130/$R$135</f>
        <v>0.31787487586891755</v>
      </c>
      <c r="U130" s="19"/>
      <c r="V130" s="21">
        <v>13641925.410000017</v>
      </c>
      <c r="W130" s="19"/>
      <c r="X130" s="22">
        <f>+V130/$V$135</f>
        <v>0.2994595969147254</v>
      </c>
      <c r="Y130" s="19"/>
      <c r="Z130" s="19" t="s">
        <v>56</v>
      </c>
      <c r="AA130" s="19"/>
      <c r="AB130" s="19"/>
      <c r="AC130" s="19"/>
      <c r="AD130" s="20">
        <v>1282</v>
      </c>
      <c r="AE130" s="19"/>
      <c r="AF130" s="22">
        <v>0.14367365235907206</v>
      </c>
      <c r="AG130" s="19"/>
      <c r="AH130" s="21">
        <v>5760019.219999998</v>
      </c>
      <c r="AI130" s="19"/>
      <c r="AJ130" s="22">
        <v>0.14865223481604659</v>
      </c>
    </row>
    <row r="131" spans="1:36" ht="12.75">
      <c r="A131" s="57"/>
      <c r="B131" s="19"/>
      <c r="C131" s="19"/>
      <c r="D131" s="19"/>
      <c r="E131" s="20"/>
      <c r="F131" s="19"/>
      <c r="G131" s="19"/>
      <c r="H131" s="19"/>
      <c r="I131" s="21"/>
      <c r="J131" s="19"/>
      <c r="K131" s="19"/>
      <c r="L131" s="19"/>
      <c r="M131" s="19"/>
      <c r="N131" s="19" t="s">
        <v>57</v>
      </c>
      <c r="O131" s="19"/>
      <c r="P131" s="19"/>
      <c r="Q131" s="19"/>
      <c r="R131" s="20">
        <f>3523-93</f>
        <v>3430</v>
      </c>
      <c r="S131" s="19"/>
      <c r="T131" s="22">
        <f>+R131/$R$135</f>
        <v>0.34061569016881826</v>
      </c>
      <c r="U131" s="19"/>
      <c r="V131" s="21">
        <v>11975949.540000038</v>
      </c>
      <c r="W131" s="19"/>
      <c r="X131" s="22">
        <f>+V131/$V$135</f>
        <v>0.2628890654460409</v>
      </c>
      <c r="Y131" s="19"/>
      <c r="Z131" s="19" t="s">
        <v>57</v>
      </c>
      <c r="AA131" s="19"/>
      <c r="AB131" s="19"/>
      <c r="AC131" s="19"/>
      <c r="AD131" s="20">
        <v>4073</v>
      </c>
      <c r="AE131" s="19"/>
      <c r="AF131" s="22">
        <v>0.4564608315588928</v>
      </c>
      <c r="AG131" s="19"/>
      <c r="AH131" s="21">
        <v>14041345.08000002</v>
      </c>
      <c r="AI131" s="19"/>
      <c r="AJ131" s="22">
        <v>0.36237332658853594</v>
      </c>
    </row>
    <row r="132" spans="1:36" ht="12.75">
      <c r="A132" s="57"/>
      <c r="B132" s="19"/>
      <c r="C132" s="19"/>
      <c r="D132" s="19"/>
      <c r="E132" s="20"/>
      <c r="F132" s="19"/>
      <c r="G132" s="19"/>
      <c r="H132" s="19"/>
      <c r="I132" s="21"/>
      <c r="J132" s="19"/>
      <c r="K132" s="19"/>
      <c r="L132" s="19"/>
      <c r="M132" s="19"/>
      <c r="N132" s="19" t="s">
        <v>58</v>
      </c>
      <c r="O132" s="19"/>
      <c r="P132" s="19"/>
      <c r="Q132" s="19"/>
      <c r="R132" s="20">
        <v>459</v>
      </c>
      <c r="S132" s="19"/>
      <c r="T132" s="22">
        <f>+R132/$R$135</f>
        <v>0.04558093346573982</v>
      </c>
      <c r="U132" s="19"/>
      <c r="V132" s="21">
        <v>1216646.11</v>
      </c>
      <c r="W132" s="19"/>
      <c r="X132" s="22">
        <f>+V132/$V$135</f>
        <v>0.02670710641925935</v>
      </c>
      <c r="Y132" s="19"/>
      <c r="Z132" s="19" t="s">
        <v>58</v>
      </c>
      <c r="AA132" s="19"/>
      <c r="AB132" s="19"/>
      <c r="AC132" s="19"/>
      <c r="AD132" s="20">
        <v>839</v>
      </c>
      <c r="AE132" s="19"/>
      <c r="AF132" s="22">
        <v>0.09402667264372969</v>
      </c>
      <c r="AG132" s="19"/>
      <c r="AH132" s="21">
        <v>2178243.2</v>
      </c>
      <c r="AI132" s="19"/>
      <c r="AJ132" s="22">
        <v>0.05621521513826764</v>
      </c>
    </row>
    <row r="133" spans="1:36" ht="12.75">
      <c r="A133" s="19"/>
      <c r="B133" s="19"/>
      <c r="C133" s="19"/>
      <c r="D133" s="19"/>
      <c r="E133" s="20">
        <v>1998</v>
      </c>
      <c r="F133" s="19"/>
      <c r="G133" s="22">
        <v>1</v>
      </c>
      <c r="H133" s="19"/>
      <c r="I133" s="21">
        <v>12995446.2</v>
      </c>
      <c r="J133" s="19"/>
      <c r="K133" s="22">
        <v>1</v>
      </c>
      <c r="L133" s="19"/>
      <c r="M133" s="19"/>
      <c r="N133" s="19" t="s">
        <v>59</v>
      </c>
      <c r="O133" s="19"/>
      <c r="P133" s="19"/>
      <c r="Q133" s="19"/>
      <c r="R133" s="20">
        <v>0</v>
      </c>
      <c r="S133" s="19"/>
      <c r="T133" s="22">
        <f>+R133/$R$135</f>
        <v>0</v>
      </c>
      <c r="U133" s="19"/>
      <c r="V133" s="21">
        <v>0</v>
      </c>
      <c r="W133" s="19"/>
      <c r="X133" s="22">
        <f>+V133/$V$135</f>
        <v>0</v>
      </c>
      <c r="Y133" s="19"/>
      <c r="Z133" s="19" t="s">
        <v>59</v>
      </c>
      <c r="AA133" s="19"/>
      <c r="AB133" s="19"/>
      <c r="AC133" s="19"/>
      <c r="AD133" s="20">
        <v>4</v>
      </c>
      <c r="AE133" s="19"/>
      <c r="AF133" s="22">
        <v>0.0004482797265493668</v>
      </c>
      <c r="AG133" s="19"/>
      <c r="AH133" s="21">
        <v>16322.56</v>
      </c>
      <c r="AI133" s="19"/>
      <c r="AJ133" s="22">
        <v>0.0004212459940227439</v>
      </c>
    </row>
    <row r="134" spans="1:36" ht="12.75">
      <c r="A134" s="19" t="s">
        <v>55</v>
      </c>
      <c r="B134" s="19"/>
      <c r="C134" s="19"/>
      <c r="D134" s="19"/>
      <c r="E134" s="20"/>
      <c r="F134" s="19"/>
      <c r="G134" s="19"/>
      <c r="H134" s="19"/>
      <c r="I134" s="21"/>
      <c r="J134" s="19"/>
      <c r="K134" s="19"/>
      <c r="L134" s="19"/>
      <c r="M134" s="19"/>
      <c r="N134" s="19"/>
      <c r="O134" s="19"/>
      <c r="P134" s="19"/>
      <c r="Q134" s="19"/>
      <c r="R134" s="20"/>
      <c r="S134" s="19"/>
      <c r="T134" s="19"/>
      <c r="U134" s="19"/>
      <c r="V134" s="21"/>
      <c r="W134" s="19"/>
      <c r="X134" s="19"/>
      <c r="Y134" s="19"/>
      <c r="Z134" s="19"/>
      <c r="AA134" s="19"/>
      <c r="AB134" s="19"/>
      <c r="AC134" s="19"/>
      <c r="AD134" s="20"/>
      <c r="AE134" s="19"/>
      <c r="AF134" s="19"/>
      <c r="AG134" s="19"/>
      <c r="AH134" s="21"/>
      <c r="AI134" s="19"/>
      <c r="AJ134" s="19"/>
    </row>
    <row r="135" spans="1:36" s="16" customFormat="1" ht="13.5" thickBot="1">
      <c r="A135" s="46"/>
      <c r="B135" s="47"/>
      <c r="C135" s="47"/>
      <c r="D135" s="47"/>
      <c r="E135" s="80">
        <v>1998</v>
      </c>
      <c r="F135" s="47"/>
      <c r="G135" s="47"/>
      <c r="H135" s="47"/>
      <c r="I135" s="78">
        <v>12995446.2</v>
      </c>
      <c r="J135" s="47"/>
      <c r="K135" s="47"/>
      <c r="L135" s="47"/>
      <c r="M135" s="47"/>
      <c r="N135" s="19"/>
      <c r="O135" s="57"/>
      <c r="P135" s="57"/>
      <c r="Q135" s="57"/>
      <c r="R135" s="88">
        <f>SUM(R129:R134)</f>
        <v>10070</v>
      </c>
      <c r="S135" s="57"/>
      <c r="T135" s="82"/>
      <c r="U135" s="57"/>
      <c r="V135" s="90">
        <f>SUM(V129:V134)</f>
        <v>45555145.170000054</v>
      </c>
      <c r="W135" s="57"/>
      <c r="X135" s="57"/>
      <c r="Y135" s="47"/>
      <c r="Z135" s="19"/>
      <c r="AA135" s="57"/>
      <c r="AB135" s="57"/>
      <c r="AC135" s="57"/>
      <c r="AD135" s="88">
        <v>8923</v>
      </c>
      <c r="AE135" s="57"/>
      <c r="AF135" s="82"/>
      <c r="AG135" s="57"/>
      <c r="AH135" s="90">
        <v>38748285.40000006</v>
      </c>
      <c r="AI135" s="57"/>
      <c r="AJ135" s="57"/>
    </row>
    <row r="136" spans="1:36" ht="13.5" thickTop="1">
      <c r="A136" s="57"/>
      <c r="B136" s="19"/>
      <c r="C136" s="19"/>
      <c r="D136" s="19"/>
      <c r="E136" s="20"/>
      <c r="F136" s="19"/>
      <c r="G136" s="19"/>
      <c r="H136" s="19"/>
      <c r="I136" s="21"/>
      <c r="J136" s="19"/>
      <c r="K136" s="19"/>
      <c r="L136" s="19"/>
      <c r="M136" s="19"/>
      <c r="N136" s="57"/>
      <c r="O136" s="19"/>
      <c r="P136" s="19"/>
      <c r="Q136" s="19"/>
      <c r="R136" s="20"/>
      <c r="S136" s="19"/>
      <c r="T136" s="19"/>
      <c r="U136" s="19"/>
      <c r="V136" s="21"/>
      <c r="W136" s="19"/>
      <c r="X136" s="19"/>
      <c r="Y136" s="19"/>
      <c r="Z136" s="57"/>
      <c r="AA136" s="19"/>
      <c r="AB136" s="19"/>
      <c r="AC136" s="19"/>
      <c r="AD136" s="20"/>
      <c r="AE136" s="19"/>
      <c r="AF136" s="19"/>
      <c r="AG136" s="19"/>
      <c r="AH136" s="21"/>
      <c r="AI136" s="19"/>
      <c r="AJ136" s="19"/>
    </row>
    <row r="137" spans="1:36" ht="12.75">
      <c r="A137" s="19"/>
      <c r="B137" s="19"/>
      <c r="C137" s="19"/>
      <c r="D137" s="19"/>
      <c r="E137" s="20"/>
      <c r="F137" s="19"/>
      <c r="G137" s="19"/>
      <c r="H137" s="19"/>
      <c r="I137" s="21"/>
      <c r="J137" s="19"/>
      <c r="K137" s="19"/>
      <c r="L137" s="19"/>
      <c r="M137" s="19"/>
      <c r="N137" s="19"/>
      <c r="O137" s="19"/>
      <c r="P137" s="19"/>
      <c r="Q137" s="19"/>
      <c r="R137" s="20"/>
      <c r="S137" s="19"/>
      <c r="T137" s="19"/>
      <c r="U137" s="19"/>
      <c r="V137" s="21"/>
      <c r="W137" s="19"/>
      <c r="X137" s="19"/>
      <c r="Y137" s="19"/>
      <c r="Z137" s="19"/>
      <c r="AA137" s="19"/>
      <c r="AB137" s="19"/>
      <c r="AC137" s="19"/>
      <c r="AD137" s="20"/>
      <c r="AE137" s="19"/>
      <c r="AF137" s="19"/>
      <c r="AG137" s="19"/>
      <c r="AH137" s="21"/>
      <c r="AI137" s="19"/>
      <c r="AJ137" s="19"/>
    </row>
    <row r="138" spans="1:36" ht="12.75">
      <c r="A138" s="19"/>
      <c r="B138" s="19"/>
      <c r="C138" s="19"/>
      <c r="D138" s="19"/>
      <c r="E138" s="20"/>
      <c r="F138" s="19"/>
      <c r="G138" s="19"/>
      <c r="H138" s="19"/>
      <c r="I138" s="21"/>
      <c r="J138" s="19"/>
      <c r="K138" s="19"/>
      <c r="L138" s="19"/>
      <c r="M138" s="19"/>
      <c r="N138" s="19"/>
      <c r="O138" s="19"/>
      <c r="P138" s="19"/>
      <c r="Q138" s="19"/>
      <c r="R138" s="20"/>
      <c r="S138" s="19"/>
      <c r="T138" s="19"/>
      <c r="U138" s="19"/>
      <c r="V138" s="21"/>
      <c r="W138" s="19"/>
      <c r="X138" s="19"/>
      <c r="Y138" s="19"/>
      <c r="Z138" s="19"/>
      <c r="AA138" s="19"/>
      <c r="AB138" s="19"/>
      <c r="AC138" s="19"/>
      <c r="AD138" s="20"/>
      <c r="AE138" s="19"/>
      <c r="AF138" s="19"/>
      <c r="AG138" s="19"/>
      <c r="AH138" s="21"/>
      <c r="AI138" s="19"/>
      <c r="AJ138" s="19"/>
    </row>
    <row r="139" spans="1:36" ht="12.75">
      <c r="A139" s="19"/>
      <c r="B139" s="19"/>
      <c r="C139" s="19"/>
      <c r="D139" s="19"/>
      <c r="E139" s="20"/>
      <c r="F139" s="19"/>
      <c r="G139" s="19"/>
      <c r="H139" s="19"/>
      <c r="I139" s="21"/>
      <c r="J139" s="19"/>
      <c r="K139" s="19"/>
      <c r="L139" s="19"/>
      <c r="M139" s="19"/>
      <c r="N139" s="19"/>
      <c r="O139" s="19"/>
      <c r="P139" s="19"/>
      <c r="Q139" s="19"/>
      <c r="R139" s="20"/>
      <c r="S139" s="19"/>
      <c r="T139" s="19"/>
      <c r="U139" s="19"/>
      <c r="V139" s="21"/>
      <c r="W139" s="19"/>
      <c r="X139" s="19"/>
      <c r="Y139" s="19"/>
      <c r="Z139" s="19"/>
      <c r="AA139" s="19"/>
      <c r="AB139" s="19"/>
      <c r="AC139" s="19"/>
      <c r="AD139" s="20"/>
      <c r="AE139" s="19"/>
      <c r="AF139" s="19"/>
      <c r="AG139" s="19"/>
      <c r="AH139" s="21"/>
      <c r="AI139" s="19"/>
      <c r="AJ139" s="19"/>
    </row>
    <row r="140" spans="1:36" s="15" customFormat="1" ht="12.75">
      <c r="A140" s="55" t="s">
        <v>91</v>
      </c>
      <c r="B140" s="46"/>
      <c r="C140" s="46"/>
      <c r="D140" s="46"/>
      <c r="E140" s="48"/>
      <c r="F140" s="46"/>
      <c r="G140" s="46"/>
      <c r="H140" s="46"/>
      <c r="I140" s="49"/>
      <c r="J140" s="46"/>
      <c r="K140" s="46"/>
      <c r="L140" s="46"/>
      <c r="M140" s="46"/>
      <c r="N140" s="55" t="s">
        <v>91</v>
      </c>
      <c r="O140" s="19"/>
      <c r="P140" s="19"/>
      <c r="Q140" s="19"/>
      <c r="R140" s="20"/>
      <c r="S140" s="19"/>
      <c r="T140" s="19"/>
      <c r="U140" s="19"/>
      <c r="V140" s="21"/>
      <c r="W140" s="19"/>
      <c r="X140" s="19"/>
      <c r="Y140" s="46"/>
      <c r="Z140" s="55" t="s">
        <v>91</v>
      </c>
      <c r="AA140" s="19"/>
      <c r="AB140" s="19"/>
      <c r="AC140" s="19"/>
      <c r="AD140" s="20"/>
      <c r="AE140" s="19"/>
      <c r="AF140" s="19"/>
      <c r="AG140" s="19"/>
      <c r="AH140" s="21"/>
      <c r="AI140" s="19"/>
      <c r="AJ140" s="19"/>
    </row>
    <row r="141" spans="1:36" ht="12.75">
      <c r="A141" s="58"/>
      <c r="B141" s="19"/>
      <c r="C141" s="19"/>
      <c r="D141" s="19"/>
      <c r="E141" s="20"/>
      <c r="F141" s="19"/>
      <c r="G141" s="19"/>
      <c r="H141" s="19"/>
      <c r="I141" s="21"/>
      <c r="J141" s="19"/>
      <c r="K141" s="19"/>
      <c r="L141" s="19"/>
      <c r="M141" s="19"/>
      <c r="N141" s="58"/>
      <c r="O141" s="19"/>
      <c r="P141" s="19"/>
      <c r="Q141" s="19"/>
      <c r="R141" s="20"/>
      <c r="S141" s="19"/>
      <c r="T141" s="19"/>
      <c r="U141" s="19"/>
      <c r="V141" s="21"/>
      <c r="W141" s="19"/>
      <c r="X141" s="19"/>
      <c r="Y141" s="19"/>
      <c r="Z141" s="58"/>
      <c r="AA141" s="19"/>
      <c r="AB141" s="19"/>
      <c r="AC141" s="19"/>
      <c r="AD141" s="20"/>
      <c r="AE141" s="19"/>
      <c r="AF141" s="19"/>
      <c r="AG141" s="19"/>
      <c r="AH141" s="21"/>
      <c r="AI141" s="19"/>
      <c r="AJ141" s="19"/>
    </row>
    <row r="142" spans="1:36" s="17" customFormat="1" ht="12.75">
      <c r="A142" s="69"/>
      <c r="B142" s="66"/>
      <c r="C142" s="66"/>
      <c r="D142" s="66"/>
      <c r="E142" s="67" t="s">
        <v>83</v>
      </c>
      <c r="F142" s="66"/>
      <c r="G142" s="66" t="s">
        <v>84</v>
      </c>
      <c r="H142" s="66"/>
      <c r="I142" s="68" t="s">
        <v>85</v>
      </c>
      <c r="J142" s="66"/>
      <c r="K142" s="66" t="s">
        <v>84</v>
      </c>
      <c r="L142" s="69"/>
      <c r="M142" s="69"/>
      <c r="N142" s="19"/>
      <c r="O142" s="57"/>
      <c r="P142" s="57"/>
      <c r="Q142" s="57"/>
      <c r="R142" s="67" t="s">
        <v>83</v>
      </c>
      <c r="S142" s="66"/>
      <c r="T142" s="66" t="s">
        <v>84</v>
      </c>
      <c r="U142" s="66"/>
      <c r="V142" s="68" t="s">
        <v>85</v>
      </c>
      <c r="W142" s="66"/>
      <c r="X142" s="66" t="s">
        <v>84</v>
      </c>
      <c r="Y142" s="69"/>
      <c r="Z142" s="19"/>
      <c r="AA142" s="57"/>
      <c r="AB142" s="57"/>
      <c r="AC142" s="57"/>
      <c r="AD142" s="67" t="s">
        <v>83</v>
      </c>
      <c r="AE142" s="66"/>
      <c r="AF142" s="66" t="s">
        <v>84</v>
      </c>
      <c r="AG142" s="66"/>
      <c r="AH142" s="68" t="s">
        <v>85</v>
      </c>
      <c r="AI142" s="66"/>
      <c r="AJ142" s="66" t="s">
        <v>84</v>
      </c>
    </row>
    <row r="143" spans="1:36" ht="12.75">
      <c r="A143" s="57"/>
      <c r="B143" s="19"/>
      <c r="C143" s="19"/>
      <c r="D143" s="19"/>
      <c r="E143" s="20"/>
      <c r="F143" s="19"/>
      <c r="G143" s="19"/>
      <c r="H143" s="19"/>
      <c r="I143" s="21"/>
      <c r="J143" s="19"/>
      <c r="K143" s="19"/>
      <c r="L143" s="19"/>
      <c r="M143" s="19"/>
      <c r="N143" s="57"/>
      <c r="O143" s="19"/>
      <c r="P143" s="19"/>
      <c r="Q143" s="19"/>
      <c r="R143" s="20"/>
      <c r="S143" s="19"/>
      <c r="T143" s="19"/>
      <c r="U143" s="19"/>
      <c r="V143" s="21"/>
      <c r="W143" s="19"/>
      <c r="X143" s="19"/>
      <c r="Y143" s="19"/>
      <c r="Z143" s="57"/>
      <c r="AA143" s="19"/>
      <c r="AB143" s="19"/>
      <c r="AC143" s="19"/>
      <c r="AD143" s="20"/>
      <c r="AE143" s="19"/>
      <c r="AF143" s="19"/>
      <c r="AG143" s="19"/>
      <c r="AH143" s="21"/>
      <c r="AI143" s="19"/>
      <c r="AJ143" s="19"/>
    </row>
    <row r="144" spans="1:36" ht="12.75">
      <c r="A144" s="19" t="s">
        <v>3</v>
      </c>
      <c r="B144" s="19"/>
      <c r="C144" s="19"/>
      <c r="D144" s="19"/>
      <c r="E144" s="20">
        <v>1949</v>
      </c>
      <c r="F144" s="19"/>
      <c r="G144" s="22">
        <v>0.9754754754754755</v>
      </c>
      <c r="H144" s="19"/>
      <c r="I144" s="21">
        <v>12622245.13</v>
      </c>
      <c r="J144" s="19"/>
      <c r="K144" s="22">
        <v>0.9742810039225049</v>
      </c>
      <c r="L144" s="19"/>
      <c r="M144" s="19"/>
      <c r="N144" s="19" t="s">
        <v>3</v>
      </c>
      <c r="O144" s="19"/>
      <c r="P144" s="19"/>
      <c r="Q144" s="19"/>
      <c r="R144" s="20">
        <v>9696</v>
      </c>
      <c r="S144" s="19"/>
      <c r="T144" s="22">
        <f>+R144/$R$158</f>
        <v>0.9628599801390268</v>
      </c>
      <c r="U144" s="19"/>
      <c r="V144" s="21">
        <v>43330213.96</v>
      </c>
      <c r="W144" s="19"/>
      <c r="X144" s="22">
        <f>+V144/$V$158</f>
        <v>0.9511596066328593</v>
      </c>
      <c r="Y144" s="19"/>
      <c r="Z144" s="19" t="s">
        <v>3</v>
      </c>
      <c r="AA144" s="19"/>
      <c r="AB144" s="19"/>
      <c r="AC144" s="19"/>
      <c r="AD144" s="20">
        <v>8530</v>
      </c>
      <c r="AE144" s="19"/>
      <c r="AF144" s="22">
        <f>+AD144/$AD$158</f>
        <v>0.9559565168665247</v>
      </c>
      <c r="AG144" s="19"/>
      <c r="AH144" s="21">
        <v>36302075.66</v>
      </c>
      <c r="AI144" s="19"/>
      <c r="AJ144" s="22">
        <f>+AH144/$AH$158</f>
        <v>0.9368692133149201</v>
      </c>
    </row>
    <row r="145" spans="1:36" ht="12.75">
      <c r="A145" s="19" t="s">
        <v>4</v>
      </c>
      <c r="B145" s="19"/>
      <c r="C145" s="19"/>
      <c r="D145" s="19"/>
      <c r="E145" s="20">
        <v>34</v>
      </c>
      <c r="F145" s="19"/>
      <c r="G145" s="22">
        <v>0.01701701701701702</v>
      </c>
      <c r="H145" s="19"/>
      <c r="I145" s="21">
        <v>223506.39</v>
      </c>
      <c r="J145" s="19"/>
      <c r="K145" s="22">
        <v>0.01725192529455296</v>
      </c>
      <c r="L145" s="19"/>
      <c r="M145" s="19"/>
      <c r="N145" s="19" t="s">
        <v>4</v>
      </c>
      <c r="O145" s="19"/>
      <c r="P145" s="19"/>
      <c r="Q145" s="19"/>
      <c r="R145" s="20">
        <v>131</v>
      </c>
      <c r="S145" s="19"/>
      <c r="T145" s="22">
        <f aca="true" t="shared" si="10" ref="T145:T156">+R145/$R$158</f>
        <v>0.01300893743793446</v>
      </c>
      <c r="U145" s="19"/>
      <c r="V145" s="21">
        <v>550006.38</v>
      </c>
      <c r="W145" s="19"/>
      <c r="X145" s="22">
        <f aca="true" t="shared" si="11" ref="X145:X156">+V145/$V$158</f>
        <v>0.01207341954344605</v>
      </c>
      <c r="Y145" s="19"/>
      <c r="Z145" s="19" t="s">
        <v>4</v>
      </c>
      <c r="AA145" s="19"/>
      <c r="AB145" s="19"/>
      <c r="AC145" s="19"/>
      <c r="AD145" s="20">
        <v>134</v>
      </c>
      <c r="AE145" s="19"/>
      <c r="AF145" s="22">
        <f aca="true" t="shared" si="12" ref="AF145:AF156">+AD145/$AD$158</f>
        <v>0.015017370839403788</v>
      </c>
      <c r="AG145" s="19"/>
      <c r="AH145" s="21">
        <v>501491.82</v>
      </c>
      <c r="AI145" s="19"/>
      <c r="AJ145" s="22">
        <f aca="true" t="shared" si="13" ref="AJ145:AJ156">+AH145/$AH$158</f>
        <v>0.012942297054516898</v>
      </c>
    </row>
    <row r="146" spans="1:36" ht="12.75">
      <c r="A146" s="19" t="s">
        <v>5</v>
      </c>
      <c r="B146" s="19"/>
      <c r="C146" s="19"/>
      <c r="D146" s="19"/>
      <c r="E146" s="20">
        <v>4</v>
      </c>
      <c r="F146" s="19"/>
      <c r="G146" s="22">
        <v>0.002002002002002002</v>
      </c>
      <c r="H146" s="19"/>
      <c r="I146" s="21">
        <v>25225.65</v>
      </c>
      <c r="J146" s="19"/>
      <c r="K146" s="22">
        <v>0.0019471077731000885</v>
      </c>
      <c r="L146" s="19"/>
      <c r="M146" s="19"/>
      <c r="N146" s="19" t="s">
        <v>5</v>
      </c>
      <c r="O146" s="19"/>
      <c r="P146" s="19"/>
      <c r="Q146" s="19"/>
      <c r="R146" s="20">
        <v>45</v>
      </c>
      <c r="S146" s="19"/>
      <c r="T146" s="22">
        <f t="shared" si="10"/>
        <v>0.004468718967229395</v>
      </c>
      <c r="U146" s="19"/>
      <c r="V146" s="21">
        <v>155704.18</v>
      </c>
      <c r="W146" s="19"/>
      <c r="X146" s="22">
        <f t="shared" si="11"/>
        <v>0.0034179274244204977</v>
      </c>
      <c r="Y146" s="19"/>
      <c r="Z146" s="19" t="s">
        <v>5</v>
      </c>
      <c r="AA146" s="19"/>
      <c r="AB146" s="19"/>
      <c r="AC146" s="19"/>
      <c r="AD146" s="20">
        <v>48</v>
      </c>
      <c r="AE146" s="19"/>
      <c r="AF146" s="22">
        <f t="shared" si="12"/>
        <v>0.005379356718592402</v>
      </c>
      <c r="AG146" s="19"/>
      <c r="AH146" s="21">
        <v>166573.69</v>
      </c>
      <c r="AI146" s="19"/>
      <c r="AJ146" s="22">
        <f t="shared" si="13"/>
        <v>0.004298866086084935</v>
      </c>
    </row>
    <row r="147" spans="1:36" ht="12.75">
      <c r="A147" s="19" t="s">
        <v>6</v>
      </c>
      <c r="B147" s="19"/>
      <c r="C147" s="19"/>
      <c r="D147" s="19"/>
      <c r="E147" s="20">
        <v>5</v>
      </c>
      <c r="F147" s="19"/>
      <c r="G147" s="22">
        <v>0.0025025025025025025</v>
      </c>
      <c r="H147" s="19"/>
      <c r="I147" s="21">
        <v>33666.79</v>
      </c>
      <c r="J147" s="19"/>
      <c r="K147" s="22">
        <v>0.0025986592418561394</v>
      </c>
      <c r="L147" s="19"/>
      <c r="M147" s="19"/>
      <c r="N147" s="19" t="s">
        <v>6</v>
      </c>
      <c r="O147" s="19"/>
      <c r="P147" s="19"/>
      <c r="Q147" s="19"/>
      <c r="R147" s="20">
        <v>33</v>
      </c>
      <c r="S147" s="19"/>
      <c r="T147" s="22">
        <f t="shared" si="10"/>
        <v>0.0032770605759682224</v>
      </c>
      <c r="U147" s="19"/>
      <c r="V147" s="21">
        <v>139064.61</v>
      </c>
      <c r="W147" s="19"/>
      <c r="X147" s="22">
        <f t="shared" si="11"/>
        <v>0.0030526652803112993</v>
      </c>
      <c r="Y147" s="19"/>
      <c r="Z147" s="19" t="s">
        <v>6</v>
      </c>
      <c r="AA147" s="19"/>
      <c r="AB147" s="19"/>
      <c r="AC147" s="19"/>
      <c r="AD147" s="20">
        <v>26</v>
      </c>
      <c r="AE147" s="19"/>
      <c r="AF147" s="22">
        <f t="shared" si="12"/>
        <v>0.0029138182225708843</v>
      </c>
      <c r="AG147" s="19"/>
      <c r="AH147" s="21">
        <v>107112.9</v>
      </c>
      <c r="AI147" s="19"/>
      <c r="AJ147" s="22">
        <f t="shared" si="13"/>
        <v>0.002764326186159453</v>
      </c>
    </row>
    <row r="148" spans="1:36" ht="12.75">
      <c r="A148" s="19" t="s">
        <v>7</v>
      </c>
      <c r="B148" s="19"/>
      <c r="C148" s="19"/>
      <c r="D148" s="19"/>
      <c r="E148" s="20">
        <v>4</v>
      </c>
      <c r="F148" s="19"/>
      <c r="G148" s="22">
        <v>0.002002002002002002</v>
      </c>
      <c r="H148" s="19"/>
      <c r="I148" s="21">
        <v>28394.93</v>
      </c>
      <c r="J148" s="19"/>
      <c r="K148" s="22">
        <v>0.002191736939172346</v>
      </c>
      <c r="L148" s="19"/>
      <c r="M148" s="19"/>
      <c r="N148" s="19" t="s">
        <v>7</v>
      </c>
      <c r="O148" s="19"/>
      <c r="P148" s="19"/>
      <c r="Q148" s="19"/>
      <c r="R148" s="20">
        <v>12</v>
      </c>
      <c r="S148" s="19"/>
      <c r="T148" s="22">
        <f t="shared" si="10"/>
        <v>0.0011916583912611719</v>
      </c>
      <c r="U148" s="19"/>
      <c r="V148" s="21">
        <v>83516.07</v>
      </c>
      <c r="W148" s="19"/>
      <c r="X148" s="22">
        <f t="shared" si="11"/>
        <v>0.0018332961005467037</v>
      </c>
      <c r="Y148" s="19"/>
      <c r="Z148" s="19" t="s">
        <v>7</v>
      </c>
      <c r="AA148" s="19"/>
      <c r="AB148" s="19"/>
      <c r="AC148" s="19"/>
      <c r="AD148" s="20">
        <v>21</v>
      </c>
      <c r="AE148" s="19"/>
      <c r="AF148" s="22">
        <f t="shared" si="12"/>
        <v>0.0023534685643841757</v>
      </c>
      <c r="AG148" s="19"/>
      <c r="AH148" s="21">
        <v>108663.26</v>
      </c>
      <c r="AI148" s="19"/>
      <c r="AJ148" s="22">
        <f t="shared" si="13"/>
        <v>0.0028043372468811232</v>
      </c>
    </row>
    <row r="149" spans="1:36" ht="12.75">
      <c r="A149" s="19" t="s">
        <v>8</v>
      </c>
      <c r="B149" s="19"/>
      <c r="C149" s="19"/>
      <c r="D149" s="19"/>
      <c r="E149" s="20">
        <v>0</v>
      </c>
      <c r="F149" s="19"/>
      <c r="G149" s="22">
        <v>0</v>
      </c>
      <c r="H149" s="19"/>
      <c r="I149" s="21">
        <v>0</v>
      </c>
      <c r="J149" s="19"/>
      <c r="K149" s="22">
        <v>0</v>
      </c>
      <c r="L149" s="19"/>
      <c r="M149" s="19"/>
      <c r="N149" s="19" t="s">
        <v>8</v>
      </c>
      <c r="O149" s="19"/>
      <c r="P149" s="19"/>
      <c r="Q149" s="19"/>
      <c r="R149" s="20">
        <v>18</v>
      </c>
      <c r="S149" s="19"/>
      <c r="T149" s="22">
        <f t="shared" si="10"/>
        <v>0.0017874875868917578</v>
      </c>
      <c r="U149" s="19"/>
      <c r="V149" s="21">
        <v>67483.9</v>
      </c>
      <c r="W149" s="19"/>
      <c r="X149" s="22">
        <f t="shared" si="11"/>
        <v>0.0014813672472816749</v>
      </c>
      <c r="Y149" s="19"/>
      <c r="Z149" s="19" t="s">
        <v>8</v>
      </c>
      <c r="AA149" s="19"/>
      <c r="AB149" s="19"/>
      <c r="AC149" s="19"/>
      <c r="AD149" s="20">
        <v>15</v>
      </c>
      <c r="AE149" s="19"/>
      <c r="AF149" s="22">
        <f t="shared" si="12"/>
        <v>0.0016810489745601256</v>
      </c>
      <c r="AG149" s="19"/>
      <c r="AH149" s="21">
        <v>78142.24</v>
      </c>
      <c r="AI149" s="19"/>
      <c r="AJ149" s="22">
        <f t="shared" si="13"/>
        <v>0.0020166631682753122</v>
      </c>
    </row>
    <row r="150" spans="1:36" ht="12.75">
      <c r="A150" s="19" t="s">
        <v>9</v>
      </c>
      <c r="B150" s="19"/>
      <c r="C150" s="19"/>
      <c r="D150" s="19"/>
      <c r="E150" s="20">
        <v>1</v>
      </c>
      <c r="F150" s="19"/>
      <c r="G150" s="22">
        <v>0.0005005005005005005</v>
      </c>
      <c r="H150" s="19"/>
      <c r="I150" s="21">
        <v>10147.94</v>
      </c>
      <c r="J150" s="19"/>
      <c r="K150" s="22">
        <v>0.0007832952909024469</v>
      </c>
      <c r="L150" s="19"/>
      <c r="M150" s="19"/>
      <c r="N150" s="19" t="s">
        <v>9</v>
      </c>
      <c r="O150" s="19"/>
      <c r="P150" s="19"/>
      <c r="Q150" s="19"/>
      <c r="R150" s="20">
        <v>11</v>
      </c>
      <c r="S150" s="19"/>
      <c r="T150" s="22">
        <f t="shared" si="10"/>
        <v>0.0010923535253227407</v>
      </c>
      <c r="U150" s="19"/>
      <c r="V150" s="21">
        <v>57610.29</v>
      </c>
      <c r="W150" s="19"/>
      <c r="X150" s="22">
        <f t="shared" si="11"/>
        <v>0.0012646275143019152</v>
      </c>
      <c r="Y150" s="19"/>
      <c r="Z150" s="19" t="s">
        <v>9</v>
      </c>
      <c r="AA150" s="19"/>
      <c r="AB150" s="19"/>
      <c r="AC150" s="19"/>
      <c r="AD150" s="20">
        <v>12</v>
      </c>
      <c r="AE150" s="19"/>
      <c r="AF150" s="22">
        <f t="shared" si="12"/>
        <v>0.0013448391796481004</v>
      </c>
      <c r="AG150" s="19"/>
      <c r="AH150" s="21">
        <v>55241.64</v>
      </c>
      <c r="AI150" s="19"/>
      <c r="AJ150" s="22">
        <f t="shared" si="13"/>
        <v>0.0014256537916384814</v>
      </c>
    </row>
    <row r="151" spans="1:36" ht="12.75">
      <c r="A151" s="19" t="s">
        <v>10</v>
      </c>
      <c r="B151" s="19"/>
      <c r="C151" s="19"/>
      <c r="D151" s="19"/>
      <c r="E151" s="20">
        <v>0</v>
      </c>
      <c r="F151" s="19"/>
      <c r="G151" s="22">
        <v>0</v>
      </c>
      <c r="H151" s="19"/>
      <c r="I151" s="21">
        <v>0</v>
      </c>
      <c r="J151" s="19"/>
      <c r="K151" s="22">
        <v>0</v>
      </c>
      <c r="L151" s="19"/>
      <c r="M151" s="19"/>
      <c r="N151" s="19" t="s">
        <v>10</v>
      </c>
      <c r="O151" s="19"/>
      <c r="P151" s="19"/>
      <c r="Q151" s="19"/>
      <c r="R151" s="20">
        <v>9</v>
      </c>
      <c r="S151" s="19"/>
      <c r="T151" s="22">
        <f t="shared" si="10"/>
        <v>0.0008937437934458789</v>
      </c>
      <c r="U151" s="19"/>
      <c r="V151" s="21">
        <v>83813.51</v>
      </c>
      <c r="W151" s="19"/>
      <c r="X151" s="22">
        <f t="shared" si="11"/>
        <v>0.0018398253300967362</v>
      </c>
      <c r="Y151" s="19"/>
      <c r="Z151" s="19" t="s">
        <v>10</v>
      </c>
      <c r="AA151" s="19"/>
      <c r="AB151" s="19"/>
      <c r="AC151" s="19"/>
      <c r="AD151" s="20">
        <v>11</v>
      </c>
      <c r="AE151" s="19"/>
      <c r="AF151" s="22">
        <f t="shared" si="12"/>
        <v>0.0012327692480107587</v>
      </c>
      <c r="AG151" s="19"/>
      <c r="AH151" s="21">
        <v>89163.68</v>
      </c>
      <c r="AI151" s="19"/>
      <c r="AJ151" s="22">
        <f t="shared" si="13"/>
        <v>0.0023011000120278873</v>
      </c>
    </row>
    <row r="152" spans="1:36" ht="12.75">
      <c r="A152" s="19" t="s">
        <v>11</v>
      </c>
      <c r="B152" s="19"/>
      <c r="C152" s="19"/>
      <c r="D152" s="19"/>
      <c r="E152" s="20">
        <v>1</v>
      </c>
      <c r="F152" s="19"/>
      <c r="G152" s="22">
        <v>0.0005005005005005005</v>
      </c>
      <c r="H152" s="19"/>
      <c r="I152" s="21">
        <v>12259.37</v>
      </c>
      <c r="J152" s="19"/>
      <c r="K152" s="22">
        <v>0.0009462715379112146</v>
      </c>
      <c r="L152" s="19"/>
      <c r="M152" s="19"/>
      <c r="N152" s="19" t="s">
        <v>11</v>
      </c>
      <c r="O152" s="19"/>
      <c r="P152" s="19"/>
      <c r="Q152" s="19"/>
      <c r="R152" s="20">
        <v>4</v>
      </c>
      <c r="S152" s="19"/>
      <c r="T152" s="22">
        <f t="shared" si="10"/>
        <v>0.00039721946375372393</v>
      </c>
      <c r="U152" s="19"/>
      <c r="V152" s="21">
        <v>22151.8</v>
      </c>
      <c r="W152" s="19"/>
      <c r="X152" s="22">
        <f t="shared" si="11"/>
        <v>0.0004862634048763366</v>
      </c>
      <c r="Y152" s="19"/>
      <c r="Z152" s="19" t="s">
        <v>11</v>
      </c>
      <c r="AA152" s="19"/>
      <c r="AB152" s="19"/>
      <c r="AC152" s="19"/>
      <c r="AD152" s="20">
        <v>11</v>
      </c>
      <c r="AE152" s="19"/>
      <c r="AF152" s="22">
        <f t="shared" si="12"/>
        <v>0.0012327692480107587</v>
      </c>
      <c r="AG152" s="19"/>
      <c r="AH152" s="21">
        <v>59707.92</v>
      </c>
      <c r="AI152" s="19"/>
      <c r="AJ152" s="22">
        <f t="shared" si="13"/>
        <v>0.0015409177305171808</v>
      </c>
    </row>
    <row r="153" spans="1:36" ht="12.75">
      <c r="A153" s="19" t="s">
        <v>12</v>
      </c>
      <c r="B153" s="19"/>
      <c r="C153" s="19"/>
      <c r="D153" s="19"/>
      <c r="E153" s="20">
        <v>0</v>
      </c>
      <c r="F153" s="19"/>
      <c r="G153" s="22">
        <v>0</v>
      </c>
      <c r="H153" s="19"/>
      <c r="I153" s="21">
        <v>0</v>
      </c>
      <c r="J153" s="19"/>
      <c r="K153" s="22">
        <v>0</v>
      </c>
      <c r="L153" s="19"/>
      <c r="M153" s="19"/>
      <c r="N153" s="19" t="s">
        <v>12</v>
      </c>
      <c r="O153" s="19"/>
      <c r="P153" s="19"/>
      <c r="Q153" s="19"/>
      <c r="R153" s="20">
        <v>11</v>
      </c>
      <c r="S153" s="19"/>
      <c r="T153" s="22">
        <f t="shared" si="10"/>
        <v>0.0010923535253227407</v>
      </c>
      <c r="U153" s="19"/>
      <c r="V153" s="21">
        <v>45213.23</v>
      </c>
      <c r="W153" s="19"/>
      <c r="X153" s="22">
        <f t="shared" si="11"/>
        <v>0.000992494477435555</v>
      </c>
      <c r="Y153" s="19"/>
      <c r="Z153" s="19" t="s">
        <v>12</v>
      </c>
      <c r="AA153" s="19"/>
      <c r="AB153" s="19"/>
      <c r="AC153" s="19"/>
      <c r="AD153" s="20">
        <v>8</v>
      </c>
      <c r="AE153" s="19"/>
      <c r="AF153" s="22">
        <f t="shared" si="12"/>
        <v>0.0008965594530987336</v>
      </c>
      <c r="AG153" s="19"/>
      <c r="AH153" s="21">
        <v>75560.53</v>
      </c>
      <c r="AI153" s="19"/>
      <c r="AJ153" s="22">
        <f t="shared" si="13"/>
        <v>0.0019500354459555007</v>
      </c>
    </row>
    <row r="154" spans="1:36" ht="12.75">
      <c r="A154" s="19" t="s">
        <v>13</v>
      </c>
      <c r="B154" s="19"/>
      <c r="C154" s="19"/>
      <c r="D154" s="19"/>
      <c r="E154" s="20">
        <v>0</v>
      </c>
      <c r="F154" s="19"/>
      <c r="G154" s="22">
        <v>0</v>
      </c>
      <c r="H154" s="19"/>
      <c r="I154" s="21">
        <v>0</v>
      </c>
      <c r="J154" s="19"/>
      <c r="K154" s="22">
        <v>0</v>
      </c>
      <c r="L154" s="19"/>
      <c r="M154" s="19"/>
      <c r="N154" s="19" t="s">
        <v>13</v>
      </c>
      <c r="O154" s="19"/>
      <c r="P154" s="19"/>
      <c r="Q154" s="19"/>
      <c r="R154" s="20">
        <v>8</v>
      </c>
      <c r="S154" s="19"/>
      <c r="T154" s="22">
        <f t="shared" si="10"/>
        <v>0.0007944389275074479</v>
      </c>
      <c r="U154" s="19"/>
      <c r="V154" s="21">
        <v>39998.59</v>
      </c>
      <c r="W154" s="19"/>
      <c r="X154" s="22">
        <f t="shared" si="11"/>
        <v>0.0008780257389310388</v>
      </c>
      <c r="Y154" s="19"/>
      <c r="Z154" s="19" t="s">
        <v>13</v>
      </c>
      <c r="AA154" s="19"/>
      <c r="AB154" s="19"/>
      <c r="AC154" s="19"/>
      <c r="AD154" s="20">
        <v>7</v>
      </c>
      <c r="AE154" s="19"/>
      <c r="AF154" s="22">
        <f t="shared" si="12"/>
        <v>0.000784489521461392</v>
      </c>
      <c r="AG154" s="19"/>
      <c r="AH154" s="21">
        <v>81072.12</v>
      </c>
      <c r="AI154" s="19"/>
      <c r="AJ154" s="22">
        <f t="shared" si="13"/>
        <v>0.0020922763204381687</v>
      </c>
    </row>
    <row r="155" spans="1:36" ht="12.75">
      <c r="A155" s="19" t="s">
        <v>14</v>
      </c>
      <c r="B155" s="19"/>
      <c r="C155" s="19"/>
      <c r="D155" s="19"/>
      <c r="E155" s="20">
        <v>0</v>
      </c>
      <c r="F155" s="19"/>
      <c r="G155" s="22">
        <v>0</v>
      </c>
      <c r="H155" s="19"/>
      <c r="I155" s="21">
        <v>0</v>
      </c>
      <c r="J155" s="19"/>
      <c r="K155" s="22">
        <v>0</v>
      </c>
      <c r="L155" s="19"/>
      <c r="M155" s="19"/>
      <c r="N155" s="19" t="s">
        <v>14</v>
      </c>
      <c r="O155" s="19"/>
      <c r="P155" s="19"/>
      <c r="Q155" s="19"/>
      <c r="R155" s="20">
        <v>9</v>
      </c>
      <c r="S155" s="19"/>
      <c r="T155" s="22">
        <f t="shared" si="10"/>
        <v>0.0008937437934458789</v>
      </c>
      <c r="U155" s="19"/>
      <c r="V155" s="21">
        <v>66528.2</v>
      </c>
      <c r="W155" s="19"/>
      <c r="X155" s="22">
        <f t="shared" si="11"/>
        <v>0.0014603882778055912</v>
      </c>
      <c r="Y155" s="19"/>
      <c r="Z155" s="19" t="s">
        <v>14</v>
      </c>
      <c r="AA155" s="19"/>
      <c r="AB155" s="19"/>
      <c r="AC155" s="19"/>
      <c r="AD155" s="20">
        <v>5</v>
      </c>
      <c r="AE155" s="19"/>
      <c r="AF155" s="22">
        <f t="shared" si="12"/>
        <v>0.0005603496581867085</v>
      </c>
      <c r="AG155" s="19"/>
      <c r="AH155" s="21">
        <v>24810.39</v>
      </c>
      <c r="AI155" s="19"/>
      <c r="AJ155" s="22">
        <f t="shared" si="13"/>
        <v>0.0006402964607048137</v>
      </c>
    </row>
    <row r="156" spans="1:36" ht="12.75">
      <c r="A156" s="19" t="s">
        <v>15</v>
      </c>
      <c r="B156" s="19"/>
      <c r="C156" s="19"/>
      <c r="D156" s="19"/>
      <c r="E156" s="20">
        <v>0</v>
      </c>
      <c r="F156" s="19"/>
      <c r="G156" s="22">
        <v>0</v>
      </c>
      <c r="H156" s="19"/>
      <c r="I156" s="21">
        <v>0</v>
      </c>
      <c r="J156" s="19"/>
      <c r="K156" s="22">
        <v>0</v>
      </c>
      <c r="L156" s="19"/>
      <c r="M156" s="19"/>
      <c r="N156" s="19" t="s">
        <v>15</v>
      </c>
      <c r="O156" s="19"/>
      <c r="P156" s="19"/>
      <c r="Q156" s="19"/>
      <c r="R156" s="20">
        <v>83</v>
      </c>
      <c r="S156" s="19"/>
      <c r="T156" s="22">
        <f t="shared" si="10"/>
        <v>0.008242303872889772</v>
      </c>
      <c r="U156" s="19"/>
      <c r="V156" s="21">
        <f>1002896.16-89055.71</f>
        <v>913840.4500000001</v>
      </c>
      <c r="W156" s="19"/>
      <c r="X156" s="22">
        <f t="shared" si="11"/>
        <v>0.020060093027687305</v>
      </c>
      <c r="Y156" s="19"/>
      <c r="Z156" s="19" t="s">
        <v>15</v>
      </c>
      <c r="AA156" s="19"/>
      <c r="AB156" s="19"/>
      <c r="AC156" s="19"/>
      <c r="AD156" s="20">
        <v>95</v>
      </c>
      <c r="AE156" s="19"/>
      <c r="AF156" s="22">
        <f t="shared" si="12"/>
        <v>0.010646643505547462</v>
      </c>
      <c r="AG156" s="19"/>
      <c r="AH156" s="21">
        <v>1098669.55</v>
      </c>
      <c r="AI156" s="19"/>
      <c r="AJ156" s="22">
        <f t="shared" si="13"/>
        <v>0.028354017181880267</v>
      </c>
    </row>
    <row r="157" spans="1:36" ht="12.75">
      <c r="A157" s="19"/>
      <c r="B157" s="19"/>
      <c r="C157" s="19"/>
      <c r="D157" s="19"/>
      <c r="E157" s="20"/>
      <c r="F157" s="19"/>
      <c r="G157" s="19"/>
      <c r="H157" s="19"/>
      <c r="I157" s="21"/>
      <c r="J157" s="19"/>
      <c r="K157" s="19"/>
      <c r="L157" s="19"/>
      <c r="M157" s="19"/>
      <c r="N157" s="19"/>
      <c r="O157" s="19"/>
      <c r="P157" s="19"/>
      <c r="Q157" s="19"/>
      <c r="R157" s="20"/>
      <c r="S157" s="19"/>
      <c r="T157" s="19"/>
      <c r="U157" s="19"/>
      <c r="V157" s="21"/>
      <c r="W157" s="19"/>
      <c r="X157" s="19"/>
      <c r="Y157" s="19"/>
      <c r="Z157" s="19"/>
      <c r="AA157" s="19"/>
      <c r="AB157" s="19"/>
      <c r="AC157" s="19"/>
      <c r="AD157" s="20"/>
      <c r="AE157" s="19"/>
      <c r="AF157" s="19"/>
      <c r="AG157" s="19"/>
      <c r="AH157" s="21"/>
      <c r="AI157" s="19"/>
      <c r="AJ157" s="19"/>
    </row>
    <row r="158" spans="1:36" s="16" customFormat="1" ht="13.5" thickBot="1">
      <c r="A158" s="46"/>
      <c r="B158" s="47"/>
      <c r="C158" s="47"/>
      <c r="D158" s="47"/>
      <c r="E158" s="77">
        <v>1998</v>
      </c>
      <c r="F158" s="47"/>
      <c r="G158" s="47"/>
      <c r="H158" s="47"/>
      <c r="I158" s="78">
        <v>12955446.2</v>
      </c>
      <c r="J158" s="47"/>
      <c r="K158" s="47"/>
      <c r="L158" s="47"/>
      <c r="M158" s="47"/>
      <c r="N158" s="19"/>
      <c r="O158" s="57"/>
      <c r="P158" s="57"/>
      <c r="Q158" s="57"/>
      <c r="R158" s="88">
        <f>SUM(R144:R157)</f>
        <v>10070</v>
      </c>
      <c r="S158" s="57"/>
      <c r="T158" s="57"/>
      <c r="U158" s="57"/>
      <c r="V158" s="90">
        <f>SUM(V144:V157)</f>
        <v>45555145.17</v>
      </c>
      <c r="W158" s="57"/>
      <c r="X158" s="82"/>
      <c r="Y158" s="47"/>
      <c r="Z158" s="19"/>
      <c r="AA158" s="57"/>
      <c r="AB158" s="57"/>
      <c r="AC158" s="57"/>
      <c r="AD158" s="88">
        <f>SUM(AD144:AD157)</f>
        <v>8923</v>
      </c>
      <c r="AE158" s="57"/>
      <c r="AF158" s="57"/>
      <c r="AG158" s="57"/>
      <c r="AH158" s="90">
        <f>SUM(AH144:AH157)</f>
        <v>38748285.39999999</v>
      </c>
      <c r="AI158" s="57"/>
      <c r="AJ158" s="82"/>
    </row>
    <row r="159" spans="1:36" ht="13.5" thickTop="1">
      <c r="A159" s="57"/>
      <c r="B159" s="19"/>
      <c r="C159" s="19"/>
      <c r="D159" s="19"/>
      <c r="E159" s="20"/>
      <c r="F159" s="19"/>
      <c r="G159" s="19"/>
      <c r="H159" s="19"/>
      <c r="I159" s="21"/>
      <c r="J159" s="19"/>
      <c r="K159" s="19"/>
      <c r="L159" s="19"/>
      <c r="M159" s="19"/>
      <c r="N159" s="57"/>
      <c r="O159" s="19"/>
      <c r="P159" s="19"/>
      <c r="Q159" s="19"/>
      <c r="R159" s="20"/>
      <c r="S159" s="19"/>
      <c r="T159" s="19"/>
      <c r="U159" s="19"/>
      <c r="V159" s="21"/>
      <c r="W159" s="19"/>
      <c r="X159" s="19"/>
      <c r="Y159" s="19"/>
      <c r="Z159" s="57"/>
      <c r="AA159" s="19"/>
      <c r="AB159" s="19"/>
      <c r="AC159" s="19"/>
      <c r="AD159" s="20"/>
      <c r="AE159" s="19"/>
      <c r="AF159" s="19"/>
      <c r="AG159" s="19"/>
      <c r="AH159" s="21"/>
      <c r="AI159" s="19"/>
      <c r="AJ159" s="19"/>
    </row>
    <row r="160" spans="1:36" ht="12.75">
      <c r="A160" s="19"/>
      <c r="B160" s="19"/>
      <c r="C160" s="19"/>
      <c r="D160" s="19"/>
      <c r="E160" s="20"/>
      <c r="F160" s="19"/>
      <c r="G160" s="19"/>
      <c r="H160" s="19"/>
      <c r="I160" s="21"/>
      <c r="J160" s="19"/>
      <c r="K160" s="19"/>
      <c r="L160" s="19"/>
      <c r="M160" s="19"/>
      <c r="N160" s="19"/>
      <c r="O160" s="19"/>
      <c r="P160" s="19"/>
      <c r="Q160" s="19"/>
      <c r="R160" s="20"/>
      <c r="S160" s="19"/>
      <c r="T160" s="19"/>
      <c r="U160" s="19"/>
      <c r="V160" s="21"/>
      <c r="W160" s="19"/>
      <c r="X160" s="19"/>
      <c r="Y160" s="19"/>
      <c r="Z160" s="19"/>
      <c r="AA160" s="19"/>
      <c r="AB160" s="19"/>
      <c r="AC160" s="19"/>
      <c r="AD160" s="20"/>
      <c r="AE160" s="19"/>
      <c r="AF160" s="19"/>
      <c r="AG160" s="19"/>
      <c r="AH160" s="21"/>
      <c r="AI160" s="19"/>
      <c r="AJ160" s="19"/>
    </row>
    <row r="161" spans="1:36" ht="12.75">
      <c r="A161" s="19"/>
      <c r="B161" s="19"/>
      <c r="C161" s="19"/>
      <c r="D161" s="19"/>
      <c r="E161" s="20"/>
      <c r="F161" s="19"/>
      <c r="G161" s="19"/>
      <c r="H161" s="19"/>
      <c r="I161" s="21"/>
      <c r="J161" s="19"/>
      <c r="K161" s="19"/>
      <c r="L161" s="19"/>
      <c r="M161" s="19"/>
      <c r="N161" s="19"/>
      <c r="O161" s="19"/>
      <c r="P161" s="19"/>
      <c r="Q161" s="19"/>
      <c r="R161" s="20"/>
      <c r="S161" s="19"/>
      <c r="T161" s="19"/>
      <c r="U161" s="19"/>
      <c r="V161" s="21"/>
      <c r="W161" s="19"/>
      <c r="X161" s="19"/>
      <c r="Y161" s="19"/>
      <c r="Z161" s="19"/>
      <c r="AA161" s="19"/>
      <c r="AB161" s="19"/>
      <c r="AC161" s="19"/>
      <c r="AD161" s="20"/>
      <c r="AE161" s="19"/>
      <c r="AF161" s="19"/>
      <c r="AG161" s="19"/>
      <c r="AH161" s="21"/>
      <c r="AI161" s="19"/>
      <c r="AJ161" s="19"/>
    </row>
    <row r="162" spans="1:36" s="15" customFormat="1" ht="12.75">
      <c r="A162" s="55" t="s">
        <v>96</v>
      </c>
      <c r="B162" s="46"/>
      <c r="C162" s="46"/>
      <c r="D162" s="46"/>
      <c r="E162" s="48"/>
      <c r="F162" s="46"/>
      <c r="G162" s="46"/>
      <c r="H162" s="46"/>
      <c r="I162" s="49"/>
      <c r="J162" s="46"/>
      <c r="K162" s="46"/>
      <c r="L162" s="46"/>
      <c r="M162" s="46"/>
      <c r="N162" s="55" t="s">
        <v>96</v>
      </c>
      <c r="O162" s="19"/>
      <c r="P162" s="19"/>
      <c r="Q162" s="19"/>
      <c r="R162" s="20"/>
      <c r="S162" s="19"/>
      <c r="T162" s="19"/>
      <c r="U162" s="19"/>
      <c r="V162" s="21"/>
      <c r="W162" s="19"/>
      <c r="X162" s="19"/>
      <c r="Y162" s="46"/>
      <c r="Z162" s="55" t="s">
        <v>96</v>
      </c>
      <c r="AA162" s="19"/>
      <c r="AB162" s="19"/>
      <c r="AC162" s="19"/>
      <c r="AD162" s="20"/>
      <c r="AE162" s="19"/>
      <c r="AF162" s="19"/>
      <c r="AG162" s="19"/>
      <c r="AH162" s="21"/>
      <c r="AI162" s="19"/>
      <c r="AJ162" s="19"/>
    </row>
    <row r="163" spans="1:36" ht="12.75">
      <c r="A163" s="58"/>
      <c r="B163" s="19"/>
      <c r="C163" s="19"/>
      <c r="D163" s="19"/>
      <c r="E163" s="20"/>
      <c r="F163" s="19"/>
      <c r="G163" s="19"/>
      <c r="H163" s="19"/>
      <c r="I163" s="21"/>
      <c r="J163" s="19"/>
      <c r="K163" s="19"/>
      <c r="L163" s="19"/>
      <c r="M163" s="19"/>
      <c r="N163" s="58"/>
      <c r="O163" s="19"/>
      <c r="P163" s="19"/>
      <c r="Q163" s="19"/>
      <c r="R163" s="20"/>
      <c r="S163" s="19"/>
      <c r="T163" s="19"/>
      <c r="U163" s="19"/>
      <c r="V163" s="21"/>
      <c r="W163" s="19"/>
      <c r="X163" s="19"/>
      <c r="Y163" s="19"/>
      <c r="Z163" s="58"/>
      <c r="AA163" s="19"/>
      <c r="AB163" s="19"/>
      <c r="AC163" s="19"/>
      <c r="AD163" s="20"/>
      <c r="AE163" s="19"/>
      <c r="AF163" s="19"/>
      <c r="AG163" s="19"/>
      <c r="AH163" s="21"/>
      <c r="AI163" s="19"/>
      <c r="AJ163" s="19"/>
    </row>
    <row r="164" spans="1:36" s="17" customFormat="1" ht="12.75">
      <c r="A164" s="69"/>
      <c r="B164" s="66"/>
      <c r="C164" s="66"/>
      <c r="D164" s="66"/>
      <c r="E164" s="67" t="s">
        <v>83</v>
      </c>
      <c r="F164" s="66"/>
      <c r="G164" s="66" t="s">
        <v>84</v>
      </c>
      <c r="H164" s="66"/>
      <c r="I164" s="68" t="s">
        <v>85</v>
      </c>
      <c r="J164" s="66"/>
      <c r="K164" s="66" t="s">
        <v>84</v>
      </c>
      <c r="L164" s="69"/>
      <c r="M164" s="69"/>
      <c r="N164" s="19"/>
      <c r="O164" s="57"/>
      <c r="P164" s="57"/>
      <c r="Q164" s="57"/>
      <c r="R164" s="67" t="s">
        <v>83</v>
      </c>
      <c r="S164" s="66"/>
      <c r="T164" s="66" t="s">
        <v>84</v>
      </c>
      <c r="U164" s="66"/>
      <c r="V164" s="68" t="s">
        <v>85</v>
      </c>
      <c r="W164" s="66"/>
      <c r="X164" s="66" t="s">
        <v>84</v>
      </c>
      <c r="Y164" s="69"/>
      <c r="Z164" s="19"/>
      <c r="AA164" s="57"/>
      <c r="AB164" s="57"/>
      <c r="AC164" s="57"/>
      <c r="AD164" s="67" t="s">
        <v>83</v>
      </c>
      <c r="AE164" s="66"/>
      <c r="AF164" s="66" t="s">
        <v>84</v>
      </c>
      <c r="AG164" s="66"/>
      <c r="AH164" s="68" t="s">
        <v>85</v>
      </c>
      <c r="AI164" s="66"/>
      <c r="AJ164" s="66" t="s">
        <v>84</v>
      </c>
    </row>
    <row r="165" spans="1:36" ht="12.75">
      <c r="A165" s="57"/>
      <c r="B165" s="19"/>
      <c r="C165" s="19"/>
      <c r="D165" s="19"/>
      <c r="E165" s="20"/>
      <c r="F165" s="19"/>
      <c r="G165" s="19"/>
      <c r="H165" s="19"/>
      <c r="I165" s="21"/>
      <c r="J165" s="19"/>
      <c r="K165" s="19"/>
      <c r="L165" s="19"/>
      <c r="M165" s="19"/>
      <c r="N165" s="57"/>
      <c r="O165" s="19"/>
      <c r="P165" s="19"/>
      <c r="Q165" s="19"/>
      <c r="R165" s="20"/>
      <c r="S165" s="19"/>
      <c r="T165" s="19"/>
      <c r="U165" s="19"/>
      <c r="V165" s="21"/>
      <c r="W165" s="19"/>
      <c r="X165" s="19"/>
      <c r="Y165" s="19"/>
      <c r="Z165" s="57"/>
      <c r="AA165" s="19"/>
      <c r="AB165" s="19"/>
      <c r="AC165" s="19"/>
      <c r="AD165" s="20"/>
      <c r="AE165" s="19"/>
      <c r="AF165" s="19"/>
      <c r="AG165" s="19"/>
      <c r="AH165" s="21"/>
      <c r="AI165" s="19"/>
      <c r="AJ165" s="19"/>
    </row>
    <row r="166" spans="1:36" ht="12.75">
      <c r="A166" s="19" t="s">
        <v>23</v>
      </c>
      <c r="B166" s="19"/>
      <c r="C166" s="19"/>
      <c r="D166" s="19"/>
      <c r="E166" s="20">
        <v>1933</v>
      </c>
      <c r="F166" s="19"/>
      <c r="G166" s="22">
        <v>0.9674674674674675</v>
      </c>
      <c r="H166" s="21"/>
      <c r="I166" s="21">
        <v>12208213.08</v>
      </c>
      <c r="J166" s="21"/>
      <c r="K166" s="22">
        <v>0.9394223862817423</v>
      </c>
      <c r="L166" s="21"/>
      <c r="M166" s="21"/>
      <c r="N166" s="19" t="s">
        <v>23</v>
      </c>
      <c r="O166" s="19"/>
      <c r="P166" s="19"/>
      <c r="Q166" s="19"/>
      <c r="R166" s="20">
        <v>9734</v>
      </c>
      <c r="S166" s="19"/>
      <c r="T166" s="22">
        <f>+R166/$R$170</f>
        <v>0.9666335650446872</v>
      </c>
      <c r="U166" s="21"/>
      <c r="V166" s="21">
        <f>42391724.39-3000</f>
        <v>42388724.39</v>
      </c>
      <c r="W166" s="21"/>
      <c r="X166" s="22">
        <f>+V166/$V$170</f>
        <v>0.9304925762351598</v>
      </c>
      <c r="Y166" s="19"/>
      <c r="Z166" s="19" t="s">
        <v>23</v>
      </c>
      <c r="AA166" s="19"/>
      <c r="AB166" s="19"/>
      <c r="AC166" s="19"/>
      <c r="AD166" s="20">
        <v>8605</v>
      </c>
      <c r="AE166" s="19"/>
      <c r="AF166" s="22">
        <f>+AD166/AD170</f>
        <v>0.9643617617393253</v>
      </c>
      <c r="AG166" s="21"/>
      <c r="AH166" s="21">
        <v>36011268.67000002</v>
      </c>
      <c r="AI166" s="21"/>
      <c r="AJ166" s="22">
        <f>+AH166/AH170</f>
        <v>0.9293641847182225</v>
      </c>
    </row>
    <row r="167" spans="1:36" ht="12.75">
      <c r="A167" s="19" t="s">
        <v>24</v>
      </c>
      <c r="B167" s="19"/>
      <c r="C167" s="19"/>
      <c r="D167" s="19"/>
      <c r="E167" s="20">
        <v>64</v>
      </c>
      <c r="F167" s="19"/>
      <c r="G167" s="22">
        <v>0.03203203203203203</v>
      </c>
      <c r="H167" s="21"/>
      <c r="I167" s="21">
        <v>770144.26</v>
      </c>
      <c r="J167" s="21"/>
      <c r="K167" s="22">
        <v>0.05926262539565591</v>
      </c>
      <c r="L167" s="21"/>
      <c r="M167" s="21"/>
      <c r="N167" s="19" t="s">
        <v>24</v>
      </c>
      <c r="O167" s="19"/>
      <c r="P167" s="19"/>
      <c r="Q167" s="19"/>
      <c r="R167" s="20">
        <f>322+14</f>
        <v>336</v>
      </c>
      <c r="S167" s="19"/>
      <c r="T167" s="22">
        <f>+R167/$R$170</f>
        <v>0.03336643495531281</v>
      </c>
      <c r="U167" s="21"/>
      <c r="V167" s="21">
        <f>3052363.88+114056.9</f>
        <v>3166420.78</v>
      </c>
      <c r="W167" s="21"/>
      <c r="X167" s="22">
        <f>+V167/$V$170</f>
        <v>0.06950742376484012</v>
      </c>
      <c r="Y167" s="19"/>
      <c r="Z167" s="19" t="s">
        <v>24</v>
      </c>
      <c r="AA167" s="19"/>
      <c r="AB167" s="19"/>
      <c r="AC167" s="19"/>
      <c r="AD167" s="118">
        <v>318</v>
      </c>
      <c r="AE167" s="19"/>
      <c r="AF167" s="22">
        <f>+AD167/AD170</f>
        <v>0.03563823826067466</v>
      </c>
      <c r="AG167" s="21"/>
      <c r="AH167" s="21">
        <v>2737016.73</v>
      </c>
      <c r="AI167" s="21"/>
      <c r="AJ167" s="22">
        <f>+AH167/AH170</f>
        <v>0.07063581528177758</v>
      </c>
    </row>
    <row r="168" spans="1:36" ht="12.75">
      <c r="A168" s="19" t="s">
        <v>25</v>
      </c>
      <c r="B168" s="19"/>
      <c r="C168" s="19"/>
      <c r="D168" s="19"/>
      <c r="E168" s="20">
        <v>1</v>
      </c>
      <c r="F168" s="19"/>
      <c r="G168" s="22">
        <v>0.0005005005005005005</v>
      </c>
      <c r="H168" s="21"/>
      <c r="I168" s="21">
        <v>17088.86</v>
      </c>
      <c r="J168" s="21"/>
      <c r="K168" s="22">
        <v>0.001314988322601805</v>
      </c>
      <c r="L168" s="21"/>
      <c r="M168" s="21"/>
      <c r="N168" s="19"/>
      <c r="O168" s="19"/>
      <c r="P168" s="19"/>
      <c r="Q168" s="19"/>
      <c r="R168" s="20"/>
      <c r="S168" s="19"/>
      <c r="T168" s="22"/>
      <c r="U168" s="21"/>
      <c r="V168" s="21"/>
      <c r="W168" s="21"/>
      <c r="X168" s="22"/>
      <c r="Y168" s="19"/>
      <c r="Z168" s="19"/>
      <c r="AA168" s="19"/>
      <c r="AB168" s="19"/>
      <c r="AC168" s="19"/>
      <c r="AD168" s="20"/>
      <c r="AE168" s="19"/>
      <c r="AF168" s="22"/>
      <c r="AG168" s="21"/>
      <c r="AH168" s="21"/>
      <c r="AI168" s="21"/>
      <c r="AJ168" s="22"/>
    </row>
    <row r="169" spans="1:36" ht="12.75">
      <c r="A169" s="19"/>
      <c r="B169" s="19"/>
      <c r="C169" s="19"/>
      <c r="D169" s="19"/>
      <c r="E169" s="20"/>
      <c r="F169" s="19"/>
      <c r="G169" s="21"/>
      <c r="H169" s="21"/>
      <c r="I169" s="21"/>
      <c r="J169" s="21"/>
      <c r="K169" s="21"/>
      <c r="L169" s="21"/>
      <c r="M169" s="21"/>
      <c r="N169" s="19"/>
      <c r="O169" s="19"/>
      <c r="P169" s="19"/>
      <c r="Q169" s="19"/>
      <c r="R169" s="20"/>
      <c r="S169" s="19"/>
      <c r="T169" s="21"/>
      <c r="U169" s="21"/>
      <c r="V169" s="21"/>
      <c r="W169" s="21"/>
      <c r="X169" s="21"/>
      <c r="Y169" s="19"/>
      <c r="Z169" s="19"/>
      <c r="AA169" s="19"/>
      <c r="AB169" s="19"/>
      <c r="AC169" s="19"/>
      <c r="AD169" s="20"/>
      <c r="AE169" s="19"/>
      <c r="AF169" s="21"/>
      <c r="AG169" s="21"/>
      <c r="AH169" s="21"/>
      <c r="AI169" s="21"/>
      <c r="AJ169" s="21"/>
    </row>
    <row r="170" spans="1:36" s="16" customFormat="1" ht="13.5" thickBot="1">
      <c r="A170" s="46"/>
      <c r="B170" s="47"/>
      <c r="C170" s="47"/>
      <c r="D170" s="47"/>
      <c r="E170" s="77">
        <v>1998</v>
      </c>
      <c r="F170" s="47"/>
      <c r="G170" s="81"/>
      <c r="H170" s="81"/>
      <c r="I170" s="81">
        <v>12995446.2</v>
      </c>
      <c r="J170" s="81"/>
      <c r="K170" s="81"/>
      <c r="L170" s="81"/>
      <c r="M170" s="81"/>
      <c r="N170" s="19"/>
      <c r="O170" s="57"/>
      <c r="P170" s="57"/>
      <c r="Q170" s="57"/>
      <c r="R170" s="88">
        <f>SUM(R166:R169)</f>
        <v>10070</v>
      </c>
      <c r="S170" s="57"/>
      <c r="T170" s="95"/>
      <c r="U170" s="95"/>
      <c r="V170" s="90">
        <f>SUM(V166:V169)</f>
        <v>45555145.17</v>
      </c>
      <c r="W170" s="95"/>
      <c r="X170" s="95"/>
      <c r="Y170" s="47"/>
      <c r="Z170" s="19"/>
      <c r="AA170" s="57"/>
      <c r="AB170" s="57"/>
      <c r="AC170" s="57"/>
      <c r="AD170" s="119">
        <f>SUM(AD166:AD167)</f>
        <v>8923</v>
      </c>
      <c r="AE170" s="57"/>
      <c r="AF170" s="95"/>
      <c r="AG170" s="95"/>
      <c r="AH170" s="90">
        <f>SUM(AH166:AH167)</f>
        <v>38748285.40000001</v>
      </c>
      <c r="AI170" s="95"/>
      <c r="AJ170" s="95"/>
    </row>
    <row r="171" spans="1:36" ht="13.5" thickTop="1">
      <c r="A171" s="1"/>
      <c r="G171" s="3"/>
      <c r="H171" s="3"/>
      <c r="J171" s="3"/>
      <c r="K171" s="3"/>
      <c r="L171" s="3"/>
      <c r="M171" s="3"/>
      <c r="N171" s="1"/>
      <c r="R171" s="4"/>
      <c r="T171" s="3"/>
      <c r="U171" s="3"/>
      <c r="V171" s="3"/>
      <c r="W171" s="3"/>
      <c r="X171" s="3"/>
      <c r="Z171" s="1"/>
      <c r="AD171" s="4"/>
      <c r="AF171" s="3"/>
      <c r="AG171" s="3"/>
      <c r="AH171" s="3"/>
      <c r="AI171" s="3"/>
      <c r="AJ171" s="3"/>
    </row>
    <row r="172" spans="5:34" ht="12.75">
      <c r="E172" s="3"/>
      <c r="R172" s="3"/>
      <c r="V172" s="3"/>
      <c r="AD172" s="3"/>
      <c r="AH172" s="3"/>
    </row>
    <row r="173" spans="1:36" s="1" customFormat="1" ht="12.75">
      <c r="A173"/>
      <c r="E173" s="10"/>
      <c r="F173" s="10"/>
      <c r="G173" s="10"/>
      <c r="H173" s="10"/>
      <c r="I173" s="10"/>
      <c r="J173" s="10"/>
      <c r="K173" s="10"/>
      <c r="N173"/>
      <c r="R173" s="10"/>
      <c r="S173" s="10"/>
      <c r="T173" s="10"/>
      <c r="U173" s="10"/>
      <c r="V173" s="10"/>
      <c r="W173" s="10"/>
      <c r="X173" s="10"/>
      <c r="Z173"/>
      <c r="AD173" s="10"/>
      <c r="AE173" s="10"/>
      <c r="AF173" s="10"/>
      <c r="AG173" s="10"/>
      <c r="AH173" s="10"/>
      <c r="AI173" s="10"/>
      <c r="AJ173" s="10"/>
    </row>
    <row r="174" spans="1:34" ht="12.75">
      <c r="A174" s="1"/>
      <c r="E174" s="3"/>
      <c r="N174" s="1"/>
      <c r="R174" s="3"/>
      <c r="V174" s="3"/>
      <c r="Z174" s="1"/>
      <c r="AD174" s="3"/>
      <c r="AH174" s="3"/>
    </row>
    <row r="175" spans="5:34" ht="12.75">
      <c r="E175" s="3"/>
      <c r="R175" s="3"/>
      <c r="V175" s="3"/>
      <c r="AD175" s="3"/>
      <c r="AH175" s="3"/>
    </row>
    <row r="176" spans="5:34" ht="12.75">
      <c r="E176" s="3"/>
      <c r="R176" s="3"/>
      <c r="V176" s="3"/>
      <c r="AD176" s="3"/>
      <c r="AH176" s="3"/>
    </row>
    <row r="177" spans="5:34" ht="12.75">
      <c r="E177" s="3"/>
      <c r="R177" s="3"/>
      <c r="V177" s="3"/>
      <c r="AD177" s="3"/>
      <c r="AH177" s="3"/>
    </row>
    <row r="178" spans="18:34" ht="12.75">
      <c r="R178" s="4"/>
      <c r="V178" s="3"/>
      <c r="AD178" s="4"/>
      <c r="AH178" s="3"/>
    </row>
    <row r="179" spans="18:34" ht="12.75">
      <c r="R179" s="4"/>
      <c r="V179" s="3"/>
      <c r="AD179" s="4"/>
      <c r="AH179" s="3"/>
    </row>
  </sheetData>
  <mergeCells count="4">
    <mergeCell ref="A4:K4"/>
    <mergeCell ref="N4:X4"/>
    <mergeCell ref="A1:X1"/>
    <mergeCell ref="Z4:AJ4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end user</cp:lastModifiedBy>
  <cp:lastPrinted>2001-10-30T10:11:03Z</cp:lastPrinted>
  <dcterms:created xsi:type="dcterms:W3CDTF">2001-03-19T09:33:28Z</dcterms:created>
  <dcterms:modified xsi:type="dcterms:W3CDTF">2001-10-30T10:31:31Z</dcterms:modified>
  <cp:category/>
  <cp:version/>
  <cp:contentType/>
  <cp:contentStatus/>
</cp:coreProperties>
</file>