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Jun99" sheetId="1" r:id="rId1"/>
    <sheet name="Sep99" sheetId="2" r:id="rId2"/>
    <sheet name="Dec99" sheetId="3" r:id="rId3"/>
    <sheet name="Mar00" sheetId="4" r:id="rId4"/>
    <sheet name="Jun00" sheetId="5" r:id="rId5"/>
    <sheet name="Sep00" sheetId="6" r:id="rId6"/>
    <sheet name="Dec00" sheetId="7" r:id="rId7"/>
    <sheet name="March 01" sheetId="8" r:id="rId8"/>
    <sheet name="June 01" sheetId="9" r:id="rId9"/>
    <sheet name="Sep 01" sheetId="10" r:id="rId10"/>
  </sheets>
  <definedNames>
    <definedName name="PAGE1">'Sep 01'!$A$1:$M$48</definedName>
    <definedName name="PAGE2">'Sep 01'!$A$49:$M$102</definedName>
    <definedName name="PAGE3">'Sep 01'!$A$103:$M$151</definedName>
    <definedName name="PAGE4">'Sep 01'!$A$152:$M$194</definedName>
    <definedName name="_xlnm.Print_Area">'Sep 01'!$A$152:$M$194</definedName>
  </definedNames>
  <calcPr calcMode="autoNoTable" fullCalcOnLoad="1" iterate="1" iterateCount="1" iterateDelta="0"/>
</workbook>
</file>

<file path=xl/sharedStrings.xml><?xml version="1.0" encoding="utf-8"?>
<sst xmlns="http://schemas.openxmlformats.org/spreadsheetml/2006/main" count="2267" uniqueCount="213">
  <si>
    <t>Finance for People (No. 2) PLC</t>
  </si>
  <si>
    <t>This performance report is issued by Paragon Finance PLC for and on behalf of Finance for People (No.2)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</si>
  <si>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</si>
  <si>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</si>
  <si>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</si>
  <si>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</si>
  <si>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</si>
  <si>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</si>
  <si>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</si>
  <si>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</si>
  <si>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</si>
  <si>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</si>
  <si>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</si>
  <si>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</si>
  <si>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</si>
  <si>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</si>
  <si>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</si>
  <si>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</si>
  <si>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</si>
  <si>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</si>
  <si>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</si>
  <si>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</si>
  <si>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</si>
  <si>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</si>
  <si>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</si>
  <si>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</si>
  <si>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</si>
  <si>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</si>
  <si>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</si>
  <si>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</si>
  <si>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</si>
  <si>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t>
  </si>
  <si>
    <t>Asset Movements</t>
  </si>
  <si>
    <t>Mortgages</t>
  </si>
  <si>
    <t>Current Principal Balance (£'000)</t>
  </si>
  <si>
    <t>Accrued Arrears and Interest Sold to Issuer (£'000)</t>
  </si>
  <si>
    <t>Total (£'000)</t>
  </si>
  <si>
    <t>Consumer Loans</t>
  </si>
  <si>
    <t>Credit Enhancement</t>
  </si>
  <si>
    <t>Spread Trap</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</si>
  <si>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</si>
  <si>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</si>
  <si>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</si>
  <si>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</si>
  <si>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</si>
  <si>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</si>
  <si>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</si>
  <si>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</si>
  <si>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</si>
  <si>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</si>
  <si>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</si>
  <si>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</si>
  <si>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</si>
  <si>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</si>
  <si>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</si>
  <si>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</si>
  <si>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Third Party payments for Corporation Tax</t>
  </si>
  <si>
    <t>B Note Interest</t>
  </si>
  <si>
    <t>C Note Interest</t>
  </si>
  <si>
    <t>Third Party payments for VAT</t>
  </si>
  <si>
    <t>First Loss Fund  replenishments</t>
  </si>
  <si>
    <t>PDL replenishment</t>
  </si>
  <si>
    <t xml:space="preserve">Spread Trap </t>
  </si>
  <si>
    <t>Surplus income</t>
  </si>
  <si>
    <t>Principal payments made from Principal Income:</t>
  </si>
  <si>
    <t>Mandatory Further Advances</t>
  </si>
  <si>
    <t>Discretionary Further Advances</t>
  </si>
  <si>
    <t>Cancellation of A Notes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</si>
  <si>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</si>
  <si>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</si>
  <si>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</si>
  <si>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</si>
  <si>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</si>
  <si>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</si>
  <si>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</si>
  <si>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</si>
  <si>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</si>
  <si>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</si>
  <si>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</si>
  <si>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</si>
  <si>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</si>
  <si>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</si>
  <si>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</si>
  <si>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</si>
  <si>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</si>
  <si>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</si>
  <si>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</si>
  <si>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</si>
  <si>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</si>
  <si>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</si>
  <si>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</si>
  <si>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</si>
  <si>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</si>
  <si>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</si>
  <si>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</si>
  <si>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</si>
  <si>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</si>
  <si>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</si>
  <si>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</si>
  <si>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</si>
  <si>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</si>
  <si>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</si>
  <si>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</si>
  <si>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</si>
  <si>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</si>
  <si>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</si>
  <si>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</si>
  <si>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</si>
  <si>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</si>
  <si>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</si>
  <si>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</si>
  <si>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</si>
  <si>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</si>
  <si>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t>
  </si>
  <si>
    <t>Original Weighted Average Maturity</t>
  </si>
  <si>
    <t>Current Weighted Average Maturity</t>
  </si>
  <si>
    <t>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</si>
  <si>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</si>
  <si>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</si>
  <si>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</si>
  <si>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</si>
  <si>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</si>
  <si>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</si>
  <si>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</si>
  <si>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</si>
  <si>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</si>
  <si>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</si>
  <si>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</si>
  <si>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</si>
  <si>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</si>
  <si>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</si>
  <si>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</si>
  <si>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</si>
  <si>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</si>
  <si>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</si>
  <si>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</si>
  <si>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</si>
  <si>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</si>
  <si>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</si>
  <si>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Pool</t>
  </si>
  <si>
    <t>Factor</t>
  </si>
  <si>
    <t>As at Closing</t>
  </si>
  <si>
    <t>PDD =</t>
  </si>
  <si>
    <t>Class A1 Notes</t>
  </si>
  <si>
    <t>Aaa</t>
  </si>
  <si>
    <t>XS0084017564</t>
  </si>
  <si>
    <t>10 bp</t>
  </si>
  <si>
    <t>March 2000</t>
  </si>
  <si>
    <t>31 March 2000</t>
  </si>
  <si>
    <t>20 bp</t>
  </si>
  <si>
    <t>Last Quarter Balance</t>
  </si>
  <si>
    <t>Tel.</t>
  </si>
  <si>
    <t>0121 712 3894</t>
  </si>
  <si>
    <t>0121 712 2315</t>
  </si>
  <si>
    <t>Class A2 Notes</t>
  </si>
  <si>
    <t>XS0084017994</t>
  </si>
  <si>
    <t>18 bp</t>
  </si>
  <si>
    <t>March 2001</t>
  </si>
  <si>
    <t>31 March 2004</t>
  </si>
  <si>
    <t>45 bp</t>
  </si>
  <si>
    <t>This Quarter Redemptions and Repayments</t>
  </si>
  <si>
    <t>E-mail</t>
  </si>
  <si>
    <t>jharvey@paragon-group.co.uk</t>
  </si>
  <si>
    <t>jgiles@paragon-group.co.uk</t>
  </si>
  <si>
    <t>Class B Notes</t>
  </si>
  <si>
    <t>A2</t>
  </si>
  <si>
    <t>XS0084018372</t>
  </si>
  <si>
    <t>40 bp</t>
  </si>
  <si>
    <t>85 bp</t>
  </si>
  <si>
    <t>Additions this quarter</t>
  </si>
  <si>
    <t>DFA's</t>
  </si>
  <si>
    <t>No.</t>
  </si>
  <si>
    <t>%</t>
  </si>
  <si>
    <t>Senior/Subordinate</t>
  </si>
  <si>
    <t>Class C Notes</t>
  </si>
  <si>
    <t>Baa3</t>
  </si>
  <si>
    <t>XS0084018703</t>
  </si>
  <si>
    <t>92 bp</t>
  </si>
  <si>
    <t>195 bp</t>
  </si>
  <si>
    <t>Class A Notes</t>
  </si>
  <si>
    <t>Repurchases this quarter</t>
  </si>
  <si>
    <t>Principal (£'000)</t>
  </si>
  <si>
    <t>MFA's</t>
  </si>
  <si>
    <t>n/a</t>
  </si>
  <si>
    <t>Dec 2034</t>
  </si>
  <si>
    <t>£'000 Value</t>
  </si>
  <si>
    <t>N/A</t>
  </si>
  <si>
    <t>£'000 Principal</t>
  </si>
  <si>
    <t>=</t>
  </si>
  <si>
    <t>years</t>
  </si>
  <si>
    <t>FFP 2 PLC</t>
  </si>
  <si>
    <t>January 1998</t>
  </si>
  <si>
    <t xml:space="preserve"> 23 July 1999</t>
  </si>
  <si>
    <t>Quarterly</t>
  </si>
  <si>
    <t>ACTUAL/365</t>
  </si>
  <si>
    <t>Current Principal Outstanding</t>
  </si>
  <si>
    <t>Revenue (£'000)</t>
  </si>
  <si>
    <t>Total</t>
  </si>
  <si>
    <t>x</t>
  </si>
  <si>
    <t>{EDIT-GOTO PAGE1}</t>
  </si>
  <si>
    <t>{PRINT "SELECTION";1;9999;1;1}</t>
  </si>
  <si>
    <t>{EDIT-GOTO PAGE2}</t>
  </si>
  <si>
    <t>{EDIT-GOTO PAGE3}</t>
  </si>
  <si>
    <t>{EDIT-GOTO PAGE4}</t>
  </si>
  <si>
    <t>A1/A2</t>
  </si>
  <si>
    <t>ACTUAL/366</t>
  </si>
  <si>
    <t>Originator % at Closing</t>
  </si>
  <si>
    <t xml:space="preserve">Originator % at the Quarter End </t>
  </si>
  <si>
    <t>Recoveries</t>
  </si>
  <si>
    <t>NHL</t>
  </si>
  <si>
    <t>PML</t>
  </si>
  <si>
    <t>Quarterly Prepayment Rate</t>
  </si>
  <si>
    <t>Life Time Prepayment  Rate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</si>
</sst>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0.00000%"/>
    <numFmt numFmtId="166" formatCode="#,##0.0"/>
    <numFmt numFmtId="167" formatCode="0.0%"/>
    <numFmt numFmtId="168" formatCode="#,##0.00000"/>
  </numFmts>
  <fonts count="26">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u val="single"/>
      <sz val="12"/>
      <color indexed="29"/>
      <name val="Times New Roman"/>
      <family val="0"/>
    </font>
    <font>
      <b/>
      <sz val="12"/>
      <color indexed="8"/>
      <name val="Times New Roman"/>
      <family val="0"/>
    </font>
    <font>
      <b/>
      <u val="single"/>
      <sz val="12"/>
      <color indexed="8"/>
      <name val="Times New Roman"/>
      <family val="0"/>
    </font>
    <font>
      <sz val="10"/>
      <name val="Times New Roman"/>
      <family val="0"/>
    </font>
    <font>
      <sz val="12"/>
      <color indexed="12"/>
      <name val="Arial"/>
      <family val="0"/>
    </font>
    <font>
      <b/>
      <sz val="12"/>
      <color indexed="12"/>
      <name val="Arial MT"/>
      <family val="0"/>
    </font>
    <font>
      <b/>
      <sz val="12"/>
      <name val="Arial"/>
      <family val="0"/>
    </font>
    <font>
      <sz val="8"/>
      <name val="Times New Roman"/>
      <family val="0"/>
    </font>
    <font>
      <b/>
      <sz val="12"/>
      <color indexed="29"/>
      <name val="Arial"/>
      <family val="0"/>
    </font>
  </fonts>
  <fills count="3">
    <fill>
      <patternFill/>
    </fill>
    <fill>
      <patternFill patternType="gray125"/>
    </fill>
    <fill>
      <patternFill patternType="solid">
        <fgColor indexed="26"/>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3">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15" fillId="2" borderId="5" xfId="0" applyNumberFormat="1" applyFont="1" applyFill="1" applyAlignment="1">
      <alignment/>
    </xf>
    <xf numFmtId="0" fontId="4" fillId="2" borderId="5" xfId="0" applyNumberFormat="1" applyFont="1" applyFill="1" applyAlignment="1">
      <alignment horizontal="center"/>
    </xf>
    <xf numFmtId="164" fontId="4" fillId="2" borderId="5" xfId="0" applyNumberFormat="1" applyFont="1" applyFill="1" applyAlignment="1">
      <alignment horizontal="center"/>
    </xf>
    <xf numFmtId="164" fontId="4" fillId="2" borderId="5" xfId="0" applyNumberFormat="1" applyFont="1" applyFill="1" applyAlignment="1">
      <alignment/>
    </xf>
    <xf numFmtId="164" fontId="0" fillId="2" borderId="5" xfId="0" applyNumberFormat="1" applyFont="1" applyFill="1" applyAlignment="1">
      <alignment/>
    </xf>
    <xf numFmtId="3" fontId="4" fillId="2" borderId="5" xfId="0" applyNumberFormat="1" applyFont="1" applyFill="1" applyAlignment="1">
      <alignment/>
    </xf>
    <xf numFmtId="0" fontId="16" fillId="2" borderId="5" xfId="0" applyNumberFormat="1" applyFont="1" applyFill="1" applyAlignment="1">
      <alignment vertical="top"/>
    </xf>
    <xf numFmtId="164" fontId="12" fillId="2" borderId="5" xfId="0" applyNumberFormat="1" applyFont="1" applyFill="1" applyAlignment="1">
      <alignment horizontal="center"/>
    </xf>
    <xf numFmtId="164" fontId="12" fillId="2" borderId="5" xfId="0" applyNumberFormat="1" applyFont="1" applyFill="1" applyAlignment="1">
      <alignment/>
    </xf>
    <xf numFmtId="164" fontId="15" fillId="2" borderId="5" xfId="0" applyNumberFormat="1" applyFont="1" applyFill="1" applyAlignment="1">
      <alignment/>
    </xf>
    <xf numFmtId="3" fontId="12" fillId="2" borderId="5" xfId="0" applyNumberFormat="1" applyFont="1" applyFill="1" applyAlignment="1">
      <alignment/>
    </xf>
    <xf numFmtId="0" fontId="15" fillId="0" borderId="3" xfId="0" applyNumberFormat="1" applyFont="1" applyAlignment="1">
      <alignment/>
    </xf>
    <xf numFmtId="165"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right"/>
    </xf>
    <xf numFmtId="0" fontId="14" fillId="2" borderId="2" xfId="0" applyNumberFormat="1" applyFont="1" applyFill="1" applyAlignment="1">
      <alignment/>
    </xf>
    <xf numFmtId="0" fontId="11" fillId="2" borderId="2" xfId="0" applyNumberFormat="1" applyFont="1" applyFill="1" applyAlignment="1">
      <alignment/>
    </xf>
    <xf numFmtId="4" fontId="4" fillId="2" borderId="2" xfId="0" applyNumberFormat="1" applyFont="1" applyFill="1" applyAlignment="1">
      <alignment horizontal="righ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0" fontId="8" fillId="2" borderId="0" xfId="0" applyNumberFormat="1" applyFont="1" applyFill="1" applyAlignment="1">
      <alignment horizontal="center" vertical="top" wrapText="1"/>
    </xf>
    <xf numFmtId="4" fontId="8" fillId="2" borderId="0" xfId="0" applyNumberFormat="1" applyFont="1" applyFill="1" applyAlignment="1">
      <alignment horizontal="center" vertical="top" wrapText="1"/>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0" fontId="0" fillId="0" borderId="3" xfId="0" applyNumberFormat="1" applyFont="1" applyAlignment="1">
      <alignment/>
    </xf>
    <xf numFmtId="0" fontId="14" fillId="2" borderId="0" xfId="0" applyNumberFormat="1" applyFont="1" applyFill="1" applyAlignment="1">
      <alignment/>
    </xf>
    <xf numFmtId="15" fontId="4" fillId="2" borderId="5" xfId="0" applyNumberFormat="1" applyFont="1" applyFill="1" applyAlignment="1">
      <alignment/>
    </xf>
    <xf numFmtId="0" fontId="17"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0" fontId="17" fillId="2" borderId="0" xfId="0" applyNumberFormat="1" applyFont="1" applyFill="1" applyAlignment="1">
      <alignment/>
    </xf>
    <xf numFmtId="4" fontId="4" fillId="2" borderId="5" xfId="0" applyNumberFormat="1" applyFont="1" applyFill="1" applyAlignment="1">
      <alignment/>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4" fillId="2" borderId="0" xfId="0" applyNumberFormat="1" applyFont="1" applyFill="1" applyAlignment="1">
      <alignment/>
    </xf>
    <xf numFmtId="0" fontId="16" fillId="2" borderId="5" xfId="0" applyNumberFormat="1" applyFont="1" applyFill="1" applyAlignment="1">
      <alignment horizontal="right"/>
    </xf>
    <xf numFmtId="2" fontId="16" fillId="2" borderId="5" xfId="0" applyNumberFormat="1" applyFont="1" applyFill="1" applyAlignment="1">
      <alignment horizontal="right"/>
    </xf>
    <xf numFmtId="0" fontId="16" fillId="2" borderId="1"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4" fillId="0" borderId="3" xfId="0" applyNumberFormat="1" applyFont="1" applyAlignment="1">
      <alignment/>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166"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8" fillId="2" borderId="5" xfId="0" applyNumberFormat="1" applyFont="1" applyFill="1" applyAlignment="1">
      <alignment/>
    </xf>
    <xf numFmtId="4" fontId="16" fillId="2" borderId="5" xfId="0" applyNumberFormat="1" applyFont="1" applyFill="1" applyAlignment="1">
      <alignment horizontal="center"/>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166" fontId="16" fillId="2" borderId="5" xfId="0" applyNumberFormat="1" applyFont="1" applyFill="1" applyAlignment="1">
      <alignment horizontal="center"/>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67" fontId="16" fillId="2" borderId="5" xfId="0" applyNumberFormat="1" applyFont="1" applyFill="1" applyAlignment="1">
      <alignment/>
    </xf>
    <xf numFmtId="167" fontId="4" fillId="2" borderId="5" xfId="0" applyNumberFormat="1" applyFont="1" applyFill="1" applyAlignment="1">
      <alignment/>
    </xf>
    <xf numFmtId="10" fontId="16"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21" fillId="2" borderId="3" xfId="0" applyNumberFormat="1" applyFont="1" applyFill="1" applyAlignment="1">
      <alignment/>
    </xf>
    <xf numFmtId="0" fontId="22" fillId="2" borderId="0" xfId="0" applyNumberFormat="1" applyFont="1" applyFill="1" applyAlignment="1">
      <alignment horizontal="center"/>
    </xf>
    <xf numFmtId="0" fontId="21" fillId="2" borderId="0" xfId="0" applyNumberFormat="1" applyFont="1" applyFill="1" applyAlignment="1">
      <alignment/>
    </xf>
    <xf numFmtId="0" fontId="0" fillId="2" borderId="3" xfId="0" applyNumberFormat="1" applyFont="1" applyFill="1" applyAlignment="1">
      <alignment/>
    </xf>
    <xf numFmtId="0" fontId="23"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Font="1" applyAlignment="1">
      <alignment/>
    </xf>
    <xf numFmtId="0" fontId="24" fillId="0" borderId="0" xfId="0" applyNumberFormat="1" applyFont="1" applyAlignment="1">
      <alignment horizontal="right"/>
    </xf>
    <xf numFmtId="0" fontId="4" fillId="0" borderId="0" xfId="0" applyNumberFormat="1" applyFont="1" applyAlignment="1">
      <alignment horizontal="right"/>
    </xf>
    <xf numFmtId="15" fontId="12" fillId="2" borderId="0" xfId="0" applyNumberFormat="1" applyFont="1" applyFill="1" applyAlignment="1">
      <alignment horizontal="center"/>
    </xf>
    <xf numFmtId="0" fontId="12" fillId="2" borderId="4" xfId="0" applyNumberFormat="1" applyFont="1" applyFill="1" applyAlignment="1">
      <alignment/>
    </xf>
    <xf numFmtId="0" fontId="4" fillId="2" borderId="5" xfId="0" applyNumberFormat="1" applyFont="1" applyFill="1" applyAlignment="1">
      <alignment vertical="top"/>
    </xf>
    <xf numFmtId="168" fontId="0" fillId="2" borderId="5" xfId="0" applyNumberFormat="1" applyFont="1" applyFill="1" applyAlignment="1">
      <alignment/>
    </xf>
    <xf numFmtId="0" fontId="13" fillId="2" borderId="2" xfId="0" applyNumberFormat="1" applyFont="1" applyFill="1" applyAlignment="1">
      <alignment/>
    </xf>
    <xf numFmtId="0" fontId="0" fillId="2" borderId="2" xfId="0" applyNumberFormat="1" applyFont="1" applyFill="1" applyAlignment="1">
      <alignment/>
    </xf>
    <xf numFmtId="15" fontId="12" fillId="2" borderId="0" xfId="0" applyNumberFormat="1" applyFont="1" applyFill="1" applyAlignment="1">
      <alignment horizontal="centerContinuous"/>
    </xf>
    <xf numFmtId="0" fontId="25" fillId="2" borderId="0" xfId="0" applyNumberFormat="1" applyFont="1" applyFill="1" applyAlignment="1">
      <alignment/>
    </xf>
    <xf numFmtId="0" fontId="12" fillId="2" borderId="5" xfId="0" applyNumberFormat="1" applyFont="1" applyFill="1" applyAlignment="1">
      <alignment horizontal="center"/>
    </xf>
    <xf numFmtId="0" fontId="13" fillId="2" borderId="1" xfId="0" applyNumberFormat="1" applyFont="1" applyFill="1" applyAlignment="1">
      <alignment/>
    </xf>
    <xf numFmtId="0" fontId="0" fillId="0" borderId="2" xfId="0" applyNumberFormat="1" applyAlignment="1">
      <alignment/>
    </xf>
    <xf numFmtId="0" fontId="0" fillId="0" borderId="3" xfId="0" applyNumberFormat="1" applyAlignment="1">
      <alignment/>
    </xf>
    <xf numFmtId="9" fontId="12" fillId="2" borderId="0"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97"/>
  <sheetViews>
    <sheetView tabSelected="1" showOutlineSymbols="0" zoomScale="70" zoomScaleNormal="70" workbookViewId="0" topLeftCell="C1">
      <selection activeCell="N10" sqref="N10"/>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99609375" style="1" customWidth="1"/>
    <col min="14" max="16384" width="9.6640625" style="1" customWidth="1"/>
  </cols>
  <sheetData>
    <row r="1" spans="1:18" ht="20.25">
      <c r="A1" s="2"/>
      <c r="B1" s="3" t="s">
        <v>0</v>
      </c>
      <c r="C1" s="4"/>
      <c r="D1" s="5"/>
      <c r="E1" s="5"/>
      <c r="F1" s="5"/>
      <c r="G1" s="5"/>
      <c r="H1" s="5"/>
      <c r="I1" s="5"/>
      <c r="J1" s="5"/>
      <c r="K1" s="5"/>
      <c r="L1" s="5"/>
      <c r="M1" s="5"/>
      <c r="N1" s="6"/>
      <c r="O1" s="7"/>
      <c r="P1" s="7"/>
      <c r="Q1" s="7" t="s">
        <v>199</v>
      </c>
      <c r="R1" s="7"/>
    </row>
    <row r="2" spans="1:18" ht="15.75">
      <c r="A2" s="8"/>
      <c r="B2" s="9"/>
      <c r="C2" s="9"/>
      <c r="D2" s="10"/>
      <c r="E2" s="10"/>
      <c r="F2" s="10"/>
      <c r="G2" s="10"/>
      <c r="H2" s="10"/>
      <c r="I2" s="10"/>
      <c r="J2" s="10"/>
      <c r="K2" s="10"/>
      <c r="L2" s="10"/>
      <c r="M2" s="10"/>
      <c r="N2" s="6"/>
      <c r="O2" s="7"/>
      <c r="P2" s="7"/>
      <c r="Q2" s="7" t="s">
        <v>200</v>
      </c>
      <c r="R2" s="7"/>
    </row>
    <row r="3" spans="1:18" ht="15.75">
      <c r="A3" s="11"/>
      <c r="B3" s="12" t="s">
        <v>1</v>
      </c>
      <c r="C3" s="10"/>
      <c r="D3" s="10"/>
      <c r="E3" s="10"/>
      <c r="F3" s="10"/>
      <c r="G3" s="10"/>
      <c r="H3" s="10"/>
      <c r="I3" s="10"/>
      <c r="J3" s="10"/>
      <c r="K3" s="10"/>
      <c r="L3" s="10"/>
      <c r="M3" s="10"/>
      <c r="N3" s="6"/>
      <c r="O3" s="7"/>
      <c r="P3" s="7"/>
      <c r="Q3" s="7" t="s">
        <v>201</v>
      </c>
      <c r="R3" s="7"/>
    </row>
    <row r="4" spans="1:18" ht="15.75">
      <c r="A4" s="8"/>
      <c r="B4" s="9"/>
      <c r="C4" s="9"/>
      <c r="D4" s="10"/>
      <c r="E4" s="10"/>
      <c r="F4" s="10"/>
      <c r="G4" s="10"/>
      <c r="H4" s="10"/>
      <c r="I4" s="10"/>
      <c r="J4" s="10"/>
      <c r="K4" s="10"/>
      <c r="L4" s="10"/>
      <c r="M4" s="10"/>
      <c r="N4" s="6"/>
      <c r="O4" s="7"/>
      <c r="P4" s="7"/>
      <c r="Q4" s="7" t="s">
        <v>200</v>
      </c>
      <c r="R4" s="7"/>
    </row>
    <row r="5" spans="1:18" ht="12" customHeight="1">
      <c r="A5" s="8"/>
      <c r="B5" s="13" t="s">
        <v>2</v>
      </c>
      <c r="C5" s="14"/>
      <c r="D5" s="10"/>
      <c r="E5" s="10"/>
      <c r="F5" s="10"/>
      <c r="G5" s="10"/>
      <c r="H5" s="10"/>
      <c r="I5" s="10"/>
      <c r="J5" s="10"/>
      <c r="K5" s="10"/>
      <c r="L5" s="10"/>
      <c r="M5" s="10"/>
      <c r="N5" s="6"/>
      <c r="O5" s="7"/>
      <c r="P5" s="7"/>
      <c r="Q5" s="7" t="s">
        <v>202</v>
      </c>
      <c r="R5" s="7"/>
    </row>
    <row r="6" spans="1:18" ht="12" customHeight="1">
      <c r="A6" s="8"/>
      <c r="B6" s="13" t="s">
        <v>3</v>
      </c>
      <c r="C6" s="14"/>
      <c r="D6" s="10"/>
      <c r="E6" s="10"/>
      <c r="F6" s="10"/>
      <c r="G6" s="10"/>
      <c r="H6" s="10"/>
      <c r="I6" s="10"/>
      <c r="J6" s="10"/>
      <c r="K6" s="10"/>
      <c r="L6" s="10"/>
      <c r="M6" s="10"/>
      <c r="N6" s="6"/>
      <c r="O6" s="7"/>
      <c r="P6" s="7"/>
      <c r="Q6" s="7" t="s">
        <v>200</v>
      </c>
      <c r="R6" s="7"/>
    </row>
    <row r="7" spans="1:18" ht="12" customHeight="1">
      <c r="A7" s="8"/>
      <c r="B7" s="13" t="s">
        <v>4</v>
      </c>
      <c r="C7" s="14"/>
      <c r="D7" s="10"/>
      <c r="E7" s="10"/>
      <c r="F7" s="10"/>
      <c r="G7" s="10"/>
      <c r="H7" s="10"/>
      <c r="I7" s="10"/>
      <c r="J7" s="10"/>
      <c r="K7" s="10"/>
      <c r="L7" s="10"/>
      <c r="M7" s="10"/>
      <c r="N7" s="6"/>
      <c r="O7" s="7"/>
      <c r="P7" s="7"/>
      <c r="Q7" s="7" t="s">
        <v>203</v>
      </c>
      <c r="R7" s="7"/>
    </row>
    <row r="8" spans="1:18" ht="12" customHeight="1">
      <c r="A8" s="8"/>
      <c r="B8" s="13" t="s">
        <v>5</v>
      </c>
      <c r="C8" s="14"/>
      <c r="D8" s="10"/>
      <c r="E8" s="10"/>
      <c r="F8" s="10"/>
      <c r="G8" s="10"/>
      <c r="H8" s="10"/>
      <c r="I8" s="10"/>
      <c r="J8" s="10"/>
      <c r="K8" s="10"/>
      <c r="L8" s="10"/>
      <c r="M8" s="10"/>
      <c r="N8" s="6"/>
      <c r="O8" s="7"/>
      <c r="P8" s="7"/>
      <c r="Q8" s="7" t="s">
        <v>200</v>
      </c>
      <c r="R8" s="7"/>
    </row>
    <row r="9" spans="1:18" ht="12" customHeight="1">
      <c r="A9" s="8"/>
      <c r="B9" s="15"/>
      <c r="C9" s="14"/>
      <c r="D9" s="10"/>
      <c r="E9" s="10"/>
      <c r="F9" s="10"/>
      <c r="G9" s="10"/>
      <c r="H9" s="10"/>
      <c r="I9" s="10"/>
      <c r="J9" s="10"/>
      <c r="K9" s="10"/>
      <c r="L9" s="10"/>
      <c r="M9" s="10"/>
      <c r="N9" s="6"/>
      <c r="O9" s="7"/>
      <c r="P9" s="7"/>
      <c r="Q9" s="7"/>
      <c r="R9" s="7"/>
    </row>
    <row r="10" spans="1:18" ht="15.75">
      <c r="A10" s="8"/>
      <c r="B10" s="13"/>
      <c r="C10" s="14"/>
      <c r="D10" s="16"/>
      <c r="E10" s="16"/>
      <c r="F10" s="10"/>
      <c r="G10" s="10"/>
      <c r="H10" s="10"/>
      <c r="I10" s="10"/>
      <c r="J10" s="10"/>
      <c r="K10" s="10"/>
      <c r="L10" s="10"/>
      <c r="M10" s="10"/>
      <c r="N10" s="6"/>
      <c r="O10" s="7"/>
      <c r="P10" s="7"/>
      <c r="Q10" s="7"/>
      <c r="R10" s="7"/>
    </row>
    <row r="11" spans="1:18" ht="15.75">
      <c r="A11" s="8"/>
      <c r="B11" s="16" t="s">
        <v>6</v>
      </c>
      <c r="C11" s="16"/>
      <c r="D11" s="10"/>
      <c r="E11" s="10"/>
      <c r="F11" s="10"/>
      <c r="G11" s="10"/>
      <c r="H11" s="10"/>
      <c r="I11" s="10"/>
      <c r="J11" s="10"/>
      <c r="K11" s="10"/>
      <c r="L11" s="10"/>
      <c r="M11" s="10"/>
      <c r="N11" s="6"/>
      <c r="O11" s="7"/>
      <c r="P11" s="7"/>
      <c r="Q11" s="7"/>
      <c r="R11" s="7"/>
    </row>
    <row r="12" spans="1:18" ht="15.75">
      <c r="A12" s="8"/>
      <c r="B12" s="16"/>
      <c r="C12" s="16"/>
      <c r="D12" s="10"/>
      <c r="E12" s="10"/>
      <c r="F12" s="10"/>
      <c r="G12" s="10"/>
      <c r="H12" s="10"/>
      <c r="I12" s="10"/>
      <c r="J12" s="10"/>
      <c r="K12" s="10"/>
      <c r="L12" s="10"/>
      <c r="M12" s="10"/>
      <c r="N12" s="6"/>
      <c r="O12" s="7"/>
      <c r="P12" s="7"/>
      <c r="Q12" s="7"/>
      <c r="R12" s="7"/>
    </row>
    <row r="13" spans="1:18" ht="15.75">
      <c r="A13" s="2"/>
      <c r="B13" s="5"/>
      <c r="C13" s="5"/>
      <c r="D13" s="5"/>
      <c r="E13" s="5"/>
      <c r="F13" s="5"/>
      <c r="G13" s="5"/>
      <c r="H13" s="5"/>
      <c r="I13" s="5"/>
      <c r="J13" s="5"/>
      <c r="K13" s="5"/>
      <c r="L13" s="5"/>
      <c r="M13" s="5"/>
      <c r="N13" s="6"/>
      <c r="O13" s="7"/>
      <c r="P13" s="7"/>
      <c r="Q13" s="7"/>
      <c r="R13" s="7"/>
    </row>
    <row r="14" spans="1:18" ht="15.75">
      <c r="A14" s="8"/>
      <c r="B14" s="17" t="s">
        <v>7</v>
      </c>
      <c r="C14" s="17"/>
      <c r="D14" s="18"/>
      <c r="E14" s="18"/>
      <c r="F14" s="18"/>
      <c r="G14" s="18"/>
      <c r="H14" s="18"/>
      <c r="I14" s="18"/>
      <c r="J14" s="18"/>
      <c r="K14" s="18"/>
      <c r="L14" s="19" t="s">
        <v>190</v>
      </c>
      <c r="M14" s="10"/>
      <c r="N14" s="6"/>
      <c r="O14" s="7"/>
      <c r="P14" s="7"/>
      <c r="Q14" s="7"/>
      <c r="R14" s="7"/>
    </row>
    <row r="15" spans="1:18" ht="15.75">
      <c r="A15" s="8"/>
      <c r="B15" s="17" t="s">
        <v>8</v>
      </c>
      <c r="C15" s="17"/>
      <c r="D15" s="18"/>
      <c r="E15" s="18"/>
      <c r="F15" s="18"/>
      <c r="G15" s="18"/>
      <c r="H15" s="18"/>
      <c r="I15" s="18"/>
      <c r="J15" s="18"/>
      <c r="K15" s="18"/>
      <c r="L15" s="20" t="s">
        <v>191</v>
      </c>
      <c r="M15" s="10"/>
      <c r="N15" s="6"/>
      <c r="O15" s="7"/>
      <c r="P15" s="7"/>
      <c r="Q15" s="7"/>
      <c r="R15" s="7"/>
    </row>
    <row r="16" spans="1:18" ht="15.75">
      <c r="A16" s="8"/>
      <c r="B16" s="17" t="s">
        <v>9</v>
      </c>
      <c r="C16" s="17"/>
      <c r="D16" s="18"/>
      <c r="E16" s="18"/>
      <c r="F16" s="18"/>
      <c r="G16" s="18"/>
      <c r="H16" s="18"/>
      <c r="I16" s="18"/>
      <c r="J16" s="18"/>
      <c r="K16" s="18"/>
      <c r="L16" s="20" t="s">
        <v>192</v>
      </c>
      <c r="M16" s="10"/>
      <c r="N16" s="6"/>
      <c r="O16" s="7"/>
      <c r="P16" s="7"/>
      <c r="Q16" s="7"/>
      <c r="R16" s="7"/>
    </row>
    <row r="17" spans="1:18" ht="15.75">
      <c r="A17" s="8"/>
      <c r="B17" s="10"/>
      <c r="C17" s="10"/>
      <c r="D17" s="10"/>
      <c r="E17" s="10"/>
      <c r="F17" s="10"/>
      <c r="G17" s="10"/>
      <c r="H17" s="10"/>
      <c r="I17" s="10"/>
      <c r="J17" s="10"/>
      <c r="K17" s="10"/>
      <c r="L17" s="21"/>
      <c r="M17" s="10"/>
      <c r="N17" s="6"/>
      <c r="O17" s="7"/>
      <c r="P17" s="7"/>
      <c r="Q17" s="7"/>
      <c r="R17" s="7"/>
    </row>
    <row r="18" spans="1:18" ht="15.75">
      <c r="A18" s="8"/>
      <c r="B18" s="22" t="s">
        <v>10</v>
      </c>
      <c r="C18" s="10"/>
      <c r="D18" s="10"/>
      <c r="E18" s="10"/>
      <c r="F18" s="10"/>
      <c r="G18" s="10"/>
      <c r="H18" s="10"/>
      <c r="I18" s="10"/>
      <c r="J18" s="21" t="s">
        <v>173</v>
      </c>
      <c r="K18" s="10"/>
      <c r="L18" s="15"/>
      <c r="M18" s="10"/>
      <c r="N18" s="6"/>
      <c r="O18" s="7"/>
      <c r="P18" s="7"/>
      <c r="Q18" s="7"/>
      <c r="R18" s="7"/>
    </row>
    <row r="19" spans="1:18" ht="15.75">
      <c r="A19" s="8"/>
      <c r="B19" s="10"/>
      <c r="C19" s="10"/>
      <c r="D19" s="10"/>
      <c r="E19" s="10"/>
      <c r="F19" s="10"/>
      <c r="G19" s="10"/>
      <c r="H19" s="10"/>
      <c r="I19" s="10"/>
      <c r="J19" s="10"/>
      <c r="K19" s="10"/>
      <c r="L19" s="23"/>
      <c r="M19" s="10"/>
      <c r="N19" s="6"/>
      <c r="O19" s="7"/>
      <c r="P19" s="7"/>
      <c r="Q19" s="7"/>
      <c r="R19" s="7"/>
    </row>
    <row r="20" spans="1:18" ht="15.75">
      <c r="A20" s="8"/>
      <c r="B20" s="10"/>
      <c r="C20" s="24" t="s">
        <v>139</v>
      </c>
      <c r="D20" s="25" t="s">
        <v>143</v>
      </c>
      <c r="E20" s="25"/>
      <c r="F20" s="25" t="s">
        <v>154</v>
      </c>
      <c r="G20" s="25"/>
      <c r="H20" s="25" t="s">
        <v>164</v>
      </c>
      <c r="I20" s="25"/>
      <c r="J20" s="25" t="s">
        <v>174</v>
      </c>
      <c r="K20" s="15"/>
      <c r="L20" s="15"/>
      <c r="M20" s="10"/>
      <c r="N20" s="6"/>
      <c r="O20" s="7"/>
      <c r="P20" s="7"/>
      <c r="Q20" s="7"/>
      <c r="R20" s="7"/>
    </row>
    <row r="21" spans="1:18" ht="15.75">
      <c r="A21" s="26"/>
      <c r="B21" s="27" t="s">
        <v>11</v>
      </c>
      <c r="C21" s="28" t="s">
        <v>140</v>
      </c>
      <c r="D21" s="29" t="s">
        <v>144</v>
      </c>
      <c r="E21" s="29"/>
      <c r="F21" s="29" t="s">
        <v>144</v>
      </c>
      <c r="G21" s="29"/>
      <c r="H21" s="29" t="s">
        <v>165</v>
      </c>
      <c r="I21" s="29"/>
      <c r="J21" s="29" t="s">
        <v>175</v>
      </c>
      <c r="K21" s="30"/>
      <c r="L21" s="30"/>
      <c r="M21" s="27"/>
      <c r="N21" s="6"/>
      <c r="O21" s="7"/>
      <c r="P21" s="7"/>
      <c r="Q21" s="7"/>
      <c r="R21" s="7"/>
    </row>
    <row r="22" spans="1:18" ht="15.75">
      <c r="A22" s="26"/>
      <c r="B22" s="31" t="s">
        <v>12</v>
      </c>
      <c r="C22" s="31"/>
      <c r="D22" s="32" t="s">
        <v>144</v>
      </c>
      <c r="E22" s="32"/>
      <c r="F22" s="32" t="s">
        <v>144</v>
      </c>
      <c r="G22" s="32"/>
      <c r="H22" s="32" t="s">
        <v>165</v>
      </c>
      <c r="I22" s="32"/>
      <c r="J22" s="32" t="s">
        <v>175</v>
      </c>
      <c r="K22" s="33"/>
      <c r="L22" s="33"/>
      <c r="M22" s="27"/>
      <c r="N22" s="6"/>
      <c r="O22" s="7"/>
      <c r="P22" s="7"/>
      <c r="Q22" s="7"/>
      <c r="R22" s="7"/>
    </row>
    <row r="23" spans="1:18" ht="15.75">
      <c r="A23" s="26"/>
      <c r="B23" s="27" t="s">
        <v>13</v>
      </c>
      <c r="C23" s="27"/>
      <c r="D23" s="34" t="s">
        <v>145</v>
      </c>
      <c r="E23" s="29"/>
      <c r="F23" s="34" t="s">
        <v>155</v>
      </c>
      <c r="G23" s="29"/>
      <c r="H23" s="34" t="s">
        <v>166</v>
      </c>
      <c r="I23" s="29"/>
      <c r="J23" s="34" t="s">
        <v>176</v>
      </c>
      <c r="K23" s="30"/>
      <c r="L23" s="30"/>
      <c r="M23" s="27"/>
      <c r="N23" s="6"/>
      <c r="O23" s="7"/>
      <c r="P23" s="7"/>
      <c r="Q23" s="7"/>
      <c r="R23" s="7"/>
    </row>
    <row r="24" spans="1:18" ht="15.75">
      <c r="A24" s="26"/>
      <c r="B24" s="27"/>
      <c r="C24" s="27"/>
      <c r="D24" s="27"/>
      <c r="E24" s="29"/>
      <c r="F24" s="29"/>
      <c r="G24" s="29"/>
      <c r="H24" s="29"/>
      <c r="I24" s="29"/>
      <c r="J24" s="29"/>
      <c r="K24" s="30"/>
      <c r="L24" s="30"/>
      <c r="M24" s="27"/>
      <c r="N24" s="6"/>
      <c r="O24" s="7"/>
      <c r="P24" s="7"/>
      <c r="Q24" s="7"/>
      <c r="R24" s="7"/>
    </row>
    <row r="25" spans="1:18" ht="15.75">
      <c r="A25" s="26"/>
      <c r="B25" s="27" t="s">
        <v>14</v>
      </c>
      <c r="C25" s="27"/>
      <c r="D25" s="35">
        <v>55000</v>
      </c>
      <c r="E25" s="36"/>
      <c r="F25" s="35">
        <v>77000</v>
      </c>
      <c r="G25" s="35"/>
      <c r="H25" s="35">
        <v>33000</v>
      </c>
      <c r="I25" s="35"/>
      <c r="J25" s="35">
        <v>10000</v>
      </c>
      <c r="K25" s="37"/>
      <c r="L25" s="35">
        <f>J25+H25+F25+D25</f>
        <v>175000</v>
      </c>
      <c r="M25" s="38"/>
      <c r="N25" s="6"/>
      <c r="O25" s="7"/>
      <c r="P25" s="7"/>
      <c r="Q25" s="7"/>
      <c r="R25" s="7"/>
    </row>
    <row r="26" spans="1:18" ht="15.75">
      <c r="A26" s="26"/>
      <c r="B26" s="27" t="s">
        <v>15</v>
      </c>
      <c r="C26" s="27">
        <v>0.42984</v>
      </c>
      <c r="D26" s="35">
        <v>23641.2</v>
      </c>
      <c r="E26" s="36"/>
      <c r="F26" s="35">
        <v>77000</v>
      </c>
      <c r="G26" s="35"/>
      <c r="H26" s="35">
        <v>33000</v>
      </c>
      <c r="I26" s="35"/>
      <c r="J26" s="35">
        <v>10000</v>
      </c>
      <c r="K26" s="37"/>
      <c r="L26" s="35">
        <f>J26+H26+F26+D26</f>
        <v>143641.2</v>
      </c>
      <c r="M26" s="38"/>
      <c r="N26" s="6"/>
      <c r="O26" s="7"/>
      <c r="P26" s="7"/>
      <c r="Q26" s="7"/>
      <c r="R26" s="7"/>
    </row>
    <row r="27" spans="1:18" ht="12.75" customHeight="1">
      <c r="A27" s="26"/>
      <c r="B27" s="31" t="s">
        <v>16</v>
      </c>
      <c r="C27" s="39">
        <v>0.308843</v>
      </c>
      <c r="D27" s="40">
        <v>16986.365</v>
      </c>
      <c r="E27" s="41"/>
      <c r="F27" s="40">
        <v>77000</v>
      </c>
      <c r="G27" s="40"/>
      <c r="H27" s="40">
        <v>33000</v>
      </c>
      <c r="I27" s="40"/>
      <c r="J27" s="40">
        <v>10000</v>
      </c>
      <c r="K27" s="42"/>
      <c r="L27" s="40">
        <f>J27+H27+F27+D27</f>
        <v>136986.365</v>
      </c>
      <c r="M27" s="43"/>
      <c r="N27" s="44"/>
      <c r="O27" s="7"/>
      <c r="P27" s="7"/>
      <c r="Q27" s="7"/>
      <c r="R27" s="7"/>
    </row>
    <row r="28" spans="1:18" ht="15.75">
      <c r="A28" s="26"/>
      <c r="B28" s="27" t="s">
        <v>17</v>
      </c>
      <c r="C28" s="27"/>
      <c r="D28" s="34" t="s">
        <v>146</v>
      </c>
      <c r="E28" s="27"/>
      <c r="F28" s="34" t="s">
        <v>156</v>
      </c>
      <c r="G28" s="34"/>
      <c r="H28" s="34" t="s">
        <v>167</v>
      </c>
      <c r="I28" s="34"/>
      <c r="J28" s="34" t="s">
        <v>177</v>
      </c>
      <c r="K28" s="30"/>
      <c r="L28" s="30"/>
      <c r="M28" s="27"/>
      <c r="N28" s="6"/>
      <c r="O28" s="7"/>
      <c r="P28" s="7"/>
      <c r="Q28" s="7"/>
      <c r="R28" s="7"/>
    </row>
    <row r="29" spans="1:18" ht="15.75">
      <c r="A29" s="26"/>
      <c r="B29" s="27" t="s">
        <v>18</v>
      </c>
      <c r="C29" s="27"/>
      <c r="D29" s="45">
        <f>(5.42406)/100</f>
        <v>0.0542406</v>
      </c>
      <c r="E29" s="27"/>
      <c r="F29" s="45">
        <f>(5.50406)/100</f>
        <v>0.0550406</v>
      </c>
      <c r="G29" s="46"/>
      <c r="H29" s="45">
        <f>(5.72406)/100</f>
        <v>0.057240599999999996</v>
      </c>
      <c r="I29" s="46"/>
      <c r="J29" s="45">
        <f>(6.24406)/100</f>
        <v>0.0624406</v>
      </c>
      <c r="K29" s="30"/>
      <c r="L29" s="46">
        <f>SUMPRODUCT(D29:J29,D26:J26)/L26</f>
        <v>0.05592953047398657</v>
      </c>
      <c r="M29" s="27"/>
      <c r="N29" s="6"/>
      <c r="O29" s="7"/>
      <c r="P29" s="7"/>
      <c r="Q29" s="7"/>
      <c r="R29" s="7"/>
    </row>
    <row r="30" spans="1:18" ht="15.75">
      <c r="A30" s="26"/>
      <c r="B30" s="27" t="s">
        <v>19</v>
      </c>
      <c r="C30" s="27"/>
      <c r="D30" s="45">
        <f>(6.35766)/100</f>
        <v>0.0635766</v>
      </c>
      <c r="E30" s="27"/>
      <c r="F30" s="45">
        <f>(6.43766)/100</f>
        <v>0.0643766</v>
      </c>
      <c r="G30" s="46"/>
      <c r="H30" s="45">
        <f>(6.65766)/100</f>
        <v>0.0665766</v>
      </c>
      <c r="I30" s="46"/>
      <c r="J30" s="45">
        <f>(7.17766)/100</f>
        <v>0.07177660000000001</v>
      </c>
      <c r="K30" s="30"/>
      <c r="L30" s="30"/>
      <c r="M30" s="27"/>
      <c r="N30" s="6"/>
      <c r="O30" s="7"/>
      <c r="P30" s="7"/>
      <c r="Q30" s="7"/>
      <c r="R30" s="7"/>
    </row>
    <row r="31" spans="1:18" ht="15.75">
      <c r="A31" s="26"/>
      <c r="B31" s="27" t="s">
        <v>20</v>
      </c>
      <c r="C31" s="27"/>
      <c r="D31" s="34" t="s">
        <v>147</v>
      </c>
      <c r="E31" s="27"/>
      <c r="F31" s="34" t="s">
        <v>157</v>
      </c>
      <c r="G31" s="34"/>
      <c r="H31" s="34" t="s">
        <v>157</v>
      </c>
      <c r="I31" s="34"/>
      <c r="J31" s="34" t="s">
        <v>157</v>
      </c>
      <c r="K31" s="30"/>
      <c r="L31" s="30"/>
      <c r="M31" s="27"/>
      <c r="N31" s="6"/>
      <c r="O31" s="7"/>
      <c r="P31" s="7"/>
      <c r="Q31" s="7"/>
      <c r="R31" s="7"/>
    </row>
    <row r="32" spans="1:18" ht="15.75">
      <c r="A32" s="26"/>
      <c r="B32" s="27" t="s">
        <v>21</v>
      </c>
      <c r="C32" s="27"/>
      <c r="D32" s="34" t="s">
        <v>148</v>
      </c>
      <c r="E32" s="27"/>
      <c r="F32" s="34" t="s">
        <v>158</v>
      </c>
      <c r="G32" s="34"/>
      <c r="H32" s="34" t="s">
        <v>158</v>
      </c>
      <c r="I32" s="34"/>
      <c r="J32" s="34" t="s">
        <v>158</v>
      </c>
      <c r="K32" s="30"/>
      <c r="L32" s="30"/>
      <c r="M32" s="27"/>
      <c r="N32" s="6"/>
      <c r="O32" s="7"/>
      <c r="P32" s="7"/>
      <c r="Q32" s="7"/>
      <c r="R32" s="7"/>
    </row>
    <row r="33" spans="1:18" ht="15.75">
      <c r="A33" s="26"/>
      <c r="B33" s="27" t="s">
        <v>22</v>
      </c>
      <c r="C33" s="27"/>
      <c r="D33" s="34" t="s">
        <v>149</v>
      </c>
      <c r="E33" s="27"/>
      <c r="F33" s="34" t="s">
        <v>159</v>
      </c>
      <c r="G33" s="34"/>
      <c r="H33" s="34" t="s">
        <v>168</v>
      </c>
      <c r="I33" s="34"/>
      <c r="J33" s="34" t="s">
        <v>178</v>
      </c>
      <c r="K33" s="30"/>
      <c r="L33" s="30"/>
      <c r="M33" s="27"/>
      <c r="N33" s="6"/>
      <c r="O33" s="7"/>
      <c r="P33" s="7"/>
      <c r="Q33" s="7"/>
      <c r="R33" s="7"/>
    </row>
    <row r="34" spans="1:18" ht="15.75">
      <c r="A34" s="26"/>
      <c r="B34" s="27"/>
      <c r="C34" s="27"/>
      <c r="D34" s="47"/>
      <c r="E34" s="47"/>
      <c r="F34" s="27"/>
      <c r="G34" s="47"/>
      <c r="H34" s="47"/>
      <c r="I34" s="47"/>
      <c r="J34" s="47"/>
      <c r="K34" s="47"/>
      <c r="L34" s="47"/>
      <c r="M34" s="27"/>
      <c r="N34" s="6"/>
      <c r="O34" s="7"/>
      <c r="P34" s="7"/>
      <c r="Q34" s="7"/>
      <c r="R34" s="7"/>
    </row>
    <row r="35" spans="1:18" ht="15.75">
      <c r="A35" s="26"/>
      <c r="B35" s="27" t="s">
        <v>23</v>
      </c>
      <c r="C35" s="27"/>
      <c r="D35" s="27"/>
      <c r="E35" s="27"/>
      <c r="F35" s="27"/>
      <c r="G35" s="27"/>
      <c r="H35" s="27"/>
      <c r="I35" s="27"/>
      <c r="J35" s="27"/>
      <c r="K35" s="27"/>
      <c r="L35" s="46">
        <f>(H25+J25)/(D25+F25)</f>
        <v>0.32575757575757575</v>
      </c>
      <c r="M35" s="27"/>
      <c r="N35" s="6"/>
      <c r="O35" s="7"/>
      <c r="P35" s="7"/>
      <c r="Q35" s="7"/>
      <c r="R35" s="7"/>
    </row>
    <row r="36" spans="1:18" ht="15.75">
      <c r="A36" s="26"/>
      <c r="B36" s="27" t="s">
        <v>24</v>
      </c>
      <c r="C36" s="27"/>
      <c r="D36" s="27"/>
      <c r="E36" s="27"/>
      <c r="F36" s="27"/>
      <c r="G36" s="27"/>
      <c r="H36" s="27"/>
      <c r="I36" s="27"/>
      <c r="J36" s="27"/>
      <c r="K36" s="27"/>
      <c r="L36" s="46">
        <f>(H27+J27)/(D27+F27)</f>
        <v>0.45751317225642246</v>
      </c>
      <c r="M36" s="27"/>
      <c r="N36" s="6"/>
      <c r="O36" s="7"/>
      <c r="P36" s="7"/>
      <c r="Q36" s="7"/>
      <c r="R36" s="7"/>
    </row>
    <row r="37" spans="1:18" ht="15.75">
      <c r="A37" s="26"/>
      <c r="B37" s="27" t="s">
        <v>25</v>
      </c>
      <c r="C37" s="27"/>
      <c r="D37" s="27"/>
      <c r="E37" s="27"/>
      <c r="F37" s="27"/>
      <c r="G37" s="27"/>
      <c r="H37" s="27"/>
      <c r="I37" s="27"/>
      <c r="J37" s="34" t="s">
        <v>179</v>
      </c>
      <c r="K37" s="34" t="s">
        <v>188</v>
      </c>
      <c r="L37" s="35">
        <f>44500000/1000</f>
        <v>44500</v>
      </c>
      <c r="M37" s="27"/>
      <c r="N37" s="6"/>
      <c r="O37" s="7"/>
      <c r="P37" s="7"/>
      <c r="Q37" s="7"/>
      <c r="R37" s="7"/>
    </row>
    <row r="38" spans="1:18" ht="15.75">
      <c r="A38" s="26"/>
      <c r="B38" s="27"/>
      <c r="C38" s="27"/>
      <c r="D38" s="27"/>
      <c r="E38" s="27"/>
      <c r="F38" s="27"/>
      <c r="G38" s="27"/>
      <c r="H38" s="27"/>
      <c r="I38" s="27"/>
      <c r="J38" s="27"/>
      <c r="K38" s="27"/>
      <c r="L38" s="48"/>
      <c r="M38" s="27"/>
      <c r="N38" s="6"/>
      <c r="O38" s="7"/>
      <c r="P38" s="7"/>
      <c r="Q38" s="7"/>
      <c r="R38" s="7"/>
    </row>
    <row r="39" spans="1:18" ht="15.75">
      <c r="A39" s="26"/>
      <c r="B39" s="27" t="s">
        <v>26</v>
      </c>
      <c r="C39" s="27"/>
      <c r="D39" s="27"/>
      <c r="E39" s="27"/>
      <c r="F39" s="27"/>
      <c r="G39" s="27"/>
      <c r="H39" s="27"/>
      <c r="I39" s="27"/>
      <c r="J39" s="34"/>
      <c r="K39" s="34"/>
      <c r="L39" s="34" t="s">
        <v>193</v>
      </c>
      <c r="M39" s="27"/>
      <c r="N39" s="6"/>
      <c r="O39" s="7"/>
      <c r="P39" s="7"/>
      <c r="Q39" s="7"/>
      <c r="R39" s="7"/>
    </row>
    <row r="40" spans="1:18" ht="15.75">
      <c r="A40" s="26"/>
      <c r="B40" s="31" t="s">
        <v>27</v>
      </c>
      <c r="C40" s="31"/>
      <c r="D40" s="31"/>
      <c r="E40" s="31"/>
      <c r="F40" s="31"/>
      <c r="G40" s="31"/>
      <c r="H40" s="31"/>
      <c r="I40" s="31"/>
      <c r="J40" s="49"/>
      <c r="K40" s="49"/>
      <c r="L40" s="50">
        <v>36341</v>
      </c>
      <c r="M40" s="31"/>
      <c r="N40" s="6"/>
      <c r="O40" s="7"/>
      <c r="P40" s="7"/>
      <c r="Q40" s="7"/>
      <c r="R40" s="7"/>
    </row>
    <row r="41" spans="1:18" ht="15.75">
      <c r="A41" s="26"/>
      <c r="B41" s="27" t="s">
        <v>28</v>
      </c>
      <c r="C41" s="27"/>
      <c r="D41" s="27"/>
      <c r="E41" s="27"/>
      <c r="F41" s="27"/>
      <c r="G41" s="27"/>
      <c r="H41" s="27"/>
      <c r="I41" s="27">
        <f>L41-J41+1</f>
        <v>90</v>
      </c>
      <c r="J41" s="51">
        <v>36160</v>
      </c>
      <c r="K41" s="52"/>
      <c r="L41" s="51">
        <v>36249</v>
      </c>
      <c r="M41" s="27"/>
      <c r="N41" s="6"/>
      <c r="O41" s="7"/>
      <c r="P41" s="7"/>
      <c r="Q41" s="7"/>
      <c r="R41" s="7"/>
    </row>
    <row r="42" spans="1:18" ht="15.75">
      <c r="A42" s="26"/>
      <c r="B42" s="27" t="s">
        <v>29</v>
      </c>
      <c r="C42" s="27"/>
      <c r="D42" s="27"/>
      <c r="E42" s="27"/>
      <c r="F42" s="27"/>
      <c r="G42" s="27"/>
      <c r="H42" s="27"/>
      <c r="I42" s="27">
        <f>L42-J42+1</f>
        <v>91</v>
      </c>
      <c r="J42" s="51">
        <v>36250</v>
      </c>
      <c r="K42" s="52"/>
      <c r="L42" s="51">
        <v>36340</v>
      </c>
      <c r="M42" s="27"/>
      <c r="N42" s="6"/>
      <c r="O42" s="7"/>
      <c r="P42" s="7"/>
      <c r="Q42" s="7"/>
      <c r="R42" s="7"/>
    </row>
    <row r="43" spans="1:18" ht="15.75">
      <c r="A43" s="26"/>
      <c r="B43" s="27" t="s">
        <v>30</v>
      </c>
      <c r="C43" s="27"/>
      <c r="D43" s="27"/>
      <c r="E43" s="27"/>
      <c r="F43" s="27"/>
      <c r="G43" s="27"/>
      <c r="H43" s="27"/>
      <c r="I43" s="27"/>
      <c r="J43" s="51"/>
      <c r="K43" s="52"/>
      <c r="L43" s="51" t="s">
        <v>194</v>
      </c>
      <c r="M43" s="27"/>
      <c r="N43" s="6"/>
      <c r="O43" s="7"/>
      <c r="P43" s="7"/>
      <c r="Q43" s="7"/>
      <c r="R43" s="7"/>
    </row>
    <row r="44" spans="1:18" ht="15.75">
      <c r="A44" s="26"/>
      <c r="B44" s="27" t="s">
        <v>31</v>
      </c>
      <c r="C44" s="27"/>
      <c r="D44" s="27"/>
      <c r="E44" s="27"/>
      <c r="F44" s="27"/>
      <c r="G44" s="27"/>
      <c r="H44" s="27"/>
      <c r="I44" s="27"/>
      <c r="J44" s="51"/>
      <c r="K44" s="52"/>
      <c r="L44" s="51">
        <v>36332</v>
      </c>
      <c r="M44" s="27"/>
      <c r="N44" s="6"/>
      <c r="O44" s="7"/>
      <c r="P44" s="7"/>
      <c r="Q44" s="7"/>
      <c r="R44" s="7"/>
    </row>
    <row r="45" spans="1:18" ht="15.75">
      <c r="A45" s="26"/>
      <c r="B45" s="27"/>
      <c r="C45" s="27"/>
      <c r="D45" s="27"/>
      <c r="E45" s="27"/>
      <c r="F45" s="27"/>
      <c r="G45" s="27"/>
      <c r="H45" s="27"/>
      <c r="I45" s="27"/>
      <c r="J45" s="27"/>
      <c r="K45" s="27"/>
      <c r="L45" s="53"/>
      <c r="M45" s="27"/>
      <c r="N45" s="6"/>
      <c r="O45" s="7"/>
      <c r="P45" s="7"/>
      <c r="Q45" s="7"/>
      <c r="R45" s="7"/>
    </row>
    <row r="46" spans="1:18" ht="15.75">
      <c r="A46" s="8"/>
      <c r="B46" s="27"/>
      <c r="C46" s="27"/>
      <c r="D46" s="27"/>
      <c r="E46" s="27"/>
      <c r="F46" s="27"/>
      <c r="G46" s="27"/>
      <c r="H46" s="27"/>
      <c r="I46" s="27"/>
      <c r="J46" s="27"/>
      <c r="K46" s="27"/>
      <c r="L46" s="54"/>
      <c r="M46" s="27"/>
      <c r="N46" s="6"/>
      <c r="O46" s="7"/>
      <c r="P46" s="7"/>
      <c r="Q46" s="7"/>
      <c r="R46" s="7"/>
    </row>
    <row r="47" spans="1:18" ht="15.75">
      <c r="A47" s="2"/>
      <c r="B47" s="55" t="s">
        <v>32</v>
      </c>
      <c r="C47" s="56"/>
      <c r="D47" s="5"/>
      <c r="E47" s="5"/>
      <c r="F47" s="5"/>
      <c r="G47" s="5"/>
      <c r="H47" s="5"/>
      <c r="I47" s="5"/>
      <c r="J47" s="5"/>
      <c r="K47" s="5"/>
      <c r="L47" s="57"/>
      <c r="M47" s="5"/>
      <c r="N47" s="6"/>
      <c r="O47" s="7"/>
      <c r="P47" s="7"/>
      <c r="Q47" s="7"/>
      <c r="R47" s="7"/>
    </row>
    <row r="48" spans="1:18" ht="15.75">
      <c r="A48" s="8"/>
      <c r="B48" s="16"/>
      <c r="C48" s="16"/>
      <c r="D48" s="10"/>
      <c r="E48" s="10"/>
      <c r="F48" s="10"/>
      <c r="G48" s="10"/>
      <c r="H48" s="10"/>
      <c r="I48" s="10"/>
      <c r="J48" s="10"/>
      <c r="K48" s="10"/>
      <c r="L48" s="58"/>
      <c r="M48" s="10"/>
      <c r="N48" s="6"/>
      <c r="O48" s="7"/>
      <c r="P48" s="7"/>
      <c r="Q48" s="7"/>
      <c r="R48" s="7"/>
    </row>
    <row r="49" spans="1:18" ht="63">
      <c r="A49" s="8"/>
      <c r="B49" s="59" t="s">
        <v>33</v>
      </c>
      <c r="C49" s="60" t="s">
        <v>141</v>
      </c>
      <c r="D49" s="60" t="s">
        <v>150</v>
      </c>
      <c r="E49" s="60"/>
      <c r="F49" s="60" t="s">
        <v>160</v>
      </c>
      <c r="G49" s="60"/>
      <c r="H49" s="60" t="s">
        <v>169</v>
      </c>
      <c r="I49" s="60"/>
      <c r="J49" s="60" t="s">
        <v>180</v>
      </c>
      <c r="K49" s="60"/>
      <c r="L49" s="61" t="s">
        <v>195</v>
      </c>
      <c r="M49" s="10"/>
      <c r="N49" s="6"/>
      <c r="O49" s="7"/>
      <c r="P49" s="7"/>
      <c r="Q49" s="7"/>
      <c r="R49" s="7"/>
    </row>
    <row r="50" spans="1:18" ht="15.75">
      <c r="A50" s="26"/>
      <c r="B50" s="27" t="s">
        <v>34</v>
      </c>
      <c r="C50" s="38">
        <v>165784</v>
      </c>
      <c r="D50" s="38">
        <f>143078-1206</f>
        <v>141872</v>
      </c>
      <c r="E50" s="38"/>
      <c r="F50" s="38">
        <f>6868-1206</f>
        <v>5662</v>
      </c>
      <c r="G50" s="38"/>
      <c r="H50" s="38">
        <f>L136</f>
        <v>12</v>
      </c>
      <c r="I50" s="38"/>
      <c r="J50" s="38">
        <v>0</v>
      </c>
      <c r="K50" s="38"/>
      <c r="L50" s="62">
        <f>D50-F50+H50-J50</f>
        <v>136222</v>
      </c>
      <c r="M50" s="27"/>
      <c r="N50" s="6"/>
      <c r="O50" s="7"/>
      <c r="P50" s="7"/>
      <c r="Q50" s="7"/>
      <c r="R50" s="7"/>
    </row>
    <row r="51" spans="1:18" ht="15.75">
      <c r="A51" s="26"/>
      <c r="B51" s="27" t="s">
        <v>35</v>
      </c>
      <c r="C51" s="38">
        <v>19105</v>
      </c>
      <c r="D51" s="38">
        <f>C51-8050</f>
        <v>11055</v>
      </c>
      <c r="E51" s="38"/>
      <c r="F51" s="38">
        <f>J74</f>
        <v>1260</v>
      </c>
      <c r="G51" s="38"/>
      <c r="H51" s="38">
        <v>0</v>
      </c>
      <c r="I51" s="38"/>
      <c r="J51" s="38">
        <v>0</v>
      </c>
      <c r="K51" s="38"/>
      <c r="L51" s="62">
        <f>D51-F51</f>
        <v>9795</v>
      </c>
      <c r="M51" s="27"/>
      <c r="N51" s="6"/>
      <c r="O51" s="7"/>
      <c r="P51" s="7"/>
      <c r="Q51" s="7"/>
      <c r="R51" s="7"/>
    </row>
    <row r="52" spans="1:18" ht="15.75">
      <c r="A52" s="26"/>
      <c r="B52" s="27"/>
      <c r="C52" s="38"/>
      <c r="D52" s="38"/>
      <c r="E52" s="38"/>
      <c r="F52" s="38"/>
      <c r="G52" s="38"/>
      <c r="H52" s="38"/>
      <c r="I52" s="38"/>
      <c r="J52" s="38"/>
      <c r="K52" s="38"/>
      <c r="L52" s="62"/>
      <c r="M52" s="27"/>
      <c r="N52" s="6"/>
      <c r="O52" s="7"/>
      <c r="P52" s="7"/>
      <c r="Q52" s="7"/>
      <c r="R52" s="7"/>
    </row>
    <row r="53" spans="1:18" ht="15.75">
      <c r="A53" s="26"/>
      <c r="B53" s="27" t="s">
        <v>36</v>
      </c>
      <c r="C53" s="38">
        <f>SUM(C50:C52)</f>
        <v>184889</v>
      </c>
      <c r="D53" s="38">
        <f>SUM(D50:D52)</f>
        <v>152927</v>
      </c>
      <c r="E53" s="38"/>
      <c r="F53" s="38">
        <f>SUM(F50:F52)</f>
        <v>6922</v>
      </c>
      <c r="G53" s="38"/>
      <c r="H53" s="38">
        <f>SUM(H50:H52)</f>
        <v>12</v>
      </c>
      <c r="I53" s="38"/>
      <c r="J53" s="38">
        <f>SUM(J50:J52)</f>
        <v>0</v>
      </c>
      <c r="K53" s="38"/>
      <c r="L53" s="63">
        <f>SUM(L50:L52)</f>
        <v>146017</v>
      </c>
      <c r="M53" s="27"/>
      <c r="N53" s="6"/>
      <c r="O53" s="7"/>
      <c r="P53" s="7"/>
      <c r="Q53" s="7"/>
      <c r="R53" s="7"/>
    </row>
    <row r="54" spans="1:18" ht="15.75">
      <c r="A54" s="26"/>
      <c r="B54" s="27"/>
      <c r="C54" s="38"/>
      <c r="D54" s="38"/>
      <c r="E54" s="38"/>
      <c r="F54" s="38"/>
      <c r="G54" s="38"/>
      <c r="H54" s="38"/>
      <c r="I54" s="38"/>
      <c r="J54" s="38"/>
      <c r="K54" s="38"/>
      <c r="L54" s="63"/>
      <c r="M54" s="27"/>
      <c r="N54" s="6"/>
      <c r="O54" s="7"/>
      <c r="P54" s="7"/>
      <c r="Q54" s="7"/>
      <c r="R54" s="7"/>
    </row>
    <row r="55" spans="1:18" ht="15.75">
      <c r="A55" s="8"/>
      <c r="B55" s="12" t="s">
        <v>37</v>
      </c>
      <c r="C55" s="64"/>
      <c r="D55" s="64"/>
      <c r="E55" s="64"/>
      <c r="F55" s="64"/>
      <c r="G55" s="64"/>
      <c r="H55" s="64"/>
      <c r="I55" s="64"/>
      <c r="J55" s="64"/>
      <c r="K55" s="64"/>
      <c r="L55" s="65"/>
      <c r="M55" s="10"/>
      <c r="N55" s="66"/>
      <c r="O55" s="7"/>
      <c r="P55" s="7"/>
      <c r="Q55" s="7"/>
      <c r="R55" s="7"/>
    </row>
    <row r="56" spans="1:18" ht="15.75">
      <c r="A56" s="8"/>
      <c r="B56" s="10"/>
      <c r="C56" s="64"/>
      <c r="D56" s="64"/>
      <c r="E56" s="64"/>
      <c r="F56" s="64"/>
      <c r="G56" s="64"/>
      <c r="H56" s="64"/>
      <c r="I56" s="64"/>
      <c r="J56" s="64"/>
      <c r="K56" s="64"/>
      <c r="L56" s="65"/>
      <c r="M56" s="10"/>
      <c r="N56" s="6"/>
      <c r="O56" s="7"/>
      <c r="P56" s="7"/>
      <c r="Q56" s="7"/>
      <c r="R56" s="7"/>
    </row>
    <row r="57" spans="1:18" ht="15.75">
      <c r="A57" s="26"/>
      <c r="B57" s="27" t="s">
        <v>34</v>
      </c>
      <c r="C57" s="38"/>
      <c r="D57" s="38"/>
      <c r="E57" s="38"/>
      <c r="F57" s="38"/>
      <c r="G57" s="38"/>
      <c r="H57" s="38"/>
      <c r="I57" s="38"/>
      <c r="J57" s="38"/>
      <c r="K57" s="38"/>
      <c r="L57" s="63"/>
      <c r="M57" s="27"/>
      <c r="N57" s="6"/>
      <c r="O57" s="7"/>
      <c r="P57" s="7"/>
      <c r="Q57" s="7"/>
      <c r="R57" s="7"/>
    </row>
    <row r="58" spans="1:18" ht="15.75">
      <c r="A58" s="26"/>
      <c r="B58" s="27" t="s">
        <v>35</v>
      </c>
      <c r="C58" s="38"/>
      <c r="D58" s="38"/>
      <c r="E58" s="38"/>
      <c r="F58" s="38"/>
      <c r="G58" s="38"/>
      <c r="H58" s="38"/>
      <c r="I58" s="38"/>
      <c r="J58" s="38"/>
      <c r="K58" s="38"/>
      <c r="L58" s="63"/>
      <c r="M58" s="27"/>
      <c r="N58" s="6"/>
      <c r="O58" s="7"/>
      <c r="P58" s="7"/>
      <c r="Q58" s="7"/>
      <c r="R58" s="7"/>
    </row>
    <row r="59" spans="1:18" ht="15.75">
      <c r="A59" s="26"/>
      <c r="B59" s="27"/>
      <c r="C59" s="38"/>
      <c r="D59" s="38"/>
      <c r="E59" s="38"/>
      <c r="F59" s="38"/>
      <c r="G59" s="38"/>
      <c r="H59" s="38"/>
      <c r="I59" s="38"/>
      <c r="J59" s="38"/>
      <c r="K59" s="38"/>
      <c r="L59" s="63"/>
      <c r="M59" s="27"/>
      <c r="N59" s="6"/>
      <c r="O59" s="7"/>
      <c r="P59" s="7"/>
      <c r="Q59" s="7"/>
      <c r="R59" s="7"/>
    </row>
    <row r="60" spans="1:18" ht="15.75">
      <c r="A60" s="26"/>
      <c r="B60" s="27" t="s">
        <v>36</v>
      </c>
      <c r="C60" s="38"/>
      <c r="D60" s="38"/>
      <c r="E60" s="38"/>
      <c r="F60" s="38"/>
      <c r="G60" s="38"/>
      <c r="H60" s="38"/>
      <c r="I60" s="38"/>
      <c r="J60" s="38"/>
      <c r="K60" s="38"/>
      <c r="L60" s="38"/>
      <c r="M60" s="27"/>
      <c r="N60" s="66"/>
      <c r="O60" s="7"/>
      <c r="P60" s="7"/>
      <c r="Q60" s="7"/>
      <c r="R60" s="7"/>
    </row>
    <row r="61" spans="1:18" ht="15.75">
      <c r="A61" s="26"/>
      <c r="B61" s="27"/>
      <c r="C61" s="38"/>
      <c r="D61" s="38"/>
      <c r="E61" s="38"/>
      <c r="F61" s="38"/>
      <c r="G61" s="38"/>
      <c r="H61" s="38"/>
      <c r="I61" s="38"/>
      <c r="J61" s="38"/>
      <c r="K61" s="38"/>
      <c r="L61" s="38"/>
      <c r="M61" s="27"/>
      <c r="N61" s="6"/>
      <c r="O61" s="7"/>
      <c r="P61" s="7"/>
      <c r="Q61" s="7"/>
      <c r="R61" s="7"/>
    </row>
    <row r="62" spans="1:18" ht="15.75">
      <c r="A62" s="26"/>
      <c r="B62" s="27" t="s">
        <v>38</v>
      </c>
      <c r="C62" s="38">
        <v>-9889</v>
      </c>
      <c r="D62" s="38">
        <v>-9889</v>
      </c>
      <c r="E62" s="38"/>
      <c r="F62" s="38"/>
      <c r="G62" s="38"/>
      <c r="H62" s="38"/>
      <c r="I62" s="38"/>
      <c r="J62" s="38"/>
      <c r="K62" s="38"/>
      <c r="L62" s="62">
        <f>D62-F62+H62-J62</f>
        <v>-9889</v>
      </c>
      <c r="M62" s="27"/>
      <c r="N62" s="6"/>
      <c r="O62" s="7"/>
      <c r="P62" s="7"/>
      <c r="Q62" s="7"/>
      <c r="R62" s="7"/>
    </row>
    <row r="63" spans="1:18" ht="15.75">
      <c r="A63" s="26"/>
      <c r="B63" s="27" t="s">
        <v>39</v>
      </c>
      <c r="C63" s="38">
        <v>0</v>
      </c>
      <c r="D63" s="38">
        <v>0</v>
      </c>
      <c r="E63" s="38"/>
      <c r="F63" s="38"/>
      <c r="G63" s="38"/>
      <c r="H63" s="38"/>
      <c r="I63" s="38"/>
      <c r="J63" s="38"/>
      <c r="K63" s="38"/>
      <c r="L63" s="63">
        <v>0</v>
      </c>
      <c r="M63" s="27"/>
      <c r="N63" s="6"/>
      <c r="O63" s="7"/>
      <c r="P63" s="7"/>
      <c r="Q63" s="7"/>
      <c r="R63" s="7"/>
    </row>
    <row r="64" spans="1:18" ht="15.75">
      <c r="A64" s="26"/>
      <c r="B64" s="27" t="s">
        <v>40</v>
      </c>
      <c r="C64" s="38">
        <v>0</v>
      </c>
      <c r="D64" s="38">
        <f>L120</f>
        <v>603</v>
      </c>
      <c r="E64" s="38"/>
      <c r="F64" s="38"/>
      <c r="G64" s="38"/>
      <c r="H64" s="38"/>
      <c r="I64" s="38"/>
      <c r="J64" s="38"/>
      <c r="K64" s="38"/>
      <c r="L64" s="63">
        <f>L124</f>
        <v>858</v>
      </c>
      <c r="M64" s="27"/>
      <c r="N64" s="6"/>
      <c r="O64" s="7"/>
      <c r="P64" s="7"/>
      <c r="Q64" s="7"/>
      <c r="R64" s="7"/>
    </row>
    <row r="65" spans="1:18" ht="15.75">
      <c r="A65" s="26"/>
      <c r="B65" s="27" t="s">
        <v>41</v>
      </c>
      <c r="C65" s="63">
        <f>SUM(C53:C64)</f>
        <v>175000</v>
      </c>
      <c r="D65" s="63">
        <f>SUM(D53:D64)</f>
        <v>143641</v>
      </c>
      <c r="E65" s="38"/>
      <c r="F65" s="63">
        <f>SUM(F53:F64)</f>
        <v>6922</v>
      </c>
      <c r="G65" s="38"/>
      <c r="H65" s="63"/>
      <c r="I65" s="38"/>
      <c r="J65" s="63">
        <f>SUM(J53:J64)</f>
        <v>0</v>
      </c>
      <c r="K65" s="38"/>
      <c r="L65" s="63">
        <f>SUM(L53:L64)</f>
        <v>136986</v>
      </c>
      <c r="M65" s="27"/>
      <c r="N65" s="6"/>
      <c r="O65" s="7"/>
      <c r="P65" s="7"/>
      <c r="Q65" s="7"/>
      <c r="R65" s="7"/>
    </row>
    <row r="66" spans="1:18" ht="15.75">
      <c r="A66" s="26"/>
      <c r="B66" s="27"/>
      <c r="C66" s="38"/>
      <c r="D66" s="38"/>
      <c r="E66" s="38"/>
      <c r="F66" s="38"/>
      <c r="G66" s="38"/>
      <c r="H66" s="38"/>
      <c r="I66" s="38"/>
      <c r="J66" s="38"/>
      <c r="K66" s="38"/>
      <c r="L66" s="63"/>
      <c r="M66" s="27"/>
      <c r="N66" s="6"/>
      <c r="O66" s="7"/>
      <c r="P66" s="7"/>
      <c r="Q66" s="7"/>
      <c r="R66" s="7"/>
    </row>
    <row r="67" spans="1:18" ht="15.75">
      <c r="A67" s="8"/>
      <c r="B67" s="10"/>
      <c r="C67" s="10"/>
      <c r="D67" s="10"/>
      <c r="E67" s="10"/>
      <c r="F67" s="10"/>
      <c r="G67" s="10"/>
      <c r="H67" s="10"/>
      <c r="I67" s="10"/>
      <c r="J67" s="10"/>
      <c r="K67" s="10"/>
      <c r="L67" s="10"/>
      <c r="M67" s="10"/>
      <c r="N67" s="6"/>
      <c r="O67" s="7"/>
      <c r="P67" s="7"/>
      <c r="Q67" s="7"/>
      <c r="R67" s="7"/>
    </row>
    <row r="68" spans="1:18" ht="15.75">
      <c r="A68" s="8"/>
      <c r="B68" s="67" t="s">
        <v>42</v>
      </c>
      <c r="C68" s="17"/>
      <c r="D68" s="17"/>
      <c r="E68" s="17"/>
      <c r="F68" s="17"/>
      <c r="G68" s="17"/>
      <c r="H68" s="17"/>
      <c r="I68" s="20"/>
      <c r="J68" s="20" t="s">
        <v>181</v>
      </c>
      <c r="K68" s="20"/>
      <c r="L68" s="20" t="s">
        <v>196</v>
      </c>
      <c r="M68" s="17"/>
      <c r="N68" s="6"/>
      <c r="O68" s="7"/>
      <c r="P68" s="7"/>
      <c r="Q68" s="7"/>
      <c r="R68" s="7"/>
    </row>
    <row r="69" spans="1:18" ht="15.75">
      <c r="A69" s="26"/>
      <c r="B69" s="27" t="s">
        <v>43</v>
      </c>
      <c r="C69" s="27"/>
      <c r="D69" s="27"/>
      <c r="E69" s="27"/>
      <c r="F69" s="27"/>
      <c r="G69" s="27"/>
      <c r="H69" s="27"/>
      <c r="I69" s="27"/>
      <c r="J69" s="38">
        <v>0</v>
      </c>
      <c r="K69" s="27"/>
      <c r="L69" s="62">
        <v>0</v>
      </c>
      <c r="M69" s="27"/>
      <c r="N69" s="6"/>
      <c r="O69" s="7"/>
      <c r="P69" s="7"/>
      <c r="Q69" s="7"/>
      <c r="R69" s="7"/>
    </row>
    <row r="70" spans="1:18" ht="15.75">
      <c r="A70" s="26"/>
      <c r="B70" s="27" t="s">
        <v>44</v>
      </c>
      <c r="C70" s="47" t="s">
        <v>142</v>
      </c>
      <c r="D70" s="68">
        <v>36332</v>
      </c>
      <c r="E70" s="27"/>
      <c r="F70" s="27"/>
      <c r="G70" s="27"/>
      <c r="H70" s="27"/>
      <c r="I70" s="27"/>
      <c r="J70" s="38">
        <v>5407</v>
      </c>
      <c r="K70" s="27"/>
      <c r="L70" s="62"/>
      <c r="M70" s="27"/>
      <c r="N70" s="6"/>
      <c r="O70" s="7"/>
      <c r="P70" s="7"/>
      <c r="Q70" s="7"/>
      <c r="R70" s="7"/>
    </row>
    <row r="71" spans="1:18" ht="15.75">
      <c r="A71" s="26"/>
      <c r="B71" s="27" t="s">
        <v>45</v>
      </c>
      <c r="C71" s="27"/>
      <c r="D71" s="27"/>
      <c r="E71" s="27"/>
      <c r="F71" s="27"/>
      <c r="G71" s="27"/>
      <c r="H71" s="27"/>
      <c r="I71" s="27"/>
      <c r="J71" s="38"/>
      <c r="K71" s="27"/>
      <c r="L71" s="62">
        <f>1154+10+397+941+14+91+341+1097+53+517-464+15</f>
        <v>4166</v>
      </c>
      <c r="M71" s="27"/>
      <c r="N71" s="6"/>
      <c r="O71" s="7"/>
      <c r="P71" s="7"/>
      <c r="Q71" s="7"/>
      <c r="R71" s="7"/>
    </row>
    <row r="72" spans="1:18" ht="15.75">
      <c r="A72" s="26"/>
      <c r="B72" s="27" t="s">
        <v>46</v>
      </c>
      <c r="C72" s="27"/>
      <c r="D72" s="27"/>
      <c r="E72" s="27"/>
      <c r="F72" s="27"/>
      <c r="G72" s="27"/>
      <c r="H72" s="27"/>
      <c r="I72" s="27"/>
      <c r="J72" s="38"/>
      <c r="K72" s="27"/>
      <c r="L72" s="62"/>
      <c r="M72" s="27"/>
      <c r="N72" s="6"/>
      <c r="O72" s="7"/>
      <c r="P72" s="7"/>
      <c r="Q72" s="7"/>
      <c r="R72" s="7"/>
    </row>
    <row r="73" spans="1:18" ht="15.75">
      <c r="A73" s="26"/>
      <c r="B73" s="27" t="s">
        <v>47</v>
      </c>
      <c r="C73" s="27"/>
      <c r="D73" s="27"/>
      <c r="E73" s="27"/>
      <c r="F73" s="27"/>
      <c r="G73" s="27"/>
      <c r="H73" s="27"/>
      <c r="I73" s="27"/>
      <c r="J73" s="38">
        <f>SUM(J69:J72)</f>
        <v>5407</v>
      </c>
      <c r="K73" s="27"/>
      <c r="L73" s="63">
        <f>SUM(L69:L72)</f>
        <v>4166</v>
      </c>
      <c r="M73" s="27"/>
      <c r="N73" s="6"/>
      <c r="O73" s="7"/>
      <c r="P73" s="7"/>
      <c r="Q73" s="7"/>
      <c r="R73" s="7"/>
    </row>
    <row r="74" spans="1:18" ht="15.75">
      <c r="A74" s="26"/>
      <c r="B74" s="27" t="s">
        <v>48</v>
      </c>
      <c r="C74" s="27"/>
      <c r="D74" s="27"/>
      <c r="E74" s="27"/>
      <c r="F74" s="27"/>
      <c r="G74" s="27"/>
      <c r="H74" s="27"/>
      <c r="I74" s="27"/>
      <c r="J74" s="38">
        <v>1260</v>
      </c>
      <c r="K74" s="27"/>
      <c r="L74" s="62">
        <v>-1260</v>
      </c>
      <c r="M74" s="27"/>
      <c r="N74" s="6"/>
      <c r="O74" s="7"/>
      <c r="P74" s="7"/>
      <c r="Q74" s="7"/>
      <c r="R74" s="7"/>
    </row>
    <row r="75" spans="1:18" ht="15.75">
      <c r="A75" s="26"/>
      <c r="B75" s="27" t="s">
        <v>49</v>
      </c>
      <c r="C75" s="27"/>
      <c r="D75" s="27"/>
      <c r="E75" s="27"/>
      <c r="F75" s="27"/>
      <c r="G75" s="27"/>
      <c r="H75" s="27"/>
      <c r="I75" s="27"/>
      <c r="J75" s="38">
        <f>J73+J74</f>
        <v>6667</v>
      </c>
      <c r="K75" s="27"/>
      <c r="L75" s="63">
        <f>L73+L74</f>
        <v>2906</v>
      </c>
      <c r="M75" s="27"/>
      <c r="N75" s="6"/>
      <c r="O75" s="7"/>
      <c r="P75" s="7"/>
      <c r="Q75" s="7"/>
      <c r="R75" s="7"/>
    </row>
    <row r="76" spans="1:18" ht="15.75">
      <c r="A76" s="26"/>
      <c r="B76" s="69" t="s">
        <v>50</v>
      </c>
      <c r="C76" s="70"/>
      <c r="D76" s="27"/>
      <c r="E76" s="27"/>
      <c r="F76" s="27"/>
      <c r="G76" s="27"/>
      <c r="H76" s="27"/>
      <c r="I76" s="27"/>
      <c r="J76" s="38"/>
      <c r="K76" s="27"/>
      <c r="L76" s="62"/>
      <c r="M76" s="27"/>
      <c r="N76" s="6"/>
      <c r="O76" s="7"/>
      <c r="P76" s="7"/>
      <c r="Q76" s="7"/>
      <c r="R76" s="7"/>
    </row>
    <row r="77" spans="1:18" ht="15.75">
      <c r="A77" s="26">
        <v>1</v>
      </c>
      <c r="B77" s="27" t="s">
        <v>51</v>
      </c>
      <c r="C77" s="27"/>
      <c r="D77" s="27"/>
      <c r="E77" s="27"/>
      <c r="F77" s="27"/>
      <c r="G77" s="27"/>
      <c r="H77" s="27"/>
      <c r="I77" s="27"/>
      <c r="J77" s="27"/>
      <c r="K77" s="27"/>
      <c r="L77" s="62">
        <v>0</v>
      </c>
      <c r="M77" s="27"/>
      <c r="N77" s="6"/>
      <c r="O77" s="7"/>
      <c r="P77" s="7"/>
      <c r="Q77" s="7"/>
      <c r="R77" s="7"/>
    </row>
    <row r="78" spans="1:18" ht="15.75">
      <c r="A78" s="26">
        <v>2</v>
      </c>
      <c r="B78" s="27" t="s">
        <v>52</v>
      </c>
      <c r="C78" s="27"/>
      <c r="D78" s="27"/>
      <c r="E78" s="27"/>
      <c r="F78" s="27"/>
      <c r="G78" s="27"/>
      <c r="H78" s="27"/>
      <c r="I78" s="27"/>
      <c r="J78" s="27"/>
      <c r="K78" s="27"/>
      <c r="L78" s="62">
        <v>-4</v>
      </c>
      <c r="M78" s="27"/>
      <c r="N78" s="6"/>
      <c r="O78" s="7"/>
      <c r="P78" s="7"/>
      <c r="Q78" s="7"/>
      <c r="R78" s="7"/>
    </row>
    <row r="79" spans="1:18" ht="15.75">
      <c r="A79" s="26">
        <v>3</v>
      </c>
      <c r="B79" s="27" t="s">
        <v>53</v>
      </c>
      <c r="C79" s="27"/>
      <c r="D79" s="27"/>
      <c r="E79" s="27"/>
      <c r="F79" s="27"/>
      <c r="G79" s="27"/>
      <c r="H79" s="27"/>
      <c r="I79" s="27"/>
      <c r="J79" s="27"/>
      <c r="K79" s="27"/>
      <c r="L79" s="62">
        <f>-202-7</f>
        <v>-209</v>
      </c>
      <c r="M79" s="27"/>
      <c r="N79" s="6"/>
      <c r="O79" s="7"/>
      <c r="P79" s="7"/>
      <c r="Q79" s="7"/>
      <c r="R79" s="7"/>
    </row>
    <row r="80" spans="1:18" ht="15.75">
      <c r="A80" s="26">
        <v>4</v>
      </c>
      <c r="B80" s="27" t="s">
        <v>54</v>
      </c>
      <c r="C80" s="27"/>
      <c r="D80" s="27"/>
      <c r="E80" s="27"/>
      <c r="F80" s="27"/>
      <c r="G80" s="27"/>
      <c r="H80" s="27"/>
      <c r="I80" s="27"/>
      <c r="J80" s="27"/>
      <c r="K80" s="27"/>
      <c r="L80" s="62">
        <v>-92</v>
      </c>
      <c r="M80" s="27"/>
      <c r="N80" s="6"/>
      <c r="O80" s="7"/>
      <c r="P80" s="7"/>
      <c r="Q80" s="7"/>
      <c r="R80" s="7"/>
    </row>
    <row r="81" spans="1:18" ht="15.75">
      <c r="A81" s="26">
        <v>5</v>
      </c>
      <c r="B81" s="27" t="s">
        <v>55</v>
      </c>
      <c r="C81" s="27"/>
      <c r="D81" s="27"/>
      <c r="E81" s="27"/>
      <c r="F81" s="27"/>
      <c r="G81" s="27"/>
      <c r="H81" s="27"/>
      <c r="I81" s="27"/>
      <c r="J81" s="27"/>
      <c r="K81" s="27"/>
      <c r="L81" s="62">
        <v>-1376</v>
      </c>
      <c r="M81" s="27"/>
      <c r="N81" s="6"/>
      <c r="O81" s="7"/>
      <c r="P81" s="7"/>
      <c r="Q81" s="7"/>
      <c r="R81" s="7"/>
    </row>
    <row r="82" spans="1:18" ht="15.75">
      <c r="A82" s="26">
        <v>6</v>
      </c>
      <c r="B82" s="27" t="s">
        <v>56</v>
      </c>
      <c r="C82" s="27"/>
      <c r="D82" s="27"/>
      <c r="E82" s="27"/>
      <c r="F82" s="27"/>
      <c r="G82" s="27"/>
      <c r="H82" s="27"/>
      <c r="I82" s="27"/>
      <c r="J82" s="27"/>
      <c r="K82" s="27"/>
      <c r="L82" s="62">
        <v>-3</v>
      </c>
      <c r="M82" s="27"/>
      <c r="N82" s="6"/>
      <c r="O82" s="7"/>
      <c r="P82" s="7"/>
      <c r="Q82" s="7"/>
      <c r="R82" s="7"/>
    </row>
    <row r="83" spans="1:18" ht="15.75">
      <c r="A83" s="26">
        <v>7</v>
      </c>
      <c r="B83" s="27" t="s">
        <v>57</v>
      </c>
      <c r="C83" s="27"/>
      <c r="D83" s="27"/>
      <c r="E83" s="27"/>
      <c r="F83" s="27"/>
      <c r="G83" s="27"/>
      <c r="H83" s="27"/>
      <c r="I83" s="27"/>
      <c r="J83" s="27"/>
      <c r="K83" s="27"/>
      <c r="L83" s="62">
        <v>-471</v>
      </c>
      <c r="M83" s="27"/>
      <c r="N83" s="6"/>
      <c r="O83" s="7"/>
      <c r="P83" s="7"/>
      <c r="Q83" s="7"/>
      <c r="R83" s="7"/>
    </row>
    <row r="84" spans="1:18" ht="15.75">
      <c r="A84" s="26">
        <v>8</v>
      </c>
      <c r="B84" s="27" t="s">
        <v>58</v>
      </c>
      <c r="C84" s="27"/>
      <c r="D84" s="27"/>
      <c r="E84" s="27"/>
      <c r="F84" s="27"/>
      <c r="G84" s="27"/>
      <c r="H84" s="27"/>
      <c r="I84" s="27"/>
      <c r="J84" s="27"/>
      <c r="K84" s="27"/>
      <c r="L84" s="62">
        <v>-156</v>
      </c>
      <c r="M84" s="27"/>
      <c r="N84" s="6"/>
      <c r="O84" s="7"/>
      <c r="P84" s="7"/>
      <c r="Q84" s="7"/>
      <c r="R84" s="7"/>
    </row>
    <row r="85" spans="1:18" ht="15.75">
      <c r="A85" s="26">
        <v>9</v>
      </c>
      <c r="B85" s="27" t="s">
        <v>59</v>
      </c>
      <c r="C85" s="27"/>
      <c r="D85" s="27"/>
      <c r="E85" s="27"/>
      <c r="F85" s="27"/>
      <c r="G85" s="27"/>
      <c r="H85" s="27"/>
      <c r="I85" s="27"/>
      <c r="J85" s="27"/>
      <c r="K85" s="27"/>
      <c r="L85" s="62">
        <v>0</v>
      </c>
      <c r="M85" s="27"/>
      <c r="N85" s="6"/>
      <c r="O85" s="7"/>
      <c r="P85" s="7"/>
      <c r="Q85" s="7"/>
      <c r="R85" s="7"/>
    </row>
    <row r="86" spans="1:18" ht="15.75">
      <c r="A86" s="26">
        <v>10</v>
      </c>
      <c r="B86" s="27" t="s">
        <v>60</v>
      </c>
      <c r="C86" s="27"/>
      <c r="D86" s="27"/>
      <c r="E86" s="27"/>
      <c r="F86" s="27"/>
      <c r="G86" s="27"/>
      <c r="H86" s="27"/>
      <c r="I86" s="27"/>
      <c r="J86" s="27"/>
      <c r="K86" s="27"/>
      <c r="L86" s="62">
        <f>L106*-1</f>
        <v>-595</v>
      </c>
      <c r="M86" s="27"/>
      <c r="N86" s="6"/>
      <c r="O86" s="7"/>
      <c r="P86" s="7"/>
      <c r="Q86" s="7"/>
      <c r="R86" s="7"/>
    </row>
    <row r="87" spans="1:18" ht="15.75">
      <c r="A87" s="26">
        <v>11</v>
      </c>
      <c r="B87" s="27" t="s">
        <v>61</v>
      </c>
      <c r="C87" s="27"/>
      <c r="D87" s="27"/>
      <c r="E87" s="27"/>
      <c r="F87" s="27"/>
      <c r="G87" s="27"/>
      <c r="H87" s="27"/>
      <c r="I87" s="27"/>
      <c r="J87" s="27"/>
      <c r="K87" s="27"/>
      <c r="L87" s="62">
        <v>0</v>
      </c>
      <c r="M87" s="27"/>
      <c r="N87" s="6"/>
      <c r="O87" s="7"/>
      <c r="P87" s="7"/>
      <c r="Q87" s="7"/>
      <c r="R87" s="7"/>
    </row>
    <row r="88" spans="1:18" ht="15.75">
      <c r="A88" s="26">
        <v>12</v>
      </c>
      <c r="B88" s="27" t="s">
        <v>62</v>
      </c>
      <c r="C88" s="27"/>
      <c r="D88" s="27"/>
      <c r="E88" s="27"/>
      <c r="F88" s="27"/>
      <c r="G88" s="27"/>
      <c r="H88" s="27"/>
      <c r="I88" s="27"/>
      <c r="J88" s="27"/>
      <c r="K88" s="27"/>
      <c r="L88" s="62">
        <v>0</v>
      </c>
      <c r="M88" s="27"/>
      <c r="N88" s="6"/>
      <c r="O88" s="7"/>
      <c r="P88" s="7"/>
      <c r="Q88" s="7"/>
      <c r="R88" s="7"/>
    </row>
    <row r="89" spans="1:18" ht="15.75">
      <c r="A89" s="26">
        <v>13</v>
      </c>
      <c r="B89" s="27" t="s">
        <v>63</v>
      </c>
      <c r="C89" s="27"/>
      <c r="D89" s="27"/>
      <c r="E89" s="27"/>
      <c r="F89" s="27"/>
      <c r="G89" s="27"/>
      <c r="H89" s="27"/>
      <c r="I89" s="27"/>
      <c r="J89" s="27"/>
      <c r="K89" s="27"/>
      <c r="L89" s="62">
        <f>L75+SUM(L78:L88)</f>
        <v>0</v>
      </c>
      <c r="M89" s="27"/>
      <c r="N89" s="6"/>
      <c r="O89" s="7"/>
      <c r="P89" s="7"/>
      <c r="Q89" s="7"/>
      <c r="R89" s="7"/>
    </row>
    <row r="90" spans="1:18" ht="15.75">
      <c r="A90" s="26"/>
      <c r="B90" s="69" t="s">
        <v>64</v>
      </c>
      <c r="C90" s="70"/>
      <c r="D90" s="27"/>
      <c r="E90" s="27"/>
      <c r="F90" s="27"/>
      <c r="G90" s="27"/>
      <c r="H90" s="27"/>
      <c r="I90" s="27"/>
      <c r="J90" s="27"/>
      <c r="K90" s="27"/>
      <c r="L90" s="71"/>
      <c r="M90" s="27"/>
      <c r="N90" s="6"/>
      <c r="O90" s="7"/>
      <c r="P90" s="7"/>
      <c r="Q90" s="7"/>
      <c r="R90" s="7"/>
    </row>
    <row r="91" spans="1:18" ht="15.75">
      <c r="A91" s="26"/>
      <c r="B91" s="27" t="s">
        <v>65</v>
      </c>
      <c r="C91" s="70"/>
      <c r="D91" s="27"/>
      <c r="E91" s="27"/>
      <c r="F91" s="27"/>
      <c r="G91" s="27"/>
      <c r="H91" s="27"/>
      <c r="I91" s="27"/>
      <c r="J91" s="38">
        <f>L136*-1</f>
        <v>-12</v>
      </c>
      <c r="K91" s="38"/>
      <c r="L91" s="62"/>
      <c r="M91" s="27"/>
      <c r="N91" s="6"/>
      <c r="O91" s="7"/>
      <c r="P91" s="7"/>
      <c r="Q91" s="7"/>
      <c r="R91" s="7"/>
    </row>
    <row r="92" spans="1:18" ht="15.75">
      <c r="A92" s="26"/>
      <c r="B92" s="27" t="s">
        <v>66</v>
      </c>
      <c r="C92" s="27"/>
      <c r="D92" s="27"/>
      <c r="E92" s="27"/>
      <c r="F92" s="27"/>
      <c r="G92" s="27"/>
      <c r="H92" s="27"/>
      <c r="I92" s="27"/>
      <c r="J92" s="38"/>
      <c r="K92" s="38"/>
      <c r="L92" s="62"/>
      <c r="M92" s="27"/>
      <c r="N92" s="6"/>
      <c r="O92" s="7"/>
      <c r="P92" s="7"/>
      <c r="Q92" s="7"/>
      <c r="R92" s="7"/>
    </row>
    <row r="93" spans="1:18" ht="15.75">
      <c r="A93" s="26"/>
      <c r="B93" s="27" t="s">
        <v>67</v>
      </c>
      <c r="C93" s="27"/>
      <c r="D93" s="27"/>
      <c r="E93" s="27"/>
      <c r="F93" s="27"/>
      <c r="G93" s="27"/>
      <c r="H93" s="27"/>
      <c r="I93" s="27"/>
      <c r="J93" s="38"/>
      <c r="K93" s="38"/>
      <c r="L93" s="62"/>
      <c r="M93" s="27"/>
      <c r="N93" s="6"/>
      <c r="O93" s="7"/>
      <c r="P93" s="7"/>
      <c r="Q93" s="7"/>
      <c r="R93" s="7"/>
    </row>
    <row r="94" spans="1:18" ht="15.75">
      <c r="A94" s="26"/>
      <c r="B94" s="27" t="s">
        <v>68</v>
      </c>
      <c r="C94" s="27"/>
      <c r="D94" s="27"/>
      <c r="E94" s="27"/>
      <c r="F94" s="27"/>
      <c r="G94" s="27"/>
      <c r="H94" s="27"/>
      <c r="I94" s="27"/>
      <c r="J94" s="38">
        <v>-6655</v>
      </c>
      <c r="K94" s="38"/>
      <c r="L94" s="62"/>
      <c r="M94" s="27"/>
      <c r="N94" s="6"/>
      <c r="O94" s="7"/>
      <c r="P94" s="7"/>
      <c r="Q94" s="7"/>
      <c r="R94" s="7"/>
    </row>
    <row r="95" spans="1:18" ht="15.75">
      <c r="A95" s="26"/>
      <c r="B95" s="27" t="s">
        <v>69</v>
      </c>
      <c r="C95" s="27"/>
      <c r="D95" s="27"/>
      <c r="E95" s="27"/>
      <c r="F95" s="27"/>
      <c r="G95" s="27"/>
      <c r="H95" s="27"/>
      <c r="I95" s="27"/>
      <c r="J95" s="38">
        <v>0</v>
      </c>
      <c r="K95" s="38"/>
      <c r="L95" s="62"/>
      <c r="M95" s="27"/>
      <c r="N95" s="6"/>
      <c r="O95" s="7"/>
      <c r="P95" s="7"/>
      <c r="Q95" s="7"/>
      <c r="R95" s="7"/>
    </row>
    <row r="96" spans="1:18" ht="15.75">
      <c r="A96" s="26"/>
      <c r="B96" s="27" t="s">
        <v>70</v>
      </c>
      <c r="C96" s="27"/>
      <c r="D96" s="27"/>
      <c r="E96" s="27"/>
      <c r="F96" s="27"/>
      <c r="G96" s="27"/>
      <c r="H96" s="27"/>
      <c r="I96" s="27"/>
      <c r="J96" s="38">
        <f>SUM(J76:J95)</f>
        <v>-6667</v>
      </c>
      <c r="K96" s="38"/>
      <c r="L96" s="38">
        <f>SUM(L76:L95)</f>
        <v>-2906</v>
      </c>
      <c r="M96" s="27"/>
      <c r="N96" s="6"/>
      <c r="O96" s="7"/>
      <c r="P96" s="7"/>
      <c r="Q96" s="7"/>
      <c r="R96" s="7"/>
    </row>
    <row r="97" spans="1:18" ht="15.75">
      <c r="A97" s="26"/>
      <c r="B97" s="27" t="s">
        <v>71</v>
      </c>
      <c r="C97" s="27"/>
      <c r="D97" s="27"/>
      <c r="E97" s="27"/>
      <c r="F97" s="27"/>
      <c r="G97" s="27"/>
      <c r="H97" s="27"/>
      <c r="I97" s="27"/>
      <c r="J97" s="38">
        <f>J75+J96</f>
        <v>0</v>
      </c>
      <c r="K97" s="38"/>
      <c r="L97" s="38">
        <f>L75+L96</f>
        <v>0</v>
      </c>
      <c r="M97" s="27"/>
      <c r="N97" s="6"/>
      <c r="O97" s="7"/>
      <c r="P97" s="7"/>
      <c r="Q97" s="7"/>
      <c r="R97" s="7"/>
    </row>
    <row r="98" spans="1:18" ht="15.75">
      <c r="A98" s="26"/>
      <c r="B98" s="27"/>
      <c r="C98" s="27"/>
      <c r="D98" s="27"/>
      <c r="E98" s="27"/>
      <c r="F98" s="27"/>
      <c r="G98" s="27"/>
      <c r="H98" s="27"/>
      <c r="I98" s="27"/>
      <c r="J98" s="38"/>
      <c r="K98" s="38"/>
      <c r="L98" s="38"/>
      <c r="M98" s="27"/>
      <c r="N98" s="6"/>
      <c r="O98" s="7"/>
      <c r="P98" s="7"/>
      <c r="Q98" s="7"/>
      <c r="R98" s="7"/>
    </row>
    <row r="99" spans="1:18" ht="12" customHeight="1">
      <c r="A99" s="8"/>
      <c r="B99" s="10"/>
      <c r="C99" s="10"/>
      <c r="D99" s="10"/>
      <c r="E99" s="10"/>
      <c r="F99" s="10"/>
      <c r="G99" s="10"/>
      <c r="H99" s="10"/>
      <c r="I99" s="10"/>
      <c r="J99" s="10"/>
      <c r="K99" s="10"/>
      <c r="L99" s="58"/>
      <c r="M99" s="10"/>
      <c r="N99" s="6"/>
      <c r="O99" s="7"/>
      <c r="P99" s="7"/>
      <c r="Q99" s="7"/>
      <c r="R99" s="7"/>
    </row>
    <row r="100" spans="1:18" ht="12" customHeight="1">
      <c r="A100" s="8"/>
      <c r="B100" s="10"/>
      <c r="C100" s="10"/>
      <c r="D100" s="10"/>
      <c r="E100" s="10"/>
      <c r="F100" s="10"/>
      <c r="G100" s="10"/>
      <c r="H100" s="10"/>
      <c r="I100" s="10"/>
      <c r="J100" s="10"/>
      <c r="K100" s="10"/>
      <c r="L100" s="58"/>
      <c r="M100" s="10"/>
      <c r="N100" s="6"/>
      <c r="O100" s="7"/>
      <c r="P100" s="7"/>
      <c r="Q100" s="7"/>
      <c r="R100" s="7"/>
    </row>
    <row r="101" spans="1:18" ht="15.75">
      <c r="A101" s="2"/>
      <c r="B101" s="55" t="s">
        <v>72</v>
      </c>
      <c r="C101" s="56"/>
      <c r="D101" s="5"/>
      <c r="E101" s="5"/>
      <c r="F101" s="5"/>
      <c r="G101" s="5"/>
      <c r="H101" s="5"/>
      <c r="I101" s="5"/>
      <c r="J101" s="5"/>
      <c r="K101" s="5"/>
      <c r="L101" s="57"/>
      <c r="M101" s="5"/>
      <c r="N101" s="6"/>
      <c r="O101" s="7"/>
      <c r="P101" s="7"/>
      <c r="Q101" s="7"/>
      <c r="R101" s="7"/>
    </row>
    <row r="102" spans="1:18" ht="15.75">
      <c r="A102" s="8"/>
      <c r="B102" s="22"/>
      <c r="C102" s="16"/>
      <c r="D102" s="10"/>
      <c r="E102" s="10"/>
      <c r="F102" s="10"/>
      <c r="G102" s="10"/>
      <c r="H102" s="10"/>
      <c r="I102" s="10"/>
      <c r="J102" s="10"/>
      <c r="K102" s="10"/>
      <c r="L102" s="58"/>
      <c r="M102" s="10"/>
      <c r="N102" s="6"/>
      <c r="O102" s="7"/>
      <c r="P102" s="7"/>
      <c r="Q102" s="7"/>
      <c r="R102" s="7"/>
    </row>
    <row r="103" spans="1:18" ht="15.75">
      <c r="A103" s="8"/>
      <c r="B103" s="72" t="s">
        <v>73</v>
      </c>
      <c r="C103" s="16"/>
      <c r="D103" s="10"/>
      <c r="E103" s="10"/>
      <c r="F103" s="10"/>
      <c r="G103" s="10"/>
      <c r="H103" s="10"/>
      <c r="I103" s="10"/>
      <c r="J103" s="10"/>
      <c r="K103" s="10"/>
      <c r="L103" s="58"/>
      <c r="M103" s="10"/>
      <c r="N103" s="6"/>
      <c r="O103" s="7"/>
      <c r="P103" s="7"/>
      <c r="Q103" s="7"/>
      <c r="R103" s="7"/>
    </row>
    <row r="104" spans="1:18" ht="15.75">
      <c r="A104" s="26"/>
      <c r="B104" s="27" t="s">
        <v>74</v>
      </c>
      <c r="C104" s="27"/>
      <c r="D104" s="27"/>
      <c r="E104" s="27"/>
      <c r="F104" s="27"/>
      <c r="G104" s="27"/>
      <c r="H104" s="27"/>
      <c r="I104" s="27"/>
      <c r="J104" s="27"/>
      <c r="K104" s="27"/>
      <c r="L104" s="62">
        <v>3698</v>
      </c>
      <c r="M104" s="27"/>
      <c r="N104" s="6"/>
      <c r="O104" s="7"/>
      <c r="P104" s="7"/>
      <c r="Q104" s="7"/>
      <c r="R104" s="7"/>
    </row>
    <row r="105" spans="1:18" ht="15.75">
      <c r="A105" s="26"/>
      <c r="B105" s="27" t="s">
        <v>75</v>
      </c>
      <c r="C105" s="27"/>
      <c r="D105" s="27"/>
      <c r="E105" s="27"/>
      <c r="F105" s="27"/>
      <c r="G105" s="27"/>
      <c r="H105" s="27"/>
      <c r="I105" s="27"/>
      <c r="J105" s="27"/>
      <c r="K105" s="27"/>
      <c r="L105" s="62">
        <v>2049</v>
      </c>
      <c r="M105" s="27"/>
      <c r="N105" s="6"/>
      <c r="O105" s="7"/>
      <c r="P105" s="7"/>
      <c r="Q105" s="7"/>
      <c r="R105" s="7"/>
    </row>
    <row r="106" spans="1:18" ht="15.75">
      <c r="A106" s="26"/>
      <c r="B106" s="27" t="s">
        <v>76</v>
      </c>
      <c r="C106" s="27"/>
      <c r="D106" s="27"/>
      <c r="E106" s="27"/>
      <c r="F106" s="27"/>
      <c r="G106" s="27"/>
      <c r="H106" s="27"/>
      <c r="I106" s="27"/>
      <c r="J106" s="27"/>
      <c r="K106" s="27"/>
      <c r="L106" s="62">
        <v>595</v>
      </c>
      <c r="M106" s="27"/>
      <c r="N106" s="6"/>
      <c r="O106" s="7"/>
      <c r="P106" s="7"/>
      <c r="Q106" s="7"/>
      <c r="R106" s="7"/>
    </row>
    <row r="107" spans="1:18" ht="15.75">
      <c r="A107" s="26"/>
      <c r="B107" s="27" t="s">
        <v>77</v>
      </c>
      <c r="C107" s="27"/>
      <c r="D107" s="27"/>
      <c r="E107" s="27"/>
      <c r="F107" s="27"/>
      <c r="G107" s="27"/>
      <c r="H107" s="27"/>
      <c r="I107" s="27"/>
      <c r="J107" s="27"/>
      <c r="K107" s="27"/>
      <c r="L107" s="62">
        <v>0</v>
      </c>
      <c r="M107" s="27"/>
      <c r="N107" s="6"/>
      <c r="O107" s="7"/>
      <c r="P107" s="7"/>
      <c r="Q107" s="7"/>
      <c r="R107" s="7"/>
    </row>
    <row r="108" spans="1:18" ht="15.75">
      <c r="A108" s="26"/>
      <c r="B108" s="27" t="s">
        <v>78</v>
      </c>
      <c r="C108" s="27"/>
      <c r="D108" s="27"/>
      <c r="E108" s="27"/>
      <c r="F108" s="27"/>
      <c r="G108" s="27"/>
      <c r="H108" s="27"/>
      <c r="I108" s="27"/>
      <c r="J108" s="27"/>
      <c r="K108" s="27"/>
      <c r="L108" s="62">
        <v>0</v>
      </c>
      <c r="M108" s="27"/>
      <c r="N108" s="6"/>
      <c r="O108" s="7"/>
      <c r="P108" s="7"/>
      <c r="Q108" s="7"/>
      <c r="R108" s="7"/>
    </row>
    <row r="109" spans="1:18" ht="15.75">
      <c r="A109" s="26"/>
      <c r="B109" s="27" t="s">
        <v>55</v>
      </c>
      <c r="C109" s="27"/>
      <c r="D109" s="27"/>
      <c r="E109" s="27"/>
      <c r="F109" s="27"/>
      <c r="G109" s="27"/>
      <c r="H109" s="27"/>
      <c r="I109" s="27"/>
      <c r="J109" s="27"/>
      <c r="K109" s="27"/>
      <c r="L109" s="62">
        <v>0</v>
      </c>
      <c r="M109" s="27"/>
      <c r="N109" s="6"/>
      <c r="O109" s="7"/>
      <c r="P109" s="7"/>
      <c r="Q109" s="7"/>
      <c r="R109" s="7"/>
    </row>
    <row r="110" spans="1:18" ht="15.75">
      <c r="A110" s="26"/>
      <c r="B110" s="27" t="s">
        <v>57</v>
      </c>
      <c r="C110" s="27"/>
      <c r="D110" s="27"/>
      <c r="E110" s="27"/>
      <c r="F110" s="27"/>
      <c r="G110" s="27"/>
      <c r="H110" s="27"/>
      <c r="I110" s="27"/>
      <c r="J110" s="27"/>
      <c r="K110" s="27"/>
      <c r="L110" s="62">
        <v>0</v>
      </c>
      <c r="M110" s="27"/>
      <c r="N110" s="6"/>
      <c r="O110" s="7"/>
      <c r="P110" s="7"/>
      <c r="Q110" s="7"/>
      <c r="R110" s="7"/>
    </row>
    <row r="111" spans="1:18" ht="15.75">
      <c r="A111" s="26"/>
      <c r="B111" s="27" t="s">
        <v>79</v>
      </c>
      <c r="C111" s="27"/>
      <c r="D111" s="27"/>
      <c r="E111" s="27"/>
      <c r="F111" s="27"/>
      <c r="G111" s="27"/>
      <c r="H111" s="27"/>
      <c r="I111" s="27"/>
      <c r="J111" s="27"/>
      <c r="K111" s="27"/>
      <c r="L111" s="62">
        <f>SUM(L105:L109)</f>
        <v>2644</v>
      </c>
      <c r="M111" s="27"/>
      <c r="N111" s="6"/>
      <c r="O111" s="7"/>
      <c r="P111" s="7"/>
      <c r="Q111" s="7"/>
      <c r="R111" s="7"/>
    </row>
    <row r="112" spans="1:18" ht="15.75">
      <c r="A112" s="26"/>
      <c r="B112" s="27"/>
      <c r="C112" s="27"/>
      <c r="D112" s="27"/>
      <c r="E112" s="27"/>
      <c r="F112" s="27"/>
      <c r="G112" s="27"/>
      <c r="H112" s="27"/>
      <c r="I112" s="27"/>
      <c r="J112" s="27"/>
      <c r="K112" s="27"/>
      <c r="L112" s="54"/>
      <c r="M112" s="27"/>
      <c r="N112" s="6"/>
      <c r="O112" s="7"/>
      <c r="P112" s="7"/>
      <c r="Q112" s="7"/>
      <c r="R112" s="7"/>
    </row>
    <row r="113" spans="1:18" ht="15.75">
      <c r="A113" s="8"/>
      <c r="B113" s="72" t="s">
        <v>39</v>
      </c>
      <c r="C113" s="10"/>
      <c r="D113" s="10"/>
      <c r="E113" s="10"/>
      <c r="F113" s="10"/>
      <c r="G113" s="10"/>
      <c r="H113" s="10"/>
      <c r="I113" s="10"/>
      <c r="J113" s="10"/>
      <c r="K113" s="10"/>
      <c r="L113" s="58"/>
      <c r="M113" s="10"/>
      <c r="N113" s="6"/>
      <c r="O113" s="7"/>
      <c r="P113" s="7"/>
      <c r="Q113" s="7"/>
      <c r="R113" s="7"/>
    </row>
    <row r="114" spans="1:18" ht="15.75">
      <c r="A114" s="26"/>
      <c r="B114" s="27" t="s">
        <v>80</v>
      </c>
      <c r="C114" s="27"/>
      <c r="D114" s="73"/>
      <c r="E114" s="27"/>
      <c r="F114" s="27"/>
      <c r="G114" s="27"/>
      <c r="H114" s="27"/>
      <c r="I114" s="27"/>
      <c r="J114" s="27"/>
      <c r="K114" s="27"/>
      <c r="L114" s="62">
        <f>1848891.08/1000</f>
        <v>1848.89108</v>
      </c>
      <c r="M114" s="27"/>
      <c r="N114" s="6"/>
      <c r="O114" s="7"/>
      <c r="P114" s="7"/>
      <c r="Q114" s="7"/>
      <c r="R114" s="7"/>
    </row>
    <row r="115" spans="1:18" ht="15.75">
      <c r="A115" s="26"/>
      <c r="B115" s="27" t="s">
        <v>81</v>
      </c>
      <c r="C115" s="30"/>
      <c r="D115" s="30"/>
      <c r="E115" s="30"/>
      <c r="F115" s="30"/>
      <c r="G115" s="30"/>
      <c r="H115" s="30"/>
      <c r="I115" s="30"/>
      <c r="J115" s="30"/>
      <c r="K115" s="30"/>
      <c r="L115" s="63">
        <v>0</v>
      </c>
      <c r="M115" s="27"/>
      <c r="N115" s="6"/>
      <c r="O115" s="7"/>
      <c r="P115" s="7"/>
      <c r="Q115" s="7"/>
      <c r="R115" s="7"/>
    </row>
    <row r="116" spans="1:18" ht="15.75">
      <c r="A116" s="26"/>
      <c r="B116" s="27" t="s">
        <v>82</v>
      </c>
      <c r="C116" s="27"/>
      <c r="D116" s="27"/>
      <c r="E116" s="27"/>
      <c r="F116" s="27"/>
      <c r="G116" s="27"/>
      <c r="H116" s="27"/>
      <c r="I116" s="27"/>
      <c r="J116" s="27"/>
      <c r="K116" s="27"/>
      <c r="L116" s="62">
        <v>0</v>
      </c>
      <c r="M116" s="27"/>
      <c r="N116" s="6"/>
      <c r="O116" s="7"/>
      <c r="P116" s="7"/>
      <c r="Q116" s="7"/>
      <c r="R116" s="7"/>
    </row>
    <row r="117" spans="1:18" ht="15.75">
      <c r="A117" s="26"/>
      <c r="B117" s="27" t="s">
        <v>83</v>
      </c>
      <c r="C117" s="27"/>
      <c r="D117" s="27"/>
      <c r="E117" s="27"/>
      <c r="F117" s="27"/>
      <c r="G117" s="27"/>
      <c r="H117" s="27"/>
      <c r="I117" s="27"/>
      <c r="J117" s="27"/>
      <c r="K117" s="27"/>
      <c r="L117" s="62">
        <f>L114-L115-L116</f>
        <v>1848.89108</v>
      </c>
      <c r="M117" s="27"/>
      <c r="N117" s="6"/>
      <c r="O117" s="7"/>
      <c r="P117" s="7"/>
      <c r="Q117" s="7"/>
      <c r="R117" s="7"/>
    </row>
    <row r="118" spans="1:18" ht="15.75">
      <c r="A118" s="26"/>
      <c r="B118" s="27"/>
      <c r="C118" s="27"/>
      <c r="D118" s="27"/>
      <c r="E118" s="27"/>
      <c r="F118" s="27"/>
      <c r="G118" s="27"/>
      <c r="H118" s="27"/>
      <c r="I118" s="27"/>
      <c r="J118" s="27"/>
      <c r="K118" s="27"/>
      <c r="L118" s="54"/>
      <c r="M118" s="27"/>
      <c r="N118" s="6"/>
      <c r="O118" s="7"/>
      <c r="P118" s="7"/>
      <c r="Q118" s="7"/>
      <c r="R118" s="7"/>
    </row>
    <row r="119" spans="1:18" ht="15.75">
      <c r="A119" s="8"/>
      <c r="B119" s="72" t="s">
        <v>84</v>
      </c>
      <c r="C119" s="16"/>
      <c r="D119" s="10"/>
      <c r="E119" s="10"/>
      <c r="F119" s="10"/>
      <c r="G119" s="10"/>
      <c r="H119" s="10"/>
      <c r="I119" s="10"/>
      <c r="J119" s="10"/>
      <c r="K119" s="10"/>
      <c r="L119" s="74"/>
      <c r="M119" s="10"/>
      <c r="N119" s="6"/>
      <c r="O119" s="7"/>
      <c r="P119" s="7"/>
      <c r="Q119" s="7"/>
      <c r="R119" s="7"/>
    </row>
    <row r="120" spans="1:18" ht="15.75">
      <c r="A120" s="26"/>
      <c r="B120" s="27" t="s">
        <v>85</v>
      </c>
      <c r="C120" s="27"/>
      <c r="D120" s="27"/>
      <c r="E120" s="27"/>
      <c r="F120" s="27"/>
      <c r="G120" s="27"/>
      <c r="H120" s="27"/>
      <c r="I120" s="27"/>
      <c r="J120" s="27"/>
      <c r="K120" s="27"/>
      <c r="L120" s="62">
        <v>603</v>
      </c>
      <c r="M120" s="27"/>
      <c r="N120" s="6"/>
      <c r="O120" s="7"/>
      <c r="P120" s="7"/>
      <c r="Q120" s="7"/>
      <c r="R120" s="7"/>
    </row>
    <row r="121" spans="1:18" ht="15.75">
      <c r="A121" s="26"/>
      <c r="B121" s="27" t="s">
        <v>86</v>
      </c>
      <c r="C121" s="27"/>
      <c r="D121" s="27"/>
      <c r="E121" s="27"/>
      <c r="F121" s="27"/>
      <c r="G121" s="27"/>
      <c r="H121" s="27"/>
      <c r="I121" s="27"/>
      <c r="J121" s="27"/>
      <c r="K121" s="27"/>
      <c r="L121" s="62">
        <v>255</v>
      </c>
      <c r="M121" s="27"/>
      <c r="N121" s="6"/>
      <c r="O121" s="7"/>
      <c r="P121" s="7"/>
      <c r="Q121" s="7"/>
      <c r="R121" s="7"/>
    </row>
    <row r="122" spans="1:18" ht="15.75">
      <c r="A122" s="26"/>
      <c r="B122" s="27" t="s">
        <v>87</v>
      </c>
      <c r="C122" s="27"/>
      <c r="D122" s="27"/>
      <c r="E122" s="27"/>
      <c r="F122" s="27"/>
      <c r="G122" s="27"/>
      <c r="H122" s="27"/>
      <c r="I122" s="27"/>
      <c r="J122" s="27"/>
      <c r="K122" s="27"/>
      <c r="L122" s="62">
        <f>L121+L120</f>
        <v>858</v>
      </c>
      <c r="M122" s="27"/>
      <c r="N122" s="6"/>
      <c r="O122" s="7"/>
      <c r="P122" s="7"/>
      <c r="Q122" s="7"/>
      <c r="R122" s="7"/>
    </row>
    <row r="123" spans="1:18" ht="15.75">
      <c r="A123" s="26"/>
      <c r="B123" s="27" t="s">
        <v>88</v>
      </c>
      <c r="C123" s="27"/>
      <c r="D123" s="27"/>
      <c r="E123" s="27"/>
      <c r="F123" s="27"/>
      <c r="G123" s="27"/>
      <c r="H123" s="75"/>
      <c r="I123" s="27"/>
      <c r="J123" s="27"/>
      <c r="K123" s="27"/>
      <c r="L123" s="62">
        <v>0</v>
      </c>
      <c r="M123" s="27"/>
      <c r="N123" s="6"/>
      <c r="O123" s="7"/>
      <c r="P123" s="7"/>
      <c r="Q123" s="7"/>
      <c r="R123" s="7"/>
    </row>
    <row r="124" spans="1:18" ht="15.75">
      <c r="A124" s="26"/>
      <c r="B124" s="27" t="s">
        <v>89</v>
      </c>
      <c r="C124" s="27"/>
      <c r="D124" s="27"/>
      <c r="E124" s="27"/>
      <c r="F124" s="27"/>
      <c r="G124" s="27"/>
      <c r="H124" s="27"/>
      <c r="I124" s="27"/>
      <c r="J124" s="27"/>
      <c r="K124" s="27"/>
      <c r="L124" s="62">
        <f>L122+L123</f>
        <v>858</v>
      </c>
      <c r="M124" s="27"/>
      <c r="N124" s="6"/>
      <c r="O124" s="7"/>
      <c r="P124" s="7"/>
      <c r="Q124" s="7"/>
      <c r="R124" s="7"/>
    </row>
    <row r="125" spans="1:18" ht="7.5" customHeight="1">
      <c r="A125" s="26"/>
      <c r="B125" s="27"/>
      <c r="C125" s="27"/>
      <c r="D125" s="27"/>
      <c r="E125" s="27"/>
      <c r="F125" s="27"/>
      <c r="G125" s="27"/>
      <c r="H125" s="27"/>
      <c r="I125" s="27"/>
      <c r="J125" s="27"/>
      <c r="K125" s="27"/>
      <c r="L125" s="54"/>
      <c r="M125" s="27"/>
      <c r="N125" s="6"/>
      <c r="O125" s="7"/>
      <c r="P125" s="7"/>
      <c r="Q125" s="7"/>
      <c r="R125" s="7"/>
    </row>
    <row r="126" spans="1:18" ht="6" customHeight="1">
      <c r="A126" s="2"/>
      <c r="B126" s="5"/>
      <c r="C126" s="5"/>
      <c r="D126" s="5"/>
      <c r="E126" s="5"/>
      <c r="F126" s="5"/>
      <c r="G126" s="5"/>
      <c r="H126" s="5"/>
      <c r="I126" s="5"/>
      <c r="J126" s="5"/>
      <c r="K126" s="5"/>
      <c r="L126" s="57"/>
      <c r="M126" s="5"/>
      <c r="N126" s="6"/>
      <c r="O126" s="7"/>
      <c r="P126" s="7"/>
      <c r="Q126" s="7"/>
      <c r="R126" s="7"/>
    </row>
    <row r="127" spans="1:18" ht="15.75">
      <c r="A127" s="8"/>
      <c r="B127" s="72" t="s">
        <v>90</v>
      </c>
      <c r="C127" s="16"/>
      <c r="D127" s="10"/>
      <c r="E127" s="10"/>
      <c r="F127" s="10"/>
      <c r="G127" s="10"/>
      <c r="H127" s="10"/>
      <c r="I127" s="10"/>
      <c r="J127" s="10"/>
      <c r="K127" s="10"/>
      <c r="L127" s="58"/>
      <c r="M127" s="10"/>
      <c r="N127" s="6"/>
      <c r="O127" s="7"/>
      <c r="P127" s="7"/>
      <c r="Q127" s="7"/>
      <c r="R127" s="7"/>
    </row>
    <row r="128" spans="1:18" ht="15.75">
      <c r="A128" s="8"/>
      <c r="B128" s="22"/>
      <c r="C128" s="16"/>
      <c r="D128" s="10"/>
      <c r="E128" s="10"/>
      <c r="F128" s="10"/>
      <c r="G128" s="10"/>
      <c r="H128" s="10"/>
      <c r="I128" s="10"/>
      <c r="J128" s="10"/>
      <c r="K128" s="10"/>
      <c r="L128" s="58"/>
      <c r="M128" s="10"/>
      <c r="N128" s="6"/>
      <c r="O128" s="7"/>
      <c r="P128" s="7"/>
      <c r="Q128" s="7"/>
      <c r="R128" s="7"/>
    </row>
    <row r="129" spans="1:18" ht="15.75">
      <c r="A129" s="26"/>
      <c r="B129" s="27" t="s">
        <v>91</v>
      </c>
      <c r="C129" s="76"/>
      <c r="D129" s="27"/>
      <c r="E129" s="27"/>
      <c r="F129" s="27"/>
      <c r="G129" s="27"/>
      <c r="H129" s="27"/>
      <c r="I129" s="27"/>
      <c r="J129" s="27"/>
      <c r="K129" s="27"/>
      <c r="L129" s="62">
        <f>L53</f>
        <v>146017</v>
      </c>
      <c r="M129" s="27"/>
      <c r="N129" s="6"/>
      <c r="O129" s="7"/>
      <c r="P129" s="7"/>
      <c r="Q129" s="7"/>
      <c r="R129" s="7"/>
    </row>
    <row r="130" spans="1:18" ht="15.75">
      <c r="A130" s="26"/>
      <c r="B130" s="27" t="s">
        <v>92</v>
      </c>
      <c r="C130" s="76"/>
      <c r="D130" s="27"/>
      <c r="E130" s="27"/>
      <c r="F130" s="27"/>
      <c r="G130" s="27"/>
      <c r="H130" s="27"/>
      <c r="I130" s="27"/>
      <c r="J130" s="27"/>
      <c r="K130" s="27"/>
      <c r="L130" s="62">
        <f>L65</f>
        <v>136986</v>
      </c>
      <c r="M130" s="27"/>
      <c r="N130" s="6"/>
      <c r="O130" s="7"/>
      <c r="P130" s="7"/>
      <c r="Q130" s="7"/>
      <c r="R130" s="7"/>
    </row>
    <row r="131" spans="1:18" ht="7.5" customHeight="1">
      <c r="A131" s="26"/>
      <c r="B131" s="27"/>
      <c r="C131" s="27"/>
      <c r="D131" s="27"/>
      <c r="E131" s="27"/>
      <c r="F131" s="27"/>
      <c r="G131" s="27"/>
      <c r="H131" s="27"/>
      <c r="I131" s="27"/>
      <c r="J131" s="27"/>
      <c r="K131" s="27"/>
      <c r="L131" s="54"/>
      <c r="M131" s="27"/>
      <c r="N131" s="6"/>
      <c r="O131" s="7"/>
      <c r="P131" s="7"/>
      <c r="Q131" s="7"/>
      <c r="R131" s="7"/>
    </row>
    <row r="132" spans="1:18" ht="15.75">
      <c r="A132" s="2"/>
      <c r="B132" s="5"/>
      <c r="C132" s="5"/>
      <c r="D132" s="5"/>
      <c r="E132" s="5"/>
      <c r="F132" s="5"/>
      <c r="G132" s="5"/>
      <c r="H132" s="5"/>
      <c r="I132" s="5"/>
      <c r="J132" s="5"/>
      <c r="K132" s="5"/>
      <c r="L132" s="57"/>
      <c r="M132" s="5"/>
      <c r="N132" s="6"/>
      <c r="O132" s="7"/>
      <c r="P132" s="7"/>
      <c r="Q132" s="7"/>
      <c r="R132" s="7"/>
    </row>
    <row r="133" spans="1:18" ht="15.75">
      <c r="A133" s="8"/>
      <c r="B133" s="72" t="s">
        <v>93</v>
      </c>
      <c r="C133" s="16"/>
      <c r="D133" s="10"/>
      <c r="E133" s="10"/>
      <c r="F133" s="10"/>
      <c r="G133" s="10"/>
      <c r="H133" s="77" t="s">
        <v>170</v>
      </c>
      <c r="I133" s="77"/>
      <c r="J133" s="77" t="s">
        <v>182</v>
      </c>
      <c r="K133" s="12"/>
      <c r="L133" s="78" t="s">
        <v>197</v>
      </c>
      <c r="M133" s="10"/>
      <c r="N133" s="6"/>
      <c r="O133" s="7"/>
      <c r="P133" s="7"/>
      <c r="Q133" s="7"/>
      <c r="R133" s="7"/>
    </row>
    <row r="134" spans="1:18" ht="15.75">
      <c r="A134" s="26"/>
      <c r="B134" s="27" t="s">
        <v>94</v>
      </c>
      <c r="C134" s="27"/>
      <c r="D134" s="27"/>
      <c r="E134" s="27"/>
      <c r="F134" s="27"/>
      <c r="G134" s="27"/>
      <c r="H134" s="62">
        <v>31500</v>
      </c>
      <c r="I134" s="27"/>
      <c r="J134" s="47" t="s">
        <v>183</v>
      </c>
      <c r="K134" s="27"/>
      <c r="L134" s="62"/>
      <c r="M134" s="27"/>
      <c r="N134" s="6"/>
      <c r="O134" s="7"/>
      <c r="P134" s="7"/>
      <c r="Q134" s="7"/>
      <c r="R134" s="7"/>
    </row>
    <row r="135" spans="1:18" ht="15.75">
      <c r="A135" s="26"/>
      <c r="B135" s="27" t="s">
        <v>95</v>
      </c>
      <c r="C135" s="27"/>
      <c r="D135" s="27"/>
      <c r="E135" s="27"/>
      <c r="F135" s="27"/>
      <c r="G135" s="27"/>
      <c r="H135" s="62">
        <v>0</v>
      </c>
      <c r="I135" s="27"/>
      <c r="J135" s="27">
        <v>9</v>
      </c>
      <c r="K135" s="27"/>
      <c r="L135" s="62">
        <f>J135+H135</f>
        <v>9</v>
      </c>
      <c r="M135" s="27"/>
      <c r="N135" s="6"/>
      <c r="O135" s="7"/>
      <c r="P135" s="7"/>
      <c r="Q135" s="7"/>
      <c r="R135" s="7"/>
    </row>
    <row r="136" spans="1:18" ht="15.75">
      <c r="A136" s="26"/>
      <c r="B136" s="27" t="s">
        <v>96</v>
      </c>
      <c r="C136" s="27"/>
      <c r="D136" s="27"/>
      <c r="E136" s="27"/>
      <c r="F136" s="27"/>
      <c r="G136" s="27"/>
      <c r="H136" s="62">
        <v>0</v>
      </c>
      <c r="I136" s="27"/>
      <c r="J136" s="27">
        <v>12</v>
      </c>
      <c r="K136" s="27"/>
      <c r="L136" s="62">
        <f>J136+H136</f>
        <v>12</v>
      </c>
      <c r="M136" s="27"/>
      <c r="N136" s="6"/>
      <c r="O136" s="7"/>
      <c r="P136" s="7"/>
      <c r="Q136" s="7"/>
      <c r="R136" s="7"/>
    </row>
    <row r="137" spans="1:18" ht="15.75">
      <c r="A137" s="26"/>
      <c r="B137" s="27" t="s">
        <v>97</v>
      </c>
      <c r="C137" s="27"/>
      <c r="D137" s="27"/>
      <c r="E137" s="27"/>
      <c r="F137" s="27"/>
      <c r="G137" s="27"/>
      <c r="H137" s="62">
        <v>111</v>
      </c>
      <c r="I137" s="27"/>
      <c r="J137" s="62">
        <f>J136+J135</f>
        <v>21</v>
      </c>
      <c r="K137" s="27"/>
      <c r="L137" s="62">
        <f>J137+H137</f>
        <v>132</v>
      </c>
      <c r="M137" s="27"/>
      <c r="N137" s="6"/>
      <c r="O137" s="7"/>
      <c r="P137" s="7"/>
      <c r="Q137" s="7"/>
      <c r="R137" s="7"/>
    </row>
    <row r="138" spans="1:18" ht="15.75">
      <c r="A138" s="26"/>
      <c r="B138" s="27" t="s">
        <v>98</v>
      </c>
      <c r="C138" s="27"/>
      <c r="D138" s="27"/>
      <c r="E138" s="27"/>
      <c r="F138" s="27"/>
      <c r="G138" s="27"/>
      <c r="H138" s="62">
        <f>H134-H137</f>
        <v>31389</v>
      </c>
      <c r="I138" s="27"/>
      <c r="J138" s="47" t="s">
        <v>183</v>
      </c>
      <c r="K138" s="27"/>
      <c r="L138" s="62"/>
      <c r="M138" s="27"/>
      <c r="N138" s="6"/>
      <c r="O138" s="7"/>
      <c r="P138" s="7"/>
      <c r="Q138" s="7"/>
      <c r="R138" s="7"/>
    </row>
    <row r="139" spans="1:18" ht="7.5" customHeight="1">
      <c r="A139" s="26"/>
      <c r="B139" s="27"/>
      <c r="C139" s="27"/>
      <c r="D139" s="27"/>
      <c r="E139" s="27"/>
      <c r="F139" s="27"/>
      <c r="G139" s="27"/>
      <c r="H139" s="27"/>
      <c r="I139" s="27"/>
      <c r="J139" s="27"/>
      <c r="K139" s="27"/>
      <c r="L139" s="54"/>
      <c r="M139" s="27"/>
      <c r="N139" s="6"/>
      <c r="O139" s="7"/>
      <c r="P139" s="7"/>
      <c r="Q139" s="7"/>
      <c r="R139" s="7"/>
    </row>
    <row r="140" spans="1:18" ht="9" customHeight="1">
      <c r="A140" s="2"/>
      <c r="B140" s="5"/>
      <c r="C140" s="5"/>
      <c r="D140" s="5"/>
      <c r="E140" s="5"/>
      <c r="F140" s="5"/>
      <c r="G140" s="5"/>
      <c r="H140" s="5"/>
      <c r="I140" s="5"/>
      <c r="J140" s="5"/>
      <c r="K140" s="5"/>
      <c r="L140" s="57"/>
      <c r="M140" s="5"/>
      <c r="N140" s="6"/>
      <c r="O140" s="7"/>
      <c r="P140" s="7"/>
      <c r="Q140" s="7"/>
      <c r="R140" s="7"/>
    </row>
    <row r="141" spans="1:18" ht="15.75">
      <c r="A141" s="8"/>
      <c r="B141" s="72" t="s">
        <v>99</v>
      </c>
      <c r="C141" s="16"/>
      <c r="D141" s="10"/>
      <c r="E141" s="10"/>
      <c r="F141" s="10"/>
      <c r="G141" s="10"/>
      <c r="H141" s="10"/>
      <c r="I141" s="10"/>
      <c r="J141" s="10"/>
      <c r="K141" s="10"/>
      <c r="L141" s="79"/>
      <c r="M141" s="10"/>
      <c r="N141" s="6"/>
      <c r="O141" s="7"/>
      <c r="P141" s="7"/>
      <c r="Q141" s="7"/>
      <c r="R141" s="7"/>
    </row>
    <row r="142" spans="1:18" ht="15.75">
      <c r="A142" s="26"/>
      <c r="B142" s="27" t="s">
        <v>100</v>
      </c>
      <c r="C142" s="27"/>
      <c r="D142" s="27"/>
      <c r="E142" s="27"/>
      <c r="F142" s="27"/>
      <c r="G142" s="27"/>
      <c r="H142" s="27"/>
      <c r="I142" s="27"/>
      <c r="J142" s="27"/>
      <c r="K142" s="27"/>
      <c r="L142" s="71">
        <f>(L75+L78+L79+L80)/-L81</f>
        <v>1.8902616279069768</v>
      </c>
      <c r="M142" s="27" t="s">
        <v>198</v>
      </c>
      <c r="N142" s="6"/>
      <c r="O142" s="7"/>
      <c r="P142" s="7"/>
      <c r="Q142" s="7"/>
      <c r="R142" s="7"/>
    </row>
    <row r="143" spans="1:18" ht="15.75">
      <c r="A143" s="26"/>
      <c r="B143" s="27" t="s">
        <v>101</v>
      </c>
      <c r="C143" s="27"/>
      <c r="D143" s="27"/>
      <c r="E143" s="27"/>
      <c r="F143" s="27"/>
      <c r="G143" s="27"/>
      <c r="H143" s="27"/>
      <c r="I143" s="27"/>
      <c r="J143" s="27"/>
      <c r="K143" s="27"/>
      <c r="L143" s="80">
        <v>1.29</v>
      </c>
      <c r="M143" s="27" t="s">
        <v>198</v>
      </c>
      <c r="N143" s="6"/>
      <c r="O143" s="7"/>
      <c r="P143" s="7"/>
      <c r="Q143" s="7"/>
      <c r="R143" s="7"/>
    </row>
    <row r="144" spans="1:18" ht="15.75">
      <c r="A144" s="26"/>
      <c r="B144" s="27" t="s">
        <v>102</v>
      </c>
      <c r="C144" s="27"/>
      <c r="D144" s="27"/>
      <c r="E144" s="27"/>
      <c r="F144" s="27"/>
      <c r="G144" s="27"/>
      <c r="H144" s="27"/>
      <c r="I144" s="27"/>
      <c r="J144" s="27"/>
      <c r="K144" s="27"/>
      <c r="L144" s="71">
        <f>(L75+SUM(L78:L82))/-L83</f>
        <v>2.59447983014862</v>
      </c>
      <c r="M144" s="27" t="s">
        <v>198</v>
      </c>
      <c r="N144" s="6"/>
      <c r="O144" s="7"/>
      <c r="P144" s="7"/>
      <c r="Q144" s="7"/>
      <c r="R144" s="7"/>
    </row>
    <row r="145" spans="1:18" ht="15.75">
      <c r="A145" s="26"/>
      <c r="B145" s="27" t="s">
        <v>103</v>
      </c>
      <c r="C145" s="27"/>
      <c r="D145" s="27"/>
      <c r="E145" s="27"/>
      <c r="F145" s="27"/>
      <c r="G145" s="27"/>
      <c r="H145" s="27"/>
      <c r="I145" s="27"/>
      <c r="J145" s="27"/>
      <c r="K145" s="27"/>
      <c r="L145" s="81">
        <v>1.02</v>
      </c>
      <c r="M145" s="27" t="s">
        <v>198</v>
      </c>
      <c r="N145" s="6"/>
      <c r="O145" s="7"/>
      <c r="P145" s="7"/>
      <c r="Q145" s="7"/>
      <c r="R145" s="7"/>
    </row>
    <row r="146" spans="1:18" ht="15.75">
      <c r="A146" s="26"/>
      <c r="B146" s="27" t="s">
        <v>104</v>
      </c>
      <c r="C146" s="27"/>
      <c r="D146" s="27"/>
      <c r="E146" s="27"/>
      <c r="F146" s="27"/>
      <c r="G146" s="27"/>
      <c r="H146" s="27"/>
      <c r="I146" s="27"/>
      <c r="J146" s="27"/>
      <c r="K146" s="27"/>
      <c r="L146" s="71">
        <f>(L75+L78+L79+L80+L81+L82+L83)/-L84</f>
        <v>4.814102564102564</v>
      </c>
      <c r="M146" s="27" t="s">
        <v>198</v>
      </c>
      <c r="N146" s="6"/>
      <c r="O146" s="7"/>
      <c r="P146" s="7"/>
      <c r="Q146" s="7"/>
      <c r="R146" s="7"/>
    </row>
    <row r="147" spans="1:18" ht="15.75">
      <c r="A147" s="26"/>
      <c r="B147" s="27" t="s">
        <v>105</v>
      </c>
      <c r="C147" s="27"/>
      <c r="D147" s="27"/>
      <c r="E147" s="27"/>
      <c r="F147" s="27"/>
      <c r="G147" s="27"/>
      <c r="H147" s="27"/>
      <c r="I147" s="27"/>
      <c r="J147" s="27"/>
      <c r="K147" s="27"/>
      <c r="L147" s="80">
        <v>0.06</v>
      </c>
      <c r="M147" s="27" t="s">
        <v>198</v>
      </c>
      <c r="N147" s="6"/>
      <c r="O147" s="7"/>
      <c r="P147" s="7"/>
      <c r="Q147" s="7"/>
      <c r="R147" s="7"/>
    </row>
    <row r="148" spans="1:18" ht="7.5" customHeight="1">
      <c r="A148" s="26"/>
      <c r="B148" s="27"/>
      <c r="C148" s="27"/>
      <c r="D148" s="27"/>
      <c r="E148" s="27"/>
      <c r="F148" s="27"/>
      <c r="G148" s="27"/>
      <c r="H148" s="27"/>
      <c r="I148" s="27"/>
      <c r="J148" s="27"/>
      <c r="K148" s="27"/>
      <c r="L148" s="27"/>
      <c r="M148" s="27"/>
      <c r="N148" s="6"/>
      <c r="O148" s="7"/>
      <c r="P148" s="7"/>
      <c r="Q148" s="7"/>
      <c r="R148" s="7"/>
    </row>
    <row r="149" spans="1:18" ht="15.75">
      <c r="A149" s="8"/>
      <c r="B149" s="15"/>
      <c r="C149" s="15"/>
      <c r="D149" s="15"/>
      <c r="E149" s="15"/>
      <c r="F149" s="15"/>
      <c r="G149" s="15"/>
      <c r="H149" s="15"/>
      <c r="I149" s="15"/>
      <c r="J149" s="15"/>
      <c r="K149" s="15"/>
      <c r="L149" s="15"/>
      <c r="M149" s="15"/>
      <c r="N149" s="6"/>
      <c r="O149" s="7"/>
      <c r="P149" s="7"/>
      <c r="Q149" s="7"/>
      <c r="R149" s="7"/>
    </row>
    <row r="150" spans="1:18" ht="15.75">
      <c r="A150" s="82"/>
      <c r="B150" s="55" t="s">
        <v>106</v>
      </c>
      <c r="C150" s="83"/>
      <c r="D150" s="83"/>
      <c r="E150" s="83"/>
      <c r="F150" s="83"/>
      <c r="G150" s="84"/>
      <c r="H150" s="84"/>
      <c r="I150" s="84"/>
      <c r="J150" s="84">
        <v>36341</v>
      </c>
      <c r="K150" s="5"/>
      <c r="L150" s="5"/>
      <c r="M150" s="5"/>
      <c r="N150" s="85"/>
      <c r="O150" s="7"/>
      <c r="P150" s="7"/>
      <c r="Q150" s="7"/>
      <c r="R150" s="7"/>
    </row>
    <row r="151" spans="1:18" ht="15.75">
      <c r="A151" s="86"/>
      <c r="B151" s="87"/>
      <c r="C151" s="88"/>
      <c r="D151" s="88"/>
      <c r="E151" s="88"/>
      <c r="F151" s="88"/>
      <c r="G151" s="89"/>
      <c r="H151" s="89"/>
      <c r="I151" s="89"/>
      <c r="J151" s="89"/>
      <c r="K151" s="10"/>
      <c r="L151" s="10"/>
      <c r="M151" s="10"/>
      <c r="N151" s="85"/>
      <c r="O151" s="7"/>
      <c r="P151" s="7"/>
      <c r="Q151" s="7"/>
      <c r="R151" s="7"/>
    </row>
    <row r="152" spans="1:18" ht="15.75">
      <c r="A152" s="90"/>
      <c r="B152" s="91" t="s">
        <v>107</v>
      </c>
      <c r="C152" s="92"/>
      <c r="D152" s="92"/>
      <c r="E152" s="92"/>
      <c r="F152" s="92"/>
      <c r="G152" s="75"/>
      <c r="H152" s="75"/>
      <c r="I152" s="75"/>
      <c r="J152" s="93">
        <v>0.104</v>
      </c>
      <c r="K152" s="27"/>
      <c r="L152" s="27"/>
      <c r="M152" s="27"/>
      <c r="N152" s="85"/>
      <c r="O152" s="7"/>
      <c r="P152" s="7"/>
      <c r="Q152" s="7"/>
      <c r="R152" s="7"/>
    </row>
    <row r="153" spans="1:18" ht="15.75">
      <c r="A153" s="90"/>
      <c r="B153" s="91" t="s">
        <v>108</v>
      </c>
      <c r="C153" s="92"/>
      <c r="D153" s="92"/>
      <c r="E153" s="92"/>
      <c r="F153" s="92"/>
      <c r="G153" s="75"/>
      <c r="H153" s="75"/>
      <c r="I153" s="75"/>
      <c r="J153" s="46">
        <f>7.76710857142857/100</f>
        <v>0.0776710857142857</v>
      </c>
      <c r="K153" s="27"/>
      <c r="L153" s="27"/>
      <c r="M153" s="27"/>
      <c r="N153" s="85"/>
      <c r="O153" s="7"/>
      <c r="P153" s="7"/>
      <c r="Q153" s="7"/>
      <c r="R153" s="7"/>
    </row>
    <row r="154" spans="1:18" ht="15.75">
      <c r="A154" s="90"/>
      <c r="B154" s="91" t="s">
        <v>109</v>
      </c>
      <c r="C154" s="92"/>
      <c r="D154" s="92"/>
      <c r="E154" s="92"/>
      <c r="F154" s="92"/>
      <c r="G154" s="75"/>
      <c r="H154" s="75"/>
      <c r="I154" s="75"/>
      <c r="J154" s="93">
        <f>J152-J153</f>
        <v>0.026328914285714294</v>
      </c>
      <c r="K154" s="27"/>
      <c r="L154" s="27"/>
      <c r="M154" s="27"/>
      <c r="N154" s="85"/>
      <c r="O154" s="7"/>
      <c r="P154" s="7"/>
      <c r="Q154" s="7"/>
      <c r="R154" s="7"/>
    </row>
    <row r="155" spans="1:18" ht="15.75">
      <c r="A155" s="90"/>
      <c r="B155" s="91" t="s">
        <v>110</v>
      </c>
      <c r="C155" s="92"/>
      <c r="D155" s="92"/>
      <c r="E155" s="92"/>
      <c r="F155" s="92"/>
      <c r="G155" s="75"/>
      <c r="H155" s="75"/>
      <c r="I155" s="75"/>
      <c r="J155" s="93">
        <v>0.089</v>
      </c>
      <c r="K155" s="27"/>
      <c r="L155" s="27"/>
      <c r="M155" s="27"/>
      <c r="N155" s="85"/>
      <c r="O155" s="7"/>
      <c r="P155" s="7"/>
      <c r="Q155" s="7"/>
      <c r="R155" s="7"/>
    </row>
    <row r="156" spans="1:18" ht="15.75">
      <c r="A156" s="90"/>
      <c r="B156" s="91" t="s">
        <v>111</v>
      </c>
      <c r="C156" s="92"/>
      <c r="D156" s="92"/>
      <c r="E156" s="92"/>
      <c r="F156" s="92"/>
      <c r="G156" s="75"/>
      <c r="H156" s="75"/>
      <c r="I156" s="75"/>
      <c r="J156" s="93">
        <f>L29</f>
        <v>0.05592953047398657</v>
      </c>
      <c r="K156" s="27"/>
      <c r="L156" s="27"/>
      <c r="M156" s="27"/>
      <c r="N156" s="85"/>
      <c r="O156" s="7"/>
      <c r="P156" s="7"/>
      <c r="Q156" s="7"/>
      <c r="R156" s="7"/>
    </row>
    <row r="157" spans="1:18" ht="15.75">
      <c r="A157" s="90"/>
      <c r="B157" s="91" t="s">
        <v>112</v>
      </c>
      <c r="C157" s="92"/>
      <c r="D157" s="92"/>
      <c r="E157" s="92"/>
      <c r="F157" s="92"/>
      <c r="G157" s="75"/>
      <c r="H157" s="75"/>
      <c r="I157" s="75"/>
      <c r="J157" s="93">
        <f>J155-J156</f>
        <v>0.033070469526013425</v>
      </c>
      <c r="K157" s="27"/>
      <c r="L157" s="27"/>
      <c r="M157" s="27"/>
      <c r="N157" s="85"/>
      <c r="O157" s="7"/>
      <c r="P157" s="7"/>
      <c r="Q157" s="7"/>
      <c r="R157" s="7"/>
    </row>
    <row r="158" spans="1:18" ht="15.75">
      <c r="A158" s="90"/>
      <c r="B158" s="91" t="s">
        <v>113</v>
      </c>
      <c r="C158" s="92"/>
      <c r="D158" s="92"/>
      <c r="E158" s="92"/>
      <c r="F158" s="92"/>
      <c r="G158" s="75"/>
      <c r="H158" s="75"/>
      <c r="I158" s="75"/>
      <c r="J158" s="94" t="s">
        <v>184</v>
      </c>
      <c r="K158" s="27"/>
      <c r="L158" s="27"/>
      <c r="M158" s="27"/>
      <c r="N158" s="85"/>
      <c r="O158" s="7"/>
      <c r="P158" s="7"/>
      <c r="Q158" s="7"/>
      <c r="R158" s="7"/>
    </row>
    <row r="159" spans="1:18" ht="15.75">
      <c r="A159" s="90"/>
      <c r="B159" s="91" t="s">
        <v>114</v>
      </c>
      <c r="C159" s="92"/>
      <c r="D159" s="92"/>
      <c r="E159" s="92"/>
      <c r="F159" s="92"/>
      <c r="G159" s="75"/>
      <c r="H159" s="75"/>
      <c r="I159" s="75"/>
      <c r="J159" s="95">
        <v>17.6</v>
      </c>
      <c r="K159" s="27" t="s">
        <v>189</v>
      </c>
      <c r="L159" s="27"/>
      <c r="M159" s="27"/>
      <c r="N159" s="85"/>
      <c r="O159" s="7"/>
      <c r="P159" s="7"/>
      <c r="Q159" s="7"/>
      <c r="R159" s="7"/>
    </row>
    <row r="160" spans="1:18" ht="15.75">
      <c r="A160" s="90"/>
      <c r="B160" s="91" t="s">
        <v>115</v>
      </c>
      <c r="C160" s="92"/>
      <c r="D160" s="92"/>
      <c r="E160" s="92"/>
      <c r="F160" s="92"/>
      <c r="G160" s="75"/>
      <c r="H160" s="75"/>
      <c r="I160" s="75"/>
      <c r="J160" s="95">
        <v>16.2</v>
      </c>
      <c r="K160" s="27" t="s">
        <v>189</v>
      </c>
      <c r="L160" s="27"/>
      <c r="M160" s="27"/>
      <c r="N160" s="85"/>
      <c r="O160" s="7"/>
      <c r="P160" s="7"/>
      <c r="Q160" s="7"/>
      <c r="R160" s="7"/>
    </row>
    <row r="161" spans="1:18" ht="15.75">
      <c r="A161" s="90"/>
      <c r="B161" s="91" t="s">
        <v>116</v>
      </c>
      <c r="C161" s="92"/>
      <c r="D161" s="92"/>
      <c r="E161" s="92"/>
      <c r="F161" s="92"/>
      <c r="G161" s="75"/>
      <c r="H161" s="75"/>
      <c r="I161" s="75"/>
      <c r="J161" s="93">
        <f>F53/D53*4</f>
        <v>0.1810537053626894</v>
      </c>
      <c r="K161" s="27"/>
      <c r="L161" s="27"/>
      <c r="M161" s="27"/>
      <c r="N161" s="85"/>
      <c r="O161" s="7"/>
      <c r="P161" s="7"/>
      <c r="Q161" s="7"/>
      <c r="R161" s="7"/>
    </row>
    <row r="162" spans="1:18" ht="15.75">
      <c r="A162" s="90"/>
      <c r="B162" s="91"/>
      <c r="C162" s="91"/>
      <c r="D162" s="91"/>
      <c r="E162" s="91"/>
      <c r="F162" s="91"/>
      <c r="G162" s="27"/>
      <c r="H162" s="27"/>
      <c r="I162" s="27"/>
      <c r="J162" s="54"/>
      <c r="K162" s="27"/>
      <c r="L162" s="96"/>
      <c r="M162" s="27"/>
      <c r="N162" s="85"/>
      <c r="O162" s="7"/>
      <c r="P162" s="7"/>
      <c r="Q162" s="7"/>
      <c r="R162" s="7"/>
    </row>
    <row r="163" spans="1:18" ht="15.75">
      <c r="A163" s="97"/>
      <c r="B163" s="17" t="s">
        <v>117</v>
      </c>
      <c r="C163" s="20"/>
      <c r="D163" s="98"/>
      <c r="E163" s="20"/>
      <c r="F163" s="98"/>
      <c r="G163" s="20"/>
      <c r="H163" s="98"/>
      <c r="I163" s="20" t="s">
        <v>171</v>
      </c>
      <c r="J163" s="98" t="s">
        <v>185</v>
      </c>
      <c r="K163" s="10"/>
      <c r="L163" s="10"/>
      <c r="M163" s="10"/>
      <c r="N163" s="85"/>
      <c r="O163" s="7"/>
      <c r="P163" s="7"/>
      <c r="Q163" s="7"/>
      <c r="R163" s="7"/>
    </row>
    <row r="164" spans="1:18" ht="15.75">
      <c r="A164" s="99"/>
      <c r="B164" s="91" t="s">
        <v>118</v>
      </c>
      <c r="C164" s="63"/>
      <c r="D164" s="63"/>
      <c r="E164" s="63"/>
      <c r="F164" s="27"/>
      <c r="G164" s="27"/>
      <c r="H164" s="27"/>
      <c r="I164" s="27">
        <v>423</v>
      </c>
      <c r="J164" s="100">
        <v>29773</v>
      </c>
      <c r="K164" s="27"/>
      <c r="L164" s="96"/>
      <c r="M164" s="101"/>
      <c r="N164" s="85"/>
      <c r="O164" s="7"/>
      <c r="P164" s="7"/>
      <c r="Q164" s="7"/>
      <c r="R164" s="7"/>
    </row>
    <row r="165" spans="1:18" ht="15.75">
      <c r="A165" s="99"/>
      <c r="B165" s="91" t="s">
        <v>119</v>
      </c>
      <c r="C165" s="63"/>
      <c r="D165" s="63"/>
      <c r="E165" s="63"/>
      <c r="F165" s="27"/>
      <c r="G165" s="27"/>
      <c r="H165" s="27"/>
      <c r="I165" s="27">
        <v>29</v>
      </c>
      <c r="J165" s="100">
        <v>2243</v>
      </c>
      <c r="K165" s="27"/>
      <c r="L165" s="96"/>
      <c r="M165" s="101"/>
      <c r="N165" s="85"/>
      <c r="O165" s="7"/>
      <c r="P165" s="7"/>
      <c r="Q165" s="7"/>
      <c r="R165" s="7"/>
    </row>
    <row r="166" spans="1:18" ht="15.75">
      <c r="A166" s="99"/>
      <c r="B166" s="102" t="s">
        <v>120</v>
      </c>
      <c r="C166" s="63"/>
      <c r="D166" s="63"/>
      <c r="E166" s="63"/>
      <c r="F166" s="27"/>
      <c r="G166" s="27"/>
      <c r="H166" s="27"/>
      <c r="I166" s="27">
        <v>1</v>
      </c>
      <c r="J166" s="100">
        <v>70</v>
      </c>
      <c r="K166" s="27"/>
      <c r="L166" s="96"/>
      <c r="M166" s="101"/>
      <c r="N166" s="85"/>
      <c r="O166" s="7"/>
      <c r="P166" s="7"/>
      <c r="Q166" s="7"/>
      <c r="R166" s="7"/>
    </row>
    <row r="167" spans="1:18" ht="15.75">
      <c r="A167" s="99"/>
      <c r="B167" s="102" t="s">
        <v>121</v>
      </c>
      <c r="C167" s="63"/>
      <c r="D167" s="63"/>
      <c r="E167" s="63"/>
      <c r="F167" s="27"/>
      <c r="G167" s="27"/>
      <c r="H167" s="27"/>
      <c r="I167" s="27"/>
      <c r="J167" s="103" t="s">
        <v>186</v>
      </c>
      <c r="K167" s="27"/>
      <c r="L167" s="96"/>
      <c r="M167" s="101"/>
      <c r="N167" s="85"/>
      <c r="O167" s="7"/>
      <c r="P167" s="7"/>
      <c r="Q167" s="7"/>
      <c r="R167" s="7"/>
    </row>
    <row r="168" spans="1:18" ht="15.75">
      <c r="A168" s="104"/>
      <c r="B168" s="102" t="s">
        <v>122</v>
      </c>
      <c r="C168" s="63"/>
      <c r="D168" s="91"/>
      <c r="E168" s="91"/>
      <c r="F168" s="91"/>
      <c r="G168" s="27"/>
      <c r="H168" s="27"/>
      <c r="I168" s="27"/>
      <c r="J168" s="103"/>
      <c r="K168" s="27"/>
      <c r="L168" s="96"/>
      <c r="M168" s="105"/>
      <c r="N168" s="85"/>
      <c r="O168" s="7"/>
      <c r="P168" s="7"/>
      <c r="Q168" s="7"/>
      <c r="R168" s="7"/>
    </row>
    <row r="169" spans="1:18" ht="15.75">
      <c r="A169" s="99"/>
      <c r="B169" s="91" t="s">
        <v>123</v>
      </c>
      <c r="C169" s="63"/>
      <c r="D169" s="63"/>
      <c r="E169" s="63"/>
      <c r="F169" s="63"/>
      <c r="G169" s="27"/>
      <c r="H169" s="27"/>
      <c r="I169" s="27">
        <v>15</v>
      </c>
      <c r="J169" s="100">
        <f>L121</f>
        <v>255</v>
      </c>
      <c r="K169" s="27"/>
      <c r="L169" s="96"/>
      <c r="M169" s="105"/>
      <c r="N169" s="85"/>
      <c r="O169" s="7"/>
      <c r="P169" s="7"/>
      <c r="Q169" s="7"/>
      <c r="R169" s="7"/>
    </row>
    <row r="170" spans="1:18" ht="15.75">
      <c r="A170" s="99"/>
      <c r="B170" s="91" t="s">
        <v>124</v>
      </c>
      <c r="C170" s="63"/>
      <c r="D170" s="63"/>
      <c r="E170" s="63"/>
      <c r="F170" s="63"/>
      <c r="G170" s="27"/>
      <c r="H170" s="27"/>
      <c r="I170" s="27">
        <v>45</v>
      </c>
      <c r="J170" s="100">
        <v>858</v>
      </c>
      <c r="K170" s="27"/>
      <c r="L170" s="96"/>
      <c r="M170" s="105"/>
      <c r="N170" s="85"/>
      <c r="O170" s="7"/>
      <c r="P170" s="7"/>
      <c r="Q170" s="7"/>
      <c r="R170" s="7"/>
    </row>
    <row r="171" spans="1:18" ht="15.75">
      <c r="A171" s="104"/>
      <c r="B171" s="102" t="s">
        <v>125</v>
      </c>
      <c r="C171" s="63"/>
      <c r="D171" s="91"/>
      <c r="E171" s="91"/>
      <c r="F171" s="91"/>
      <c r="G171" s="27"/>
      <c r="H171" s="27"/>
      <c r="I171" s="27"/>
      <c r="J171" s="100"/>
      <c r="K171" s="27"/>
      <c r="L171" s="96"/>
      <c r="M171" s="105"/>
      <c r="N171" s="85"/>
      <c r="O171" s="7"/>
      <c r="P171" s="7"/>
      <c r="Q171" s="7"/>
      <c r="R171" s="7"/>
    </row>
    <row r="172" spans="1:18" ht="15.75">
      <c r="A172" s="104"/>
      <c r="B172" s="91" t="s">
        <v>126</v>
      </c>
      <c r="C172" s="63"/>
      <c r="D172" s="91"/>
      <c r="E172" s="91"/>
      <c r="F172" s="91"/>
      <c r="G172" s="27"/>
      <c r="H172" s="27"/>
      <c r="I172" s="27">
        <v>14</v>
      </c>
      <c r="J172" s="100">
        <v>899</v>
      </c>
      <c r="K172" s="27"/>
      <c r="L172" s="96"/>
      <c r="M172" s="105"/>
      <c r="N172" s="85"/>
      <c r="O172" s="7"/>
      <c r="P172" s="7"/>
      <c r="Q172" s="7"/>
      <c r="R172" s="7"/>
    </row>
    <row r="173" spans="1:18" ht="15.75">
      <c r="A173" s="99"/>
      <c r="B173" s="91" t="s">
        <v>127</v>
      </c>
      <c r="C173" s="63"/>
      <c r="D173" s="106"/>
      <c r="E173" s="106"/>
      <c r="F173" s="107"/>
      <c r="G173" s="27"/>
      <c r="H173" s="27"/>
      <c r="I173" s="27"/>
      <c r="J173" s="108">
        <v>30.4</v>
      </c>
      <c r="K173" s="27"/>
      <c r="L173" s="96"/>
      <c r="M173" s="105"/>
      <c r="N173" s="85"/>
      <c r="O173" s="7"/>
      <c r="P173" s="7"/>
      <c r="Q173" s="7"/>
      <c r="R173" s="7"/>
    </row>
    <row r="174" spans="1:18" ht="15.75">
      <c r="A174" s="99"/>
      <c r="B174" s="91" t="s">
        <v>128</v>
      </c>
      <c r="C174" s="63"/>
      <c r="D174" s="106"/>
      <c r="E174" s="106"/>
      <c r="F174" s="107"/>
      <c r="G174" s="27"/>
      <c r="H174" s="27"/>
      <c r="I174" s="27"/>
      <c r="J174" s="108">
        <v>9.2</v>
      </c>
      <c r="K174" s="27"/>
      <c r="L174" s="96"/>
      <c r="M174" s="105"/>
      <c r="N174" s="85"/>
      <c r="O174" s="7"/>
      <c r="P174" s="7"/>
      <c r="Q174" s="7"/>
      <c r="R174" s="7"/>
    </row>
    <row r="175" spans="1:18" ht="15.75">
      <c r="A175" s="99"/>
      <c r="B175" s="91" t="s">
        <v>129</v>
      </c>
      <c r="C175" s="63"/>
      <c r="D175" s="109"/>
      <c r="E175" s="106"/>
      <c r="F175" s="107"/>
      <c r="G175" s="27"/>
      <c r="H175" s="27"/>
      <c r="I175" s="27"/>
      <c r="J175" s="110">
        <v>0.928</v>
      </c>
      <c r="K175" s="27"/>
      <c r="L175" s="96"/>
      <c r="M175" s="105"/>
      <c r="N175" s="85"/>
      <c r="O175" s="7"/>
      <c r="P175" s="7"/>
      <c r="Q175" s="7"/>
      <c r="R175" s="7"/>
    </row>
    <row r="176" spans="1:18" ht="15.75">
      <c r="A176" s="99"/>
      <c r="B176" s="91"/>
      <c r="C176" s="63"/>
      <c r="D176" s="109"/>
      <c r="E176" s="106"/>
      <c r="F176" s="107"/>
      <c r="G176" s="27"/>
      <c r="H176" s="27"/>
      <c r="I176" s="27"/>
      <c r="J176" s="110"/>
      <c r="K176" s="27"/>
      <c r="L176" s="96"/>
      <c r="M176" s="105"/>
      <c r="N176" s="85"/>
      <c r="O176" s="7"/>
      <c r="P176" s="7"/>
      <c r="Q176" s="7"/>
      <c r="R176" s="7"/>
    </row>
    <row r="177" spans="1:18" ht="15.75">
      <c r="A177" s="8"/>
      <c r="B177" s="17" t="s">
        <v>130</v>
      </c>
      <c r="C177" s="20"/>
      <c r="D177" s="98"/>
      <c r="E177" s="20"/>
      <c r="F177" s="98"/>
      <c r="G177" s="20"/>
      <c r="H177" s="98" t="s">
        <v>171</v>
      </c>
      <c r="I177" s="20" t="s">
        <v>172</v>
      </c>
      <c r="J177" s="98" t="s">
        <v>187</v>
      </c>
      <c r="K177" s="20" t="s">
        <v>172</v>
      </c>
      <c r="L177" s="10"/>
      <c r="M177" s="111"/>
      <c r="N177" s="85"/>
      <c r="O177" s="7"/>
      <c r="P177" s="7"/>
      <c r="Q177" s="7"/>
      <c r="R177" s="7"/>
    </row>
    <row r="178" spans="1:18" ht="15.75">
      <c r="A178" s="26"/>
      <c r="B178" s="63" t="s">
        <v>131</v>
      </c>
      <c r="C178" s="112"/>
      <c r="D178" s="63"/>
      <c r="E178" s="112"/>
      <c r="F178" s="27"/>
      <c r="G178" s="112"/>
      <c r="H178" s="63">
        <f>1765+194</f>
        <v>1959</v>
      </c>
      <c r="I178" s="113">
        <f>H178/H184</f>
        <v>0.6469616908850726</v>
      </c>
      <c r="J178" s="62">
        <f>6510+78439</f>
        <v>84949</v>
      </c>
      <c r="K178" s="113">
        <f>J178/$J$184</f>
        <v>0.5817747248608038</v>
      </c>
      <c r="L178" s="96"/>
      <c r="M178" s="105"/>
      <c r="N178" s="85"/>
      <c r="O178" s="7"/>
      <c r="P178" s="7"/>
      <c r="Q178" s="7"/>
      <c r="R178" s="7"/>
    </row>
    <row r="179" spans="1:18" ht="15.75">
      <c r="A179" s="26"/>
      <c r="B179" s="63" t="s">
        <v>132</v>
      </c>
      <c r="C179" s="112"/>
      <c r="D179" s="63"/>
      <c r="E179" s="112"/>
      <c r="F179" s="27"/>
      <c r="G179" s="114"/>
      <c r="H179" s="63">
        <f>15+49</f>
        <v>64</v>
      </c>
      <c r="I179" s="112">
        <f>H179/$H$184</f>
        <v>0.021136063408190225</v>
      </c>
      <c r="J179" s="62">
        <f>1799+501</f>
        <v>2300</v>
      </c>
      <c r="K179" s="113">
        <f>J179/$J$184</f>
        <v>0.015751590568221507</v>
      </c>
      <c r="L179" s="96"/>
      <c r="M179" s="105"/>
      <c r="N179" s="85"/>
      <c r="O179" s="7"/>
      <c r="P179" s="7"/>
      <c r="Q179" s="7"/>
      <c r="R179" s="7"/>
    </row>
    <row r="180" spans="1:18" ht="15.75">
      <c r="A180" s="26"/>
      <c r="B180" s="63" t="s">
        <v>133</v>
      </c>
      <c r="C180" s="112"/>
      <c r="D180" s="63"/>
      <c r="E180" s="112"/>
      <c r="F180" s="27"/>
      <c r="G180" s="114"/>
      <c r="H180" s="63">
        <f>11+43</f>
        <v>54</v>
      </c>
      <c r="I180" s="112">
        <f>H180/$H$184</f>
        <v>0.0178335535006605</v>
      </c>
      <c r="J180" s="62">
        <f>1568+562</f>
        <v>2130</v>
      </c>
      <c r="K180" s="113">
        <f>J180/$J$184</f>
        <v>0.014587342569700788</v>
      </c>
      <c r="L180" s="96"/>
      <c r="M180" s="105"/>
      <c r="N180" s="85"/>
      <c r="O180" s="7"/>
      <c r="P180" s="7"/>
      <c r="Q180" s="7"/>
      <c r="R180" s="7"/>
    </row>
    <row r="181" spans="1:18" ht="15.75">
      <c r="A181" s="26"/>
      <c r="B181" s="63" t="s">
        <v>134</v>
      </c>
      <c r="C181" s="112"/>
      <c r="D181" s="63"/>
      <c r="E181" s="112"/>
      <c r="F181" s="27"/>
      <c r="G181" s="114"/>
      <c r="H181" s="63">
        <f>3+11+34+903</f>
        <v>951</v>
      </c>
      <c r="I181" s="112">
        <f>H181/$H$184</f>
        <v>0.31406869220607664</v>
      </c>
      <c r="J181" s="62">
        <f>1234+131+44474+409+598-3</f>
        <v>46843</v>
      </c>
      <c r="K181" s="113">
        <f>J181/$J$184</f>
        <v>0.3208051117335653</v>
      </c>
      <c r="L181" s="96"/>
      <c r="M181" s="105"/>
      <c r="N181" s="85"/>
      <c r="O181" s="7"/>
      <c r="P181" s="7"/>
      <c r="Q181" s="7"/>
      <c r="R181" s="7"/>
    </row>
    <row r="182" spans="1:18" ht="15.75">
      <c r="A182" s="26"/>
      <c r="B182" s="30"/>
      <c r="C182" s="112"/>
      <c r="D182" s="63"/>
      <c r="E182" s="112"/>
      <c r="F182" s="27"/>
      <c r="G182" s="114"/>
      <c r="H182" s="63"/>
      <c r="I182" s="112"/>
      <c r="J182" s="62"/>
      <c r="K182" s="113"/>
      <c r="L182" s="96"/>
      <c r="M182" s="105"/>
      <c r="N182" s="85"/>
      <c r="O182" s="7"/>
      <c r="P182" s="7"/>
      <c r="Q182" s="7"/>
      <c r="R182" s="7"/>
    </row>
    <row r="183" spans="1:18" ht="15.75">
      <c r="A183" s="26"/>
      <c r="B183" s="63" t="s">
        <v>135</v>
      </c>
      <c r="C183" s="115"/>
      <c r="D183" s="101"/>
      <c r="E183" s="115"/>
      <c r="F183" s="27"/>
      <c r="G183" s="115"/>
      <c r="H183" s="101"/>
      <c r="I183" s="115"/>
      <c r="J183" s="62">
        <v>9795</v>
      </c>
      <c r="K183" s="113">
        <f>J183/$J$184</f>
        <v>0.06708123026770856</v>
      </c>
      <c r="L183" s="96"/>
      <c r="M183" s="105"/>
      <c r="N183" s="85"/>
      <c r="O183" s="7"/>
      <c r="P183" s="7"/>
      <c r="Q183" s="7"/>
      <c r="R183" s="7"/>
    </row>
    <row r="184" spans="1:18" ht="15.75">
      <c r="A184" s="26"/>
      <c r="B184" s="27"/>
      <c r="C184" s="27"/>
      <c r="D184" s="27"/>
      <c r="E184" s="27"/>
      <c r="F184" s="27"/>
      <c r="G184" s="27"/>
      <c r="H184" s="38">
        <f>SUM(H178:H182)</f>
        <v>3028</v>
      </c>
      <c r="I184" s="116">
        <f>SUM(I178:I183)</f>
        <v>1</v>
      </c>
      <c r="J184" s="62">
        <f>SUM(J178:J183)</f>
        <v>146017</v>
      </c>
      <c r="K184" s="116">
        <f>SUM(K178:K183)</f>
        <v>0.9999999999999999</v>
      </c>
      <c r="L184" s="27"/>
      <c r="M184" s="27"/>
      <c r="N184" s="117"/>
      <c r="O184" s="118"/>
      <c r="P184" s="118"/>
      <c r="Q184" s="118"/>
      <c r="R184" s="118"/>
    </row>
    <row r="185" spans="1:18" ht="15.75">
      <c r="A185" s="26"/>
      <c r="B185" s="27"/>
      <c r="C185" s="27"/>
      <c r="D185" s="27"/>
      <c r="E185" s="27"/>
      <c r="F185" s="27"/>
      <c r="G185" s="27"/>
      <c r="H185" s="38"/>
      <c r="I185" s="116"/>
      <c r="J185" s="62"/>
      <c r="K185" s="116"/>
      <c r="L185" s="27"/>
      <c r="M185" s="27"/>
      <c r="N185" s="117"/>
      <c r="O185" s="118"/>
      <c r="P185" s="118"/>
      <c r="Q185" s="118"/>
      <c r="R185" s="118"/>
    </row>
    <row r="186" spans="1:18" ht="15.75">
      <c r="A186" s="8"/>
      <c r="B186" s="10"/>
      <c r="C186" s="10"/>
      <c r="D186" s="10"/>
      <c r="E186" s="10"/>
      <c r="F186" s="10"/>
      <c r="G186" s="10"/>
      <c r="H186" s="64"/>
      <c r="I186" s="119"/>
      <c r="J186" s="120"/>
      <c r="K186" s="119"/>
      <c r="L186" s="10"/>
      <c r="M186" s="10"/>
      <c r="N186" s="117"/>
      <c r="O186" s="118"/>
      <c r="P186" s="118"/>
      <c r="Q186" s="118"/>
      <c r="R186" s="118"/>
    </row>
    <row r="187" spans="1:18" ht="15.75">
      <c r="A187" s="121"/>
      <c r="B187" s="17" t="s">
        <v>136</v>
      </c>
      <c r="C187" s="122"/>
      <c r="D187" s="20" t="s">
        <v>151</v>
      </c>
      <c r="E187" s="18"/>
      <c r="F187" s="17" t="s">
        <v>161</v>
      </c>
      <c r="G187" s="123"/>
      <c r="H187" s="15"/>
      <c r="I187" s="15"/>
      <c r="J187" s="15"/>
      <c r="K187" s="15"/>
      <c r="L187" s="15"/>
      <c r="M187" s="15"/>
      <c r="N187" s="117"/>
      <c r="O187" s="118"/>
      <c r="P187" s="118"/>
      <c r="Q187" s="118"/>
      <c r="R187" s="118"/>
    </row>
    <row r="188" spans="1:18" ht="15.75">
      <c r="A188" s="124"/>
      <c r="B188" s="15"/>
      <c r="C188" s="15"/>
      <c r="D188" s="10"/>
      <c r="E188" s="10"/>
      <c r="F188" s="10"/>
      <c r="G188" s="15"/>
      <c r="H188" s="15"/>
      <c r="I188" s="15"/>
      <c r="J188" s="15"/>
      <c r="K188" s="15"/>
      <c r="L188" s="15"/>
      <c r="M188" s="15"/>
      <c r="N188" s="117"/>
      <c r="O188" s="118"/>
      <c r="P188" s="118"/>
      <c r="Q188" s="118"/>
      <c r="R188" s="118"/>
    </row>
    <row r="189" spans="1:18" ht="15.75">
      <c r="A189" s="124"/>
      <c r="B189" s="16" t="s">
        <v>137</v>
      </c>
      <c r="C189" s="125"/>
      <c r="D189" s="126" t="s">
        <v>152</v>
      </c>
      <c r="E189" s="16"/>
      <c r="F189" s="16" t="s">
        <v>162</v>
      </c>
      <c r="G189" s="125"/>
      <c r="H189" s="125"/>
      <c r="I189" s="15"/>
      <c r="J189" s="15"/>
      <c r="K189" s="15"/>
      <c r="L189" s="15"/>
      <c r="M189" s="15"/>
      <c r="N189" s="117"/>
      <c r="O189" s="118"/>
      <c r="P189" s="118"/>
      <c r="Q189" s="118"/>
      <c r="R189" s="118"/>
    </row>
    <row r="190" spans="1:18" ht="15.75">
      <c r="A190" s="124"/>
      <c r="B190" s="16" t="s">
        <v>138</v>
      </c>
      <c r="C190" s="125"/>
      <c r="D190" s="126" t="s">
        <v>153</v>
      </c>
      <c r="E190" s="16"/>
      <c r="F190" s="16" t="s">
        <v>163</v>
      </c>
      <c r="G190" s="125"/>
      <c r="H190" s="125"/>
      <c r="I190" s="15"/>
      <c r="J190" s="15"/>
      <c r="K190" s="15"/>
      <c r="L190" s="15"/>
      <c r="M190" s="15"/>
      <c r="N190" s="117"/>
      <c r="O190" s="118"/>
      <c r="P190" s="118"/>
      <c r="Q190" s="118"/>
      <c r="R190" s="118"/>
    </row>
    <row r="191" spans="1:18" ht="15">
      <c r="A191" s="124"/>
      <c r="B191" s="15"/>
      <c r="C191" s="15"/>
      <c r="D191" s="15"/>
      <c r="E191" s="15"/>
      <c r="F191" s="15"/>
      <c r="G191" s="15"/>
      <c r="H191" s="15"/>
      <c r="I191" s="15"/>
      <c r="J191" s="15"/>
      <c r="K191" s="15"/>
      <c r="L191" s="15"/>
      <c r="M191" s="15"/>
      <c r="N191" s="117"/>
      <c r="O191" s="118"/>
      <c r="P191" s="118"/>
      <c r="Q191" s="118"/>
      <c r="R191" s="118"/>
    </row>
    <row r="192" spans="1:18" ht="15">
      <c r="A192" s="124"/>
      <c r="B192" s="15"/>
      <c r="C192" s="15"/>
      <c r="D192" s="15"/>
      <c r="E192" s="15"/>
      <c r="F192" s="15"/>
      <c r="G192" s="15"/>
      <c r="H192" s="15"/>
      <c r="I192" s="15"/>
      <c r="J192" s="15"/>
      <c r="K192" s="15"/>
      <c r="L192" s="15"/>
      <c r="M192" s="15"/>
      <c r="N192" s="117"/>
      <c r="O192" s="118"/>
      <c r="P192" s="118"/>
      <c r="Q192" s="118"/>
      <c r="R192" s="118"/>
    </row>
    <row r="193" spans="1:18" ht="15">
      <c r="A193" s="127"/>
      <c r="B193" s="127"/>
      <c r="C193" s="127"/>
      <c r="D193" s="127"/>
      <c r="E193" s="127"/>
      <c r="F193" s="127"/>
      <c r="G193" s="127"/>
      <c r="H193" s="127"/>
      <c r="I193" s="127"/>
      <c r="J193" s="127"/>
      <c r="K193" s="127"/>
      <c r="L193" s="127"/>
      <c r="M193" s="127"/>
      <c r="N193" s="128"/>
      <c r="O193" s="7"/>
      <c r="P193" s="7"/>
      <c r="Q193" s="7"/>
      <c r="R193" s="7"/>
    </row>
    <row r="194" spans="1:18" ht="15">
      <c r="A194" s="7"/>
      <c r="B194" s="7"/>
      <c r="C194" s="7"/>
      <c r="D194" s="7"/>
      <c r="E194" s="7"/>
      <c r="F194" s="7"/>
      <c r="G194" s="7"/>
      <c r="H194" s="7"/>
      <c r="I194" s="7"/>
      <c r="J194" s="7"/>
      <c r="K194" s="7"/>
      <c r="L194" s="7"/>
      <c r="M194" s="7"/>
      <c r="N194" s="128"/>
      <c r="O194" s="7"/>
      <c r="P194" s="7"/>
      <c r="Q194" s="7"/>
      <c r="R194" s="7"/>
    </row>
    <row r="195" spans="1:18" ht="15">
      <c r="A195" s="7"/>
      <c r="B195" s="7"/>
      <c r="C195" s="7"/>
      <c r="D195" s="7"/>
      <c r="E195" s="7"/>
      <c r="F195" s="7"/>
      <c r="G195" s="7"/>
      <c r="H195" s="7"/>
      <c r="I195" s="7"/>
      <c r="J195" s="7"/>
      <c r="K195" s="7"/>
      <c r="L195" s="7"/>
      <c r="M195" s="7"/>
      <c r="N195" s="128"/>
      <c r="O195" s="7"/>
      <c r="P195" s="7"/>
      <c r="Q195" s="7"/>
      <c r="R195" s="7"/>
    </row>
    <row r="196" spans="1:18" ht="15.75">
      <c r="A196" s="7"/>
      <c r="B196" s="7"/>
      <c r="C196" s="7"/>
      <c r="D196" s="7"/>
      <c r="E196" s="7"/>
      <c r="F196" s="7"/>
      <c r="G196" s="7"/>
      <c r="H196" s="7"/>
      <c r="I196" s="7"/>
      <c r="J196" s="7"/>
      <c r="K196" s="7"/>
      <c r="L196" s="7"/>
      <c r="M196" s="129"/>
      <c r="N196" s="7"/>
      <c r="O196" s="7"/>
      <c r="P196" s="7"/>
      <c r="Q196" s="7"/>
      <c r="R196" s="7"/>
    </row>
    <row r="197" spans="1:18" ht="15">
      <c r="A197" s="7"/>
      <c r="B197" s="7"/>
      <c r="C197" s="7"/>
      <c r="D197" s="7"/>
      <c r="E197" s="7"/>
      <c r="F197" s="7"/>
      <c r="G197" s="7"/>
      <c r="H197" s="7"/>
      <c r="I197" s="7"/>
      <c r="J197" s="7"/>
      <c r="K197" s="7"/>
      <c r="L197" s="7"/>
      <c r="M197" s="7"/>
      <c r="N197" s="7"/>
      <c r="O197" s="7"/>
      <c r="P197" s="7"/>
      <c r="Q197" s="7"/>
      <c r="R197" s="7"/>
    </row>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sheetData>
  <printOptions/>
  <pageMargins left="0.5" right="0.5" top="0.30416666666666664" bottom="0.34375" header="0" footer="0"/>
  <pageSetup orientation="landscape" paperSize="9" scale="74"/>
  <headerFooter alignWithMargins="0">
    <oddFooter>&amp;LFFP2 INVESTOR REPORT QTR END SEPTEMBER 2001</oddFooter>
  </headerFooter>
  <rowBreaks count="3" manualBreakCount="3">
    <brk id="45" min="98" max="149" man="1"/>
    <brk id="0" max="1" man="1"/>
    <brk id="0" min="1" max="1039" man="1"/>
  </rowBreaks>
</worksheet>
</file>

<file path=xl/worksheets/sheet10.xml><?xml version="1.0" encoding="utf-8"?>
<worksheet xmlns="http://schemas.openxmlformats.org/spreadsheetml/2006/main" xmlns:r="http://schemas.openxmlformats.org/officeDocument/2006/relationships">
  <dimension ref="A1:N195"/>
  <sheetViews>
    <sheetView showOutlineSymbols="0" zoomScale="70" zoomScaleNormal="70" workbookViewId="0" topLeftCell="E1">
      <selection activeCell="O1" sqref="O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3.77734375" style="1" customWidth="1"/>
    <col min="14" max="16384" width="9.6640625" style="1" customWidth="1"/>
  </cols>
  <sheetData>
    <row r="1" spans="1:14" ht="20.25">
      <c r="A1" s="2"/>
      <c r="B1" s="3" t="s">
        <v>0</v>
      </c>
      <c r="C1" s="4"/>
      <c r="D1" s="5"/>
      <c r="E1" s="5"/>
      <c r="F1" s="5"/>
      <c r="G1" s="5"/>
      <c r="H1" s="5"/>
      <c r="I1" s="5"/>
      <c r="J1" s="5"/>
      <c r="K1" s="5"/>
      <c r="L1" s="5"/>
      <c r="M1" s="5"/>
      <c r="N1" s="141"/>
    </row>
    <row r="2" spans="1:14" ht="15.75">
      <c r="A2" s="8"/>
      <c r="B2" s="9"/>
      <c r="C2" s="9"/>
      <c r="D2" s="10"/>
      <c r="E2" s="10"/>
      <c r="F2" s="10"/>
      <c r="G2" s="10"/>
      <c r="H2" s="10"/>
      <c r="I2" s="10"/>
      <c r="J2" s="10"/>
      <c r="K2" s="10"/>
      <c r="L2" s="10"/>
      <c r="M2" s="10"/>
      <c r="N2" s="141"/>
    </row>
    <row r="3" spans="1:14" ht="15.75">
      <c r="A3" s="11"/>
      <c r="B3" s="12" t="s">
        <v>1</v>
      </c>
      <c r="C3" s="10"/>
      <c r="D3" s="10"/>
      <c r="E3" s="10"/>
      <c r="F3" s="10"/>
      <c r="G3" s="10"/>
      <c r="H3" s="10"/>
      <c r="I3" s="10"/>
      <c r="J3" s="10"/>
      <c r="K3" s="10"/>
      <c r="L3" s="10"/>
      <c r="M3" s="10"/>
      <c r="N3" s="141"/>
    </row>
    <row r="4" spans="1:14" ht="15.75">
      <c r="A4" s="8"/>
      <c r="B4" s="9"/>
      <c r="C4" s="9"/>
      <c r="D4" s="10"/>
      <c r="E4" s="10"/>
      <c r="F4" s="10"/>
      <c r="G4" s="10"/>
      <c r="H4" s="10"/>
      <c r="I4" s="10"/>
      <c r="J4" s="10"/>
      <c r="K4" s="10"/>
      <c r="L4" s="10"/>
      <c r="M4" s="10"/>
      <c r="N4" s="141"/>
    </row>
    <row r="5" spans="1:14" ht="15.75">
      <c r="A5" s="8"/>
      <c r="B5" s="13" t="s">
        <v>2</v>
      </c>
      <c r="C5" s="14"/>
      <c r="D5" s="10"/>
      <c r="E5" s="10"/>
      <c r="F5" s="10"/>
      <c r="G5" s="10"/>
      <c r="H5" s="10"/>
      <c r="I5" s="10"/>
      <c r="J5" s="10"/>
      <c r="K5" s="10"/>
      <c r="L5" s="10"/>
      <c r="M5" s="10"/>
      <c r="N5" s="141"/>
    </row>
    <row r="6" spans="1:14" ht="15.75">
      <c r="A6" s="8"/>
      <c r="B6" s="13" t="s">
        <v>3</v>
      </c>
      <c r="C6" s="14"/>
      <c r="D6" s="10"/>
      <c r="E6" s="10"/>
      <c r="F6" s="10"/>
      <c r="G6" s="10"/>
      <c r="H6" s="10"/>
      <c r="I6" s="10"/>
      <c r="J6" s="10"/>
      <c r="K6" s="10"/>
      <c r="L6" s="10"/>
      <c r="M6" s="10"/>
      <c r="N6" s="141"/>
    </row>
    <row r="7" spans="1:14" ht="15.75">
      <c r="A7" s="8"/>
      <c r="B7" s="13" t="s">
        <v>4</v>
      </c>
      <c r="C7" s="14"/>
      <c r="D7" s="10"/>
      <c r="E7" s="10"/>
      <c r="F7" s="10"/>
      <c r="G7" s="10"/>
      <c r="H7" s="10"/>
      <c r="I7" s="10"/>
      <c r="J7" s="10"/>
      <c r="K7" s="10"/>
      <c r="L7" s="10"/>
      <c r="M7" s="10"/>
      <c r="N7" s="141"/>
    </row>
    <row r="8" spans="1:14" ht="15.75">
      <c r="A8" s="8"/>
      <c r="B8" s="13" t="s">
        <v>5</v>
      </c>
      <c r="C8" s="14"/>
      <c r="D8" s="10"/>
      <c r="E8" s="10"/>
      <c r="F8" s="10"/>
      <c r="G8" s="10"/>
      <c r="H8" s="10"/>
      <c r="I8" s="10"/>
      <c r="J8" s="10"/>
      <c r="K8" s="10"/>
      <c r="L8" s="10"/>
      <c r="M8" s="10"/>
      <c r="N8" s="141"/>
    </row>
    <row r="9" spans="1:14" ht="15.75">
      <c r="A9" s="8"/>
      <c r="B9" s="15"/>
      <c r="C9" s="14"/>
      <c r="D9" s="10"/>
      <c r="E9" s="10"/>
      <c r="F9" s="10"/>
      <c r="G9" s="10"/>
      <c r="H9" s="10"/>
      <c r="I9" s="10"/>
      <c r="J9" s="10"/>
      <c r="K9" s="10"/>
      <c r="L9" s="10"/>
      <c r="M9" s="10"/>
      <c r="N9" s="141"/>
    </row>
    <row r="10" spans="1:14" ht="15.75">
      <c r="A10" s="8"/>
      <c r="B10" s="13"/>
      <c r="C10" s="14"/>
      <c r="D10" s="16"/>
      <c r="E10" s="16"/>
      <c r="F10" s="10"/>
      <c r="G10" s="10"/>
      <c r="H10" s="10"/>
      <c r="I10" s="10"/>
      <c r="J10" s="10"/>
      <c r="K10" s="10"/>
      <c r="L10" s="10"/>
      <c r="M10" s="10"/>
      <c r="N10" s="141"/>
    </row>
    <row r="11" spans="1:14" ht="15.75">
      <c r="A11" s="8"/>
      <c r="B11" s="16" t="s">
        <v>6</v>
      </c>
      <c r="C11" s="16"/>
      <c r="D11" s="10"/>
      <c r="E11" s="10"/>
      <c r="F11" s="10"/>
      <c r="G11" s="10"/>
      <c r="H11" s="10"/>
      <c r="I11" s="10"/>
      <c r="J11" s="10"/>
      <c r="K11" s="10"/>
      <c r="L11" s="10"/>
      <c r="M11" s="10"/>
      <c r="N11" s="141"/>
    </row>
    <row r="12" spans="1:14" ht="15.75">
      <c r="A12" s="8"/>
      <c r="B12" s="16"/>
      <c r="C12" s="16"/>
      <c r="D12" s="10"/>
      <c r="E12" s="10"/>
      <c r="F12" s="10"/>
      <c r="G12" s="10"/>
      <c r="H12" s="10"/>
      <c r="I12" s="10"/>
      <c r="J12" s="10"/>
      <c r="K12" s="10"/>
      <c r="L12" s="10"/>
      <c r="M12" s="10"/>
      <c r="N12" s="141"/>
    </row>
    <row r="13" spans="1:14" ht="15.75">
      <c r="A13" s="2"/>
      <c r="B13" s="5"/>
      <c r="C13" s="5"/>
      <c r="D13" s="5"/>
      <c r="E13" s="5"/>
      <c r="F13" s="5"/>
      <c r="G13" s="5"/>
      <c r="H13" s="5"/>
      <c r="I13" s="5"/>
      <c r="J13" s="5"/>
      <c r="K13" s="5"/>
      <c r="L13" s="5"/>
      <c r="M13" s="5"/>
      <c r="N13" s="141"/>
    </row>
    <row r="14" spans="1:14" ht="15.75">
      <c r="A14" s="8"/>
      <c r="B14" s="17" t="s">
        <v>7</v>
      </c>
      <c r="C14" s="17"/>
      <c r="D14" s="18"/>
      <c r="E14" s="18"/>
      <c r="F14" s="18"/>
      <c r="G14" s="18"/>
      <c r="H14" s="18"/>
      <c r="I14" s="18"/>
      <c r="J14" s="18"/>
      <c r="K14" s="18"/>
      <c r="L14" s="19" t="s">
        <v>190</v>
      </c>
      <c r="M14" s="18"/>
      <c r="N14" s="141"/>
    </row>
    <row r="15" spans="1:14" ht="15.75">
      <c r="A15" s="8"/>
      <c r="B15" s="17" t="s">
        <v>206</v>
      </c>
      <c r="C15" s="17"/>
      <c r="D15" s="18"/>
      <c r="E15" s="18"/>
      <c r="F15" s="18"/>
      <c r="G15" s="18"/>
      <c r="H15" s="20" t="s">
        <v>209</v>
      </c>
      <c r="I15" s="142">
        <v>0.49</v>
      </c>
      <c r="J15" s="20" t="s">
        <v>210</v>
      </c>
      <c r="K15" s="142">
        <v>0.51</v>
      </c>
      <c r="L15" s="19"/>
      <c r="M15" s="18"/>
      <c r="N15" s="141"/>
    </row>
    <row r="16" spans="1:14" ht="15.75">
      <c r="A16" s="8"/>
      <c r="B16" s="17" t="s">
        <v>207</v>
      </c>
      <c r="C16" s="17"/>
      <c r="D16" s="18"/>
      <c r="E16" s="18"/>
      <c r="F16" s="18"/>
      <c r="G16" s="18"/>
      <c r="H16" s="20" t="s">
        <v>209</v>
      </c>
      <c r="I16" s="142">
        <v>0.3875</v>
      </c>
      <c r="J16" s="20" t="s">
        <v>210</v>
      </c>
      <c r="K16" s="142">
        <v>0.6125</v>
      </c>
      <c r="L16" s="19"/>
      <c r="M16" s="18"/>
      <c r="N16" s="141"/>
    </row>
    <row r="17" spans="1:14" ht="15.75">
      <c r="A17" s="8"/>
      <c r="B17" s="17" t="s">
        <v>8</v>
      </c>
      <c r="C17" s="17"/>
      <c r="D17" s="18"/>
      <c r="E17" s="18"/>
      <c r="F17" s="18"/>
      <c r="G17" s="18"/>
      <c r="H17" s="18"/>
      <c r="I17" s="18"/>
      <c r="J17" s="18"/>
      <c r="K17" s="18"/>
      <c r="L17" s="20" t="s">
        <v>191</v>
      </c>
      <c r="M17" s="18"/>
      <c r="N17" s="141"/>
    </row>
    <row r="18" spans="1:14" ht="15.75">
      <c r="A18" s="8"/>
      <c r="B18" s="17" t="s">
        <v>9</v>
      </c>
      <c r="C18" s="17"/>
      <c r="D18" s="18"/>
      <c r="E18" s="18"/>
      <c r="F18" s="18"/>
      <c r="G18" s="18"/>
      <c r="H18" s="18"/>
      <c r="I18" s="18"/>
      <c r="J18" s="18"/>
      <c r="K18" s="18"/>
      <c r="L18" s="130">
        <v>37190</v>
      </c>
      <c r="M18" s="18"/>
      <c r="N18" s="141"/>
    </row>
    <row r="19" spans="1:14" ht="15.75">
      <c r="A19" s="8"/>
      <c r="B19" s="10"/>
      <c r="C19" s="10"/>
      <c r="D19" s="10"/>
      <c r="E19" s="10"/>
      <c r="F19" s="10"/>
      <c r="G19" s="10"/>
      <c r="H19" s="10"/>
      <c r="I19" s="10"/>
      <c r="J19" s="10"/>
      <c r="K19" s="10"/>
      <c r="L19" s="21"/>
      <c r="M19" s="10"/>
      <c r="N19" s="141"/>
    </row>
    <row r="20" spans="1:14" ht="15.75">
      <c r="A20" s="8"/>
      <c r="B20" s="22" t="s">
        <v>10</v>
      </c>
      <c r="C20" s="10"/>
      <c r="D20" s="10"/>
      <c r="E20" s="10"/>
      <c r="F20" s="10"/>
      <c r="G20" s="10"/>
      <c r="H20" s="10"/>
      <c r="I20" s="10"/>
      <c r="J20" s="21" t="s">
        <v>173</v>
      </c>
      <c r="K20" s="10"/>
      <c r="L20" s="15"/>
      <c r="M20" s="10"/>
      <c r="N20" s="141"/>
    </row>
    <row r="21" spans="1:14" ht="15.75">
      <c r="A21" s="8"/>
      <c r="B21" s="10"/>
      <c r="C21" s="10"/>
      <c r="D21" s="10"/>
      <c r="E21" s="10"/>
      <c r="F21" s="10"/>
      <c r="G21" s="10"/>
      <c r="H21" s="10"/>
      <c r="I21" s="10"/>
      <c r="J21" s="10"/>
      <c r="K21" s="10"/>
      <c r="L21" s="23"/>
      <c r="M21" s="10"/>
      <c r="N21" s="141"/>
    </row>
    <row r="22" spans="1:14" ht="15.75">
      <c r="A22" s="8"/>
      <c r="B22" s="10"/>
      <c r="C22" s="24" t="s">
        <v>139</v>
      </c>
      <c r="D22" s="25" t="s">
        <v>143</v>
      </c>
      <c r="E22" s="25"/>
      <c r="F22" s="25" t="s">
        <v>154</v>
      </c>
      <c r="G22" s="25"/>
      <c r="H22" s="25" t="s">
        <v>164</v>
      </c>
      <c r="I22" s="25"/>
      <c r="J22" s="25" t="s">
        <v>174</v>
      </c>
      <c r="K22" s="137"/>
      <c r="L22" s="137"/>
      <c r="M22" s="10"/>
      <c r="N22" s="141"/>
    </row>
    <row r="23" spans="1:14" ht="15.75">
      <c r="A23" s="26"/>
      <c r="B23" s="27" t="s">
        <v>11</v>
      </c>
      <c r="C23" s="28" t="s">
        <v>140</v>
      </c>
      <c r="D23" s="29" t="s">
        <v>144</v>
      </c>
      <c r="E23" s="29"/>
      <c r="F23" s="29" t="s">
        <v>144</v>
      </c>
      <c r="G23" s="29"/>
      <c r="H23" s="29" t="s">
        <v>165</v>
      </c>
      <c r="I23" s="29"/>
      <c r="J23" s="29" t="s">
        <v>175</v>
      </c>
      <c r="K23" s="30"/>
      <c r="L23" s="30"/>
      <c r="M23" s="27"/>
      <c r="N23" s="141"/>
    </row>
    <row r="24" spans="1:14" ht="15.75">
      <c r="A24" s="131"/>
      <c r="B24" s="31" t="s">
        <v>12</v>
      </c>
      <c r="C24" s="138" t="s">
        <v>165</v>
      </c>
      <c r="D24" s="32" t="s">
        <v>144</v>
      </c>
      <c r="E24" s="32"/>
      <c r="F24" s="32" t="s">
        <v>144</v>
      </c>
      <c r="G24" s="32"/>
      <c r="H24" s="32" t="s">
        <v>165</v>
      </c>
      <c r="I24" s="32"/>
      <c r="J24" s="32" t="s">
        <v>175</v>
      </c>
      <c r="K24" s="33"/>
      <c r="L24" s="33"/>
      <c r="M24" s="27"/>
      <c r="N24" s="141"/>
    </row>
    <row r="25" spans="1:14" ht="15.75">
      <c r="A25" s="26"/>
      <c r="B25" s="27" t="s">
        <v>13</v>
      </c>
      <c r="C25" s="27"/>
      <c r="D25" s="34" t="s">
        <v>145</v>
      </c>
      <c r="E25" s="29"/>
      <c r="F25" s="34" t="s">
        <v>155</v>
      </c>
      <c r="G25" s="29"/>
      <c r="H25" s="34" t="s">
        <v>166</v>
      </c>
      <c r="I25" s="29"/>
      <c r="J25" s="34" t="s">
        <v>176</v>
      </c>
      <c r="K25" s="30"/>
      <c r="L25" s="30"/>
      <c r="M25" s="27"/>
      <c r="N25" s="141"/>
    </row>
    <row r="26" spans="1:14" ht="15.75">
      <c r="A26" s="26"/>
      <c r="B26" s="27"/>
      <c r="C26" s="27"/>
      <c r="D26" s="27"/>
      <c r="E26" s="29"/>
      <c r="F26" s="29"/>
      <c r="G26" s="29"/>
      <c r="H26" s="29"/>
      <c r="I26" s="29"/>
      <c r="J26" s="29"/>
      <c r="K26" s="30"/>
      <c r="L26" s="30"/>
      <c r="M26" s="27"/>
      <c r="N26" s="141"/>
    </row>
    <row r="27" spans="1:14" ht="15.75">
      <c r="A27" s="26"/>
      <c r="B27" s="27" t="s">
        <v>14</v>
      </c>
      <c r="C27" s="27"/>
      <c r="D27" s="35">
        <v>55000</v>
      </c>
      <c r="E27" s="36"/>
      <c r="F27" s="35">
        <v>77000</v>
      </c>
      <c r="G27" s="35"/>
      <c r="H27" s="35">
        <v>33000</v>
      </c>
      <c r="I27" s="35"/>
      <c r="J27" s="35">
        <v>10000</v>
      </c>
      <c r="K27" s="37"/>
      <c r="L27" s="35">
        <f>J27+H27+F27+D27</f>
        <v>175000</v>
      </c>
      <c r="M27" s="38"/>
      <c r="N27" s="141"/>
    </row>
    <row r="28" spans="1:14" ht="15.75">
      <c r="A28" s="26"/>
      <c r="B28" s="27" t="s">
        <v>15</v>
      </c>
      <c r="C28" s="39">
        <v>0.481831</v>
      </c>
      <c r="D28" s="35">
        <v>0</v>
      </c>
      <c r="E28" s="36"/>
      <c r="F28" s="35">
        <f>77000*C28</f>
        <v>37100.987</v>
      </c>
      <c r="G28" s="35"/>
      <c r="H28" s="35">
        <v>33000</v>
      </c>
      <c r="I28" s="35"/>
      <c r="J28" s="35">
        <v>10000</v>
      </c>
      <c r="K28" s="37"/>
      <c r="L28" s="35">
        <f>J28+H28+F28+D28</f>
        <v>80100.987</v>
      </c>
      <c r="M28" s="38"/>
      <c r="N28" s="141"/>
    </row>
    <row r="29" spans="1:14" ht="15.75">
      <c r="A29" s="26"/>
      <c r="B29" s="31" t="s">
        <v>16</v>
      </c>
      <c r="C29" s="39">
        <v>0.404179</v>
      </c>
      <c r="D29" s="40">
        <v>0</v>
      </c>
      <c r="E29" s="41"/>
      <c r="F29" s="40">
        <f>77000*C29</f>
        <v>31121.783</v>
      </c>
      <c r="G29" s="40"/>
      <c r="H29" s="40">
        <v>33000</v>
      </c>
      <c r="I29" s="40"/>
      <c r="J29" s="40">
        <v>10000</v>
      </c>
      <c r="K29" s="42"/>
      <c r="L29" s="40">
        <f>J29+H29+F29+D29</f>
        <v>74121.783</v>
      </c>
      <c r="M29" s="38"/>
      <c r="N29" s="141"/>
    </row>
    <row r="30" spans="1:14" ht="15.75">
      <c r="A30" s="26"/>
      <c r="B30" s="27" t="s">
        <v>17</v>
      </c>
      <c r="C30" s="27"/>
      <c r="D30" s="34" t="s">
        <v>146</v>
      </c>
      <c r="E30" s="27"/>
      <c r="F30" s="34" t="s">
        <v>156</v>
      </c>
      <c r="G30" s="34"/>
      <c r="H30" s="34" t="s">
        <v>167</v>
      </c>
      <c r="I30" s="34"/>
      <c r="J30" s="34" t="s">
        <v>177</v>
      </c>
      <c r="K30" s="30"/>
      <c r="L30" s="30"/>
      <c r="M30" s="27"/>
      <c r="N30" s="141"/>
    </row>
    <row r="31" spans="1:14" ht="15.75">
      <c r="A31" s="26"/>
      <c r="B31" s="27" t="s">
        <v>18</v>
      </c>
      <c r="C31" s="27"/>
      <c r="D31" s="45"/>
      <c r="E31" s="27"/>
      <c r="F31" s="45">
        <v>0.0547391</v>
      </c>
      <c r="G31" s="46"/>
      <c r="H31" s="45">
        <v>0.0569391</v>
      </c>
      <c r="I31" s="46"/>
      <c r="J31" s="45">
        <v>0.0621391</v>
      </c>
      <c r="K31" s="30"/>
      <c r="L31" s="46">
        <f>SUMPRODUCT(D31:J31,D28:J28)/L28</f>
        <v>0.05656928968293113</v>
      </c>
      <c r="M31" s="27"/>
      <c r="N31" s="141"/>
    </row>
    <row r="32" spans="1:14" ht="15.75">
      <c r="A32" s="26"/>
      <c r="B32" s="27" t="s">
        <v>19</v>
      </c>
      <c r="C32" s="27"/>
      <c r="D32" s="45"/>
      <c r="E32" s="27"/>
      <c r="F32" s="45">
        <v>0.0570641</v>
      </c>
      <c r="G32" s="46"/>
      <c r="H32" s="45">
        <v>0.0592641</v>
      </c>
      <c r="I32" s="46"/>
      <c r="J32" s="45">
        <v>0.0644641</v>
      </c>
      <c r="K32" s="30"/>
      <c r="L32" s="30"/>
      <c r="M32" s="27"/>
      <c r="N32" s="141"/>
    </row>
    <row r="33" spans="1:14" ht="15.75">
      <c r="A33" s="26"/>
      <c r="B33" s="27" t="s">
        <v>20</v>
      </c>
      <c r="C33" s="27"/>
      <c r="D33" s="34" t="s">
        <v>147</v>
      </c>
      <c r="E33" s="27"/>
      <c r="F33" s="34" t="s">
        <v>157</v>
      </c>
      <c r="G33" s="34"/>
      <c r="H33" s="34" t="s">
        <v>157</v>
      </c>
      <c r="I33" s="34"/>
      <c r="J33" s="34" t="s">
        <v>157</v>
      </c>
      <c r="K33" s="30"/>
      <c r="L33" s="30"/>
      <c r="M33" s="27"/>
      <c r="N33" s="141"/>
    </row>
    <row r="34" spans="1:14" ht="15.75">
      <c r="A34" s="26"/>
      <c r="B34" s="27" t="s">
        <v>21</v>
      </c>
      <c r="C34" s="27"/>
      <c r="D34" s="34" t="s">
        <v>148</v>
      </c>
      <c r="E34" s="27"/>
      <c r="F34" s="34" t="s">
        <v>158</v>
      </c>
      <c r="G34" s="34"/>
      <c r="H34" s="34" t="s">
        <v>158</v>
      </c>
      <c r="I34" s="34"/>
      <c r="J34" s="34" t="s">
        <v>158</v>
      </c>
      <c r="K34" s="30"/>
      <c r="L34" s="30"/>
      <c r="M34" s="27"/>
      <c r="N34" s="141"/>
    </row>
    <row r="35" spans="1:14" ht="15.75">
      <c r="A35" s="26"/>
      <c r="B35" s="27" t="s">
        <v>22</v>
      </c>
      <c r="C35" s="27"/>
      <c r="D35" s="34" t="s">
        <v>149</v>
      </c>
      <c r="E35" s="27"/>
      <c r="F35" s="34" t="s">
        <v>159</v>
      </c>
      <c r="G35" s="34"/>
      <c r="H35" s="34" t="s">
        <v>168</v>
      </c>
      <c r="I35" s="34"/>
      <c r="J35" s="34" t="s">
        <v>178</v>
      </c>
      <c r="K35" s="30"/>
      <c r="L35" s="30"/>
      <c r="M35" s="27"/>
      <c r="N35" s="141"/>
    </row>
    <row r="36" spans="1:14" ht="15.75">
      <c r="A36" s="26"/>
      <c r="B36" s="27"/>
      <c r="C36" s="27"/>
      <c r="D36" s="47"/>
      <c r="E36" s="47"/>
      <c r="F36" s="27"/>
      <c r="G36" s="47"/>
      <c r="H36" s="47"/>
      <c r="I36" s="47"/>
      <c r="J36" s="47"/>
      <c r="K36" s="47"/>
      <c r="L36" s="47"/>
      <c r="M36" s="27"/>
      <c r="N36" s="141"/>
    </row>
    <row r="37" spans="1:14" ht="15.75">
      <c r="A37" s="26"/>
      <c r="B37" s="27" t="s">
        <v>23</v>
      </c>
      <c r="C37" s="27"/>
      <c r="D37" s="27"/>
      <c r="E37" s="27"/>
      <c r="F37" s="27"/>
      <c r="G37" s="27"/>
      <c r="H37" s="27"/>
      <c r="I37" s="27"/>
      <c r="J37" s="27"/>
      <c r="K37" s="27"/>
      <c r="L37" s="46">
        <f>(H27+J27)/(D27+F27)</f>
        <v>0.32575757575757575</v>
      </c>
      <c r="M37" s="27"/>
      <c r="N37" s="141"/>
    </row>
    <row r="38" spans="1:14" ht="15.75">
      <c r="A38" s="26"/>
      <c r="B38" s="27" t="s">
        <v>24</v>
      </c>
      <c r="C38" s="133"/>
      <c r="D38" s="27"/>
      <c r="E38" s="27"/>
      <c r="F38" s="27"/>
      <c r="G38" s="27"/>
      <c r="H38" s="27"/>
      <c r="I38" s="27"/>
      <c r="J38" s="27"/>
      <c r="K38" s="27"/>
      <c r="L38" s="46">
        <f>(H29+J29)/(D29+F29)</f>
        <v>1.3816689101649478</v>
      </c>
      <c r="M38" s="27"/>
      <c r="N38" s="141"/>
    </row>
    <row r="39" spans="1:14" ht="15.75">
      <c r="A39" s="26"/>
      <c r="B39" s="27" t="s">
        <v>25</v>
      </c>
      <c r="C39" s="133"/>
      <c r="D39" s="27"/>
      <c r="E39" s="27"/>
      <c r="F39" s="27"/>
      <c r="G39" s="27"/>
      <c r="H39" s="27"/>
      <c r="I39" s="27"/>
      <c r="J39" s="34" t="s">
        <v>179</v>
      </c>
      <c r="K39" s="34" t="s">
        <v>188</v>
      </c>
      <c r="L39" s="35">
        <v>44500000</v>
      </c>
      <c r="M39" s="27"/>
      <c r="N39" s="141"/>
    </row>
    <row r="40" spans="1:14" ht="15.75">
      <c r="A40" s="26"/>
      <c r="B40" s="27"/>
      <c r="C40" s="133"/>
      <c r="D40" s="27"/>
      <c r="E40" s="27"/>
      <c r="F40" s="27"/>
      <c r="G40" s="27"/>
      <c r="H40" s="27"/>
      <c r="I40" s="27"/>
      <c r="J40" s="27"/>
      <c r="K40" s="27"/>
      <c r="L40" s="48"/>
      <c r="M40" s="27"/>
      <c r="N40" s="141"/>
    </row>
    <row r="41" spans="1:14" ht="15.75">
      <c r="A41" s="26"/>
      <c r="B41" s="27" t="s">
        <v>26</v>
      </c>
      <c r="C41" s="133"/>
      <c r="D41" s="27"/>
      <c r="E41" s="27"/>
      <c r="F41" s="27"/>
      <c r="G41" s="27"/>
      <c r="H41" s="27"/>
      <c r="I41" s="27"/>
      <c r="J41" s="34"/>
      <c r="K41" s="34"/>
      <c r="L41" s="34" t="s">
        <v>193</v>
      </c>
      <c r="M41" s="27"/>
      <c r="N41" s="141"/>
    </row>
    <row r="42" spans="1:14" ht="15.75">
      <c r="A42" s="131"/>
      <c r="B42" s="31" t="s">
        <v>27</v>
      </c>
      <c r="C42" s="31"/>
      <c r="D42" s="31"/>
      <c r="E42" s="31"/>
      <c r="F42" s="31"/>
      <c r="G42" s="31"/>
      <c r="H42" s="31"/>
      <c r="I42" s="31"/>
      <c r="J42" s="49"/>
      <c r="K42" s="49"/>
      <c r="L42" s="50">
        <v>37162</v>
      </c>
      <c r="M42" s="31"/>
      <c r="N42" s="141"/>
    </row>
    <row r="43" spans="1:14" ht="15.75">
      <c r="A43" s="26"/>
      <c r="B43" s="27" t="s">
        <v>28</v>
      </c>
      <c r="C43" s="27"/>
      <c r="D43" s="27"/>
      <c r="E43" s="27"/>
      <c r="F43" s="27"/>
      <c r="G43" s="27"/>
      <c r="H43" s="27"/>
      <c r="I43" s="27">
        <f>L43-J43+1</f>
        <v>91</v>
      </c>
      <c r="J43" s="51">
        <v>36980</v>
      </c>
      <c r="K43" s="52"/>
      <c r="L43" s="51">
        <v>37070</v>
      </c>
      <c r="M43" s="27"/>
      <c r="N43" s="141"/>
    </row>
    <row r="44" spans="1:14" ht="15.75">
      <c r="A44" s="26"/>
      <c r="B44" s="27" t="s">
        <v>29</v>
      </c>
      <c r="C44" s="27"/>
      <c r="D44" s="27"/>
      <c r="E44" s="27"/>
      <c r="F44" s="27"/>
      <c r="G44" s="27"/>
      <c r="H44" s="27"/>
      <c r="I44" s="27">
        <f>L44-J44+1</f>
        <v>91</v>
      </c>
      <c r="J44" s="51">
        <v>37071</v>
      </c>
      <c r="K44" s="52"/>
      <c r="L44" s="51">
        <v>37161</v>
      </c>
      <c r="M44" s="27"/>
      <c r="N44" s="141"/>
    </row>
    <row r="45" spans="1:14" ht="15.75">
      <c r="A45" s="26"/>
      <c r="B45" s="27" t="s">
        <v>30</v>
      </c>
      <c r="C45" s="27"/>
      <c r="D45" s="27"/>
      <c r="E45" s="27"/>
      <c r="F45" s="27"/>
      <c r="G45" s="27"/>
      <c r="H45" s="27"/>
      <c r="I45" s="27"/>
      <c r="J45" s="51"/>
      <c r="K45" s="52"/>
      <c r="L45" s="51" t="s">
        <v>194</v>
      </c>
      <c r="M45" s="27"/>
      <c r="N45" s="141"/>
    </row>
    <row r="46" spans="1:14" ht="15.75">
      <c r="A46" s="26"/>
      <c r="B46" s="27" t="s">
        <v>31</v>
      </c>
      <c r="C46" s="27"/>
      <c r="D46" s="27"/>
      <c r="E46" s="27"/>
      <c r="F46" s="27"/>
      <c r="G46" s="27"/>
      <c r="H46" s="27"/>
      <c r="I46" s="27"/>
      <c r="J46" s="51"/>
      <c r="K46" s="52"/>
      <c r="L46" s="51">
        <v>37153</v>
      </c>
      <c r="M46" s="27"/>
      <c r="N46" s="141"/>
    </row>
    <row r="47" spans="1:14" ht="15.75">
      <c r="A47" s="26"/>
      <c r="B47" s="27"/>
      <c r="C47" s="27"/>
      <c r="D47" s="27"/>
      <c r="E47" s="27"/>
      <c r="F47" s="27"/>
      <c r="G47" s="27"/>
      <c r="H47" s="27"/>
      <c r="I47" s="27"/>
      <c r="J47" s="27"/>
      <c r="K47" s="27"/>
      <c r="L47" s="53"/>
      <c r="M47" s="27"/>
      <c r="N47" s="141"/>
    </row>
    <row r="48" spans="1:14" ht="15.75">
      <c r="A48" s="8"/>
      <c r="B48" s="10"/>
      <c r="C48" s="10"/>
      <c r="D48" s="10"/>
      <c r="E48" s="10"/>
      <c r="F48" s="10"/>
      <c r="G48" s="10"/>
      <c r="H48" s="10"/>
      <c r="I48" s="10"/>
      <c r="J48" s="10"/>
      <c r="K48" s="10"/>
      <c r="L48" s="58"/>
      <c r="M48" s="10"/>
      <c r="N48" s="141"/>
    </row>
    <row r="49" spans="1:14" ht="15.75">
      <c r="A49" s="2"/>
      <c r="B49" s="55" t="s">
        <v>32</v>
      </c>
      <c r="C49" s="56"/>
      <c r="D49" s="5"/>
      <c r="E49" s="5"/>
      <c r="F49" s="5"/>
      <c r="G49" s="5"/>
      <c r="H49" s="5"/>
      <c r="I49" s="5"/>
      <c r="J49" s="5"/>
      <c r="K49" s="5"/>
      <c r="L49" s="57"/>
      <c r="M49" s="5"/>
      <c r="N49" s="141"/>
    </row>
    <row r="50" spans="1:14" ht="15.75">
      <c r="A50" s="8"/>
      <c r="B50" s="16"/>
      <c r="C50" s="16"/>
      <c r="D50" s="10"/>
      <c r="E50" s="10"/>
      <c r="F50" s="10"/>
      <c r="G50" s="10"/>
      <c r="H50" s="10"/>
      <c r="I50" s="10"/>
      <c r="J50" s="10"/>
      <c r="K50" s="10"/>
      <c r="L50" s="58"/>
      <c r="M50" s="10"/>
      <c r="N50" s="141"/>
    </row>
    <row r="51" spans="1:14" ht="63">
      <c r="A51" s="8"/>
      <c r="B51" s="59" t="s">
        <v>33</v>
      </c>
      <c r="C51" s="60" t="s">
        <v>141</v>
      </c>
      <c r="D51" s="60" t="s">
        <v>150</v>
      </c>
      <c r="E51" s="60"/>
      <c r="F51" s="60" t="s">
        <v>160</v>
      </c>
      <c r="G51" s="60"/>
      <c r="H51" s="60" t="s">
        <v>169</v>
      </c>
      <c r="I51" s="60"/>
      <c r="J51" s="60" t="s">
        <v>180</v>
      </c>
      <c r="K51" s="60"/>
      <c r="L51" s="61" t="s">
        <v>195</v>
      </c>
      <c r="M51" s="12"/>
      <c r="N51" s="141"/>
    </row>
    <row r="52" spans="1:14" ht="15.75">
      <c r="A52" s="26"/>
      <c r="B52" s="27" t="s">
        <v>34</v>
      </c>
      <c r="C52" s="38">
        <v>165784</v>
      </c>
      <c r="D52" s="62">
        <v>87089</v>
      </c>
      <c r="E52" s="38"/>
      <c r="F52" s="38">
        <f>4996+607+47</f>
        <v>5650</v>
      </c>
      <c r="G52" s="38"/>
      <c r="H52" s="38">
        <v>607</v>
      </c>
      <c r="I52" s="38"/>
      <c r="J52" s="38">
        <v>0</v>
      </c>
      <c r="K52" s="38"/>
      <c r="L52" s="62">
        <f>D52-F52+H52-J52</f>
        <v>82046</v>
      </c>
      <c r="M52" s="27"/>
      <c r="N52" s="141"/>
    </row>
    <row r="53" spans="1:14" ht="15.75">
      <c r="A53" s="26"/>
      <c r="B53" s="27" t="s">
        <v>35</v>
      </c>
      <c r="C53" s="38">
        <v>19105</v>
      </c>
      <c r="D53" s="62">
        <v>4073</v>
      </c>
      <c r="E53" s="38"/>
      <c r="F53" s="38">
        <v>306</v>
      </c>
      <c r="G53" s="38"/>
      <c r="H53" s="38">
        <v>0</v>
      </c>
      <c r="I53" s="38"/>
      <c r="J53" s="38">
        <v>0</v>
      </c>
      <c r="K53" s="38"/>
      <c r="L53" s="62">
        <f>D53-F53</f>
        <v>3767</v>
      </c>
      <c r="M53" s="27"/>
      <c r="N53" s="141"/>
    </row>
    <row r="54" spans="1:14" ht="15.75">
      <c r="A54" s="26"/>
      <c r="B54" s="27"/>
      <c r="C54" s="38"/>
      <c r="D54" s="62"/>
      <c r="E54" s="38"/>
      <c r="F54" s="38"/>
      <c r="G54" s="38"/>
      <c r="H54" s="38"/>
      <c r="I54" s="38"/>
      <c r="J54" s="38"/>
      <c r="K54" s="38"/>
      <c r="L54" s="62"/>
      <c r="M54" s="27"/>
      <c r="N54" s="141"/>
    </row>
    <row r="55" spans="1:14" ht="15.75">
      <c r="A55" s="26"/>
      <c r="B55" s="27" t="s">
        <v>36</v>
      </c>
      <c r="C55" s="38">
        <f>SUM(C52:C54)</f>
        <v>184889</v>
      </c>
      <c r="D55" s="38">
        <f>SUM(D52:D54)</f>
        <v>91162</v>
      </c>
      <c r="E55" s="38"/>
      <c r="F55" s="38">
        <f>SUM(F52:F54)</f>
        <v>5956</v>
      </c>
      <c r="G55" s="38"/>
      <c r="H55" s="38">
        <f>SUM(H52:H54)</f>
        <v>607</v>
      </c>
      <c r="I55" s="38"/>
      <c r="J55" s="38">
        <f>SUM(J52:J54)</f>
        <v>0</v>
      </c>
      <c r="K55" s="38"/>
      <c r="L55" s="63">
        <f>SUM(L52:L54)</f>
        <v>85813</v>
      </c>
      <c r="M55" s="27"/>
      <c r="N55" s="141"/>
    </row>
    <row r="56" spans="1:14" ht="15.75">
      <c r="A56" s="26"/>
      <c r="B56" s="27"/>
      <c r="C56" s="38"/>
      <c r="D56" s="63"/>
      <c r="E56" s="38"/>
      <c r="F56" s="38"/>
      <c r="G56" s="38"/>
      <c r="H56" s="38"/>
      <c r="I56" s="38"/>
      <c r="J56" s="38"/>
      <c r="K56" s="38"/>
      <c r="L56" s="63"/>
      <c r="M56" s="27"/>
      <c r="N56" s="141"/>
    </row>
    <row r="57" spans="1:14" ht="15.75">
      <c r="A57" s="8"/>
      <c r="B57" s="12" t="s">
        <v>37</v>
      </c>
      <c r="C57" s="64"/>
      <c r="D57" s="65"/>
      <c r="E57" s="64"/>
      <c r="F57" s="64"/>
      <c r="G57" s="64"/>
      <c r="H57" s="64"/>
      <c r="I57" s="64"/>
      <c r="J57" s="64"/>
      <c r="K57" s="64"/>
      <c r="L57" s="65"/>
      <c r="M57" s="10"/>
      <c r="N57" s="141"/>
    </row>
    <row r="58" spans="1:14" ht="15.75">
      <c r="A58" s="8"/>
      <c r="B58" s="10"/>
      <c r="C58" s="64"/>
      <c r="D58" s="65"/>
      <c r="E58" s="64"/>
      <c r="F58" s="64"/>
      <c r="G58" s="64"/>
      <c r="H58" s="64"/>
      <c r="I58" s="64"/>
      <c r="J58" s="64"/>
      <c r="K58" s="64"/>
      <c r="L58" s="65"/>
      <c r="M58" s="10"/>
      <c r="N58" s="141"/>
    </row>
    <row r="59" spans="1:14" ht="15.75">
      <c r="A59" s="26"/>
      <c r="B59" s="27" t="s">
        <v>34</v>
      </c>
      <c r="C59" s="38"/>
      <c r="D59" s="63"/>
      <c r="E59" s="38"/>
      <c r="F59" s="38"/>
      <c r="G59" s="38"/>
      <c r="H59" s="38"/>
      <c r="I59" s="38"/>
      <c r="J59" s="38"/>
      <c r="K59" s="38"/>
      <c r="L59" s="63"/>
      <c r="M59" s="27"/>
      <c r="N59" s="141"/>
    </row>
    <row r="60" spans="1:14" ht="15.75">
      <c r="A60" s="26"/>
      <c r="B60" s="27" t="s">
        <v>35</v>
      </c>
      <c r="C60" s="38"/>
      <c r="D60" s="63"/>
      <c r="E60" s="38"/>
      <c r="F60" s="38"/>
      <c r="G60" s="38"/>
      <c r="H60" s="38"/>
      <c r="I60" s="38"/>
      <c r="J60" s="38"/>
      <c r="K60" s="38"/>
      <c r="L60" s="63"/>
      <c r="M60" s="27"/>
      <c r="N60" s="141"/>
    </row>
    <row r="61" spans="1:14" ht="15.75">
      <c r="A61" s="26"/>
      <c r="B61" s="27"/>
      <c r="C61" s="38"/>
      <c r="D61" s="63"/>
      <c r="E61" s="38"/>
      <c r="F61" s="38"/>
      <c r="G61" s="38"/>
      <c r="H61" s="38"/>
      <c r="I61" s="38"/>
      <c r="J61" s="38"/>
      <c r="K61" s="38"/>
      <c r="L61" s="63"/>
      <c r="M61" s="27"/>
      <c r="N61" s="141"/>
    </row>
    <row r="62" spans="1:14" ht="15.75">
      <c r="A62" s="26"/>
      <c r="B62" s="27" t="s">
        <v>36</v>
      </c>
      <c r="C62" s="38"/>
      <c r="D62" s="38"/>
      <c r="E62" s="38"/>
      <c r="F62" s="38"/>
      <c r="G62" s="38"/>
      <c r="H62" s="38"/>
      <c r="I62" s="38"/>
      <c r="J62" s="38"/>
      <c r="K62" s="38"/>
      <c r="L62" s="38"/>
      <c r="M62" s="27"/>
      <c r="N62" s="141"/>
    </row>
    <row r="63" spans="1:14" ht="15.75">
      <c r="A63" s="26"/>
      <c r="B63" s="27"/>
      <c r="C63" s="38"/>
      <c r="D63" s="38"/>
      <c r="E63" s="38"/>
      <c r="F63" s="38"/>
      <c r="G63" s="38"/>
      <c r="H63" s="38"/>
      <c r="I63" s="38"/>
      <c r="J63" s="38"/>
      <c r="K63" s="38"/>
      <c r="L63" s="38"/>
      <c r="M63" s="27"/>
      <c r="N63" s="141"/>
    </row>
    <row r="64" spans="1:14" ht="15.75">
      <c r="A64" s="26"/>
      <c r="B64" s="27" t="s">
        <v>38</v>
      </c>
      <c r="C64" s="38">
        <v>-9889</v>
      </c>
      <c r="D64" s="62">
        <v>-9889</v>
      </c>
      <c r="E64" s="38"/>
      <c r="F64" s="38"/>
      <c r="G64" s="38"/>
      <c r="H64" s="38"/>
      <c r="I64" s="38"/>
      <c r="J64" s="38"/>
      <c r="K64" s="38"/>
      <c r="L64" s="62">
        <f>D64-F64+H64-J64</f>
        <v>-9889</v>
      </c>
      <c r="M64" s="27"/>
      <c r="N64" s="141"/>
    </row>
    <row r="65" spans="1:14" ht="15.75">
      <c r="A65" s="26"/>
      <c r="B65" s="27" t="s">
        <v>39</v>
      </c>
      <c r="C65" s="38">
        <v>0</v>
      </c>
      <c r="D65" s="63">
        <v>-1506</v>
      </c>
      <c r="E65" s="38"/>
      <c r="F65" s="38"/>
      <c r="G65" s="38"/>
      <c r="H65" s="38"/>
      <c r="I65" s="38"/>
      <c r="J65" s="38"/>
      <c r="K65" s="38"/>
      <c r="L65" s="63">
        <f>-L117</f>
        <v>-1849</v>
      </c>
      <c r="M65" s="27"/>
      <c r="N65" s="141"/>
    </row>
    <row r="66" spans="1:14" ht="15.75">
      <c r="A66" s="26"/>
      <c r="B66" s="27" t="s">
        <v>40</v>
      </c>
      <c r="C66" s="38">
        <v>0</v>
      </c>
      <c r="D66" s="63">
        <v>334</v>
      </c>
      <c r="E66" s="38"/>
      <c r="F66" s="38"/>
      <c r="G66" s="38"/>
      <c r="H66" s="38"/>
      <c r="I66" s="38"/>
      <c r="J66" s="38"/>
      <c r="K66" s="38"/>
      <c r="L66" s="63">
        <v>47</v>
      </c>
      <c r="M66" s="27"/>
      <c r="N66" s="141"/>
    </row>
    <row r="67" spans="1:14" ht="15.75">
      <c r="A67" s="26"/>
      <c r="B67" s="27" t="s">
        <v>41</v>
      </c>
      <c r="C67" s="63">
        <f>SUM(C55:C66)</f>
        <v>175000</v>
      </c>
      <c r="D67" s="63">
        <f>SUM(D55:D66)</f>
        <v>80101</v>
      </c>
      <c r="E67" s="38"/>
      <c r="F67" s="63"/>
      <c r="G67" s="38"/>
      <c r="H67" s="63"/>
      <c r="I67" s="38"/>
      <c r="J67" s="63"/>
      <c r="K67" s="38"/>
      <c r="L67" s="63">
        <f>SUM(L55:L66)</f>
        <v>74122</v>
      </c>
      <c r="M67" s="27"/>
      <c r="N67" s="141"/>
    </row>
    <row r="68" spans="1:14" ht="15.75">
      <c r="A68" s="26"/>
      <c r="B68" s="27"/>
      <c r="C68" s="38"/>
      <c r="D68" s="38"/>
      <c r="E68" s="38"/>
      <c r="F68" s="38"/>
      <c r="G68" s="38"/>
      <c r="H68" s="38"/>
      <c r="I68" s="38"/>
      <c r="J68" s="38"/>
      <c r="K68" s="38"/>
      <c r="L68" s="63"/>
      <c r="M68" s="27"/>
      <c r="N68" s="141"/>
    </row>
    <row r="69" spans="1:14" ht="15.75">
      <c r="A69" s="8"/>
      <c r="B69" s="10"/>
      <c r="C69" s="10"/>
      <c r="D69" s="10"/>
      <c r="E69" s="10"/>
      <c r="F69" s="10"/>
      <c r="G69" s="10"/>
      <c r="H69" s="10"/>
      <c r="I69" s="10"/>
      <c r="J69" s="10"/>
      <c r="K69" s="10"/>
      <c r="L69" s="10"/>
      <c r="M69" s="10"/>
      <c r="N69" s="141"/>
    </row>
    <row r="70" spans="1:14" ht="15.75">
      <c r="A70" s="8"/>
      <c r="B70" s="67" t="s">
        <v>42</v>
      </c>
      <c r="C70" s="17"/>
      <c r="D70" s="17"/>
      <c r="E70" s="17"/>
      <c r="F70" s="17"/>
      <c r="G70" s="17"/>
      <c r="H70" s="17"/>
      <c r="I70" s="20"/>
      <c r="J70" s="20" t="s">
        <v>181</v>
      </c>
      <c r="K70" s="20"/>
      <c r="L70" s="20" t="s">
        <v>196</v>
      </c>
      <c r="M70" s="17"/>
      <c r="N70" s="141"/>
    </row>
    <row r="71" spans="1:14" ht="15.75">
      <c r="A71" s="26"/>
      <c r="B71" s="27" t="s">
        <v>43</v>
      </c>
      <c r="C71" s="27"/>
      <c r="D71" s="27"/>
      <c r="E71" s="27"/>
      <c r="F71" s="27"/>
      <c r="G71" s="27"/>
      <c r="H71" s="27"/>
      <c r="I71" s="27"/>
      <c r="J71" s="38">
        <v>0</v>
      </c>
      <c r="K71" s="27"/>
      <c r="L71" s="62">
        <v>0</v>
      </c>
      <c r="M71" s="27"/>
      <c r="N71" s="141"/>
    </row>
    <row r="72" spans="1:14" ht="15.75">
      <c r="A72" s="26"/>
      <c r="B72" s="27" t="s">
        <v>44</v>
      </c>
      <c r="C72" s="47" t="s">
        <v>142</v>
      </c>
      <c r="D72" s="68">
        <f>L46</f>
        <v>37153</v>
      </c>
      <c r="E72" s="27"/>
      <c r="F72" s="27"/>
      <c r="G72" s="27"/>
      <c r="H72" s="27"/>
      <c r="I72" s="27"/>
      <c r="J72" s="38">
        <f>5650-47+334+343</f>
        <v>6280</v>
      </c>
      <c r="K72" s="27"/>
      <c r="L72" s="62"/>
      <c r="M72" s="27"/>
      <c r="N72" s="141"/>
    </row>
    <row r="73" spans="1:14" ht="15.75">
      <c r="A73" s="26"/>
      <c r="B73" s="27" t="s">
        <v>45</v>
      </c>
      <c r="C73" s="27"/>
      <c r="D73" s="27"/>
      <c r="E73" s="27"/>
      <c r="F73" s="27"/>
      <c r="G73" s="27"/>
      <c r="H73" s="27"/>
      <c r="I73" s="27"/>
      <c r="J73" s="38"/>
      <c r="K73" s="27"/>
      <c r="L73" s="62">
        <f>2097+682+82+191-540-7+51</f>
        <v>2556</v>
      </c>
      <c r="M73" s="27"/>
      <c r="N73" s="141"/>
    </row>
    <row r="74" spans="1:14" ht="15.75">
      <c r="A74" s="26"/>
      <c r="B74" s="27" t="s">
        <v>46</v>
      </c>
      <c r="C74" s="27"/>
      <c r="D74" s="27"/>
      <c r="E74" s="27"/>
      <c r="F74" s="27"/>
      <c r="G74" s="27"/>
      <c r="H74" s="27"/>
      <c r="I74" s="27"/>
      <c r="J74" s="38"/>
      <c r="K74" s="27"/>
      <c r="L74" s="62"/>
      <c r="M74" s="27"/>
      <c r="N74" s="141"/>
    </row>
    <row r="75" spans="1:14" ht="15.75">
      <c r="A75" s="26"/>
      <c r="B75" s="27" t="s">
        <v>47</v>
      </c>
      <c r="C75" s="27"/>
      <c r="D75" s="27"/>
      <c r="E75" s="27"/>
      <c r="F75" s="27"/>
      <c r="G75" s="27"/>
      <c r="H75" s="27"/>
      <c r="I75" s="27"/>
      <c r="J75" s="38">
        <f>SUM(J71:J74)</f>
        <v>6280</v>
      </c>
      <c r="K75" s="27"/>
      <c r="L75" s="63">
        <f>SUM(L71:L74)</f>
        <v>2556</v>
      </c>
      <c r="M75" s="27"/>
      <c r="N75" s="141"/>
    </row>
    <row r="76" spans="1:14" ht="15.75">
      <c r="A76" s="26"/>
      <c r="B76" s="27" t="s">
        <v>48</v>
      </c>
      <c r="C76" s="27"/>
      <c r="D76" s="27"/>
      <c r="E76" s="27"/>
      <c r="F76" s="27"/>
      <c r="G76" s="27"/>
      <c r="H76" s="27"/>
      <c r="I76" s="27"/>
      <c r="J76" s="38">
        <f>-L76</f>
        <v>306</v>
      </c>
      <c r="K76" s="27"/>
      <c r="L76" s="62">
        <f>-F53</f>
        <v>-306</v>
      </c>
      <c r="M76" s="27"/>
      <c r="N76" s="141"/>
    </row>
    <row r="77" spans="1:14" ht="15.75">
      <c r="A77" s="26"/>
      <c r="B77" s="27" t="s">
        <v>49</v>
      </c>
      <c r="C77" s="27"/>
      <c r="D77" s="27"/>
      <c r="E77" s="27"/>
      <c r="F77" s="27"/>
      <c r="G77" s="27"/>
      <c r="H77" s="27"/>
      <c r="I77" s="27"/>
      <c r="J77" s="38">
        <f>J75+J76</f>
        <v>6586</v>
      </c>
      <c r="K77" s="27"/>
      <c r="L77" s="63">
        <f>L75+L76</f>
        <v>2250</v>
      </c>
      <c r="M77" s="27"/>
      <c r="N77" s="141"/>
    </row>
    <row r="78" spans="1:14" ht="15.75">
      <c r="A78" s="26"/>
      <c r="B78" s="69" t="s">
        <v>50</v>
      </c>
      <c r="C78" s="70"/>
      <c r="D78" s="27"/>
      <c r="E78" s="27"/>
      <c r="F78" s="27"/>
      <c r="G78" s="27"/>
      <c r="H78" s="27"/>
      <c r="I78" s="27"/>
      <c r="J78" s="38"/>
      <c r="K78" s="27"/>
      <c r="L78" s="62"/>
      <c r="M78" s="27"/>
      <c r="N78" s="141"/>
    </row>
    <row r="79" spans="1:14" ht="15.75">
      <c r="A79" s="26">
        <v>1</v>
      </c>
      <c r="B79" s="27" t="s">
        <v>51</v>
      </c>
      <c r="C79" s="27"/>
      <c r="D79" s="27"/>
      <c r="E79" s="27"/>
      <c r="F79" s="27"/>
      <c r="G79" s="27"/>
      <c r="H79" s="27"/>
      <c r="I79" s="27"/>
      <c r="J79" s="27"/>
      <c r="K79" s="27"/>
      <c r="L79" s="62">
        <v>0</v>
      </c>
      <c r="M79" s="27"/>
      <c r="N79" s="141"/>
    </row>
    <row r="80" spans="1:14" ht="15.75">
      <c r="A80" s="26">
        <v>2</v>
      </c>
      <c r="B80" s="27" t="s">
        <v>52</v>
      </c>
      <c r="C80" s="27"/>
      <c r="D80" s="27"/>
      <c r="E80" s="27"/>
      <c r="F80" s="27"/>
      <c r="G80" s="27"/>
      <c r="H80" s="27"/>
      <c r="I80" s="27"/>
      <c r="J80" s="27"/>
      <c r="K80" s="27"/>
      <c r="L80" s="62">
        <v>-4</v>
      </c>
      <c r="M80" s="27"/>
      <c r="N80" s="141"/>
    </row>
    <row r="81" spans="1:14" ht="15.75">
      <c r="A81" s="26">
        <v>3</v>
      </c>
      <c r="B81" s="27" t="s">
        <v>53</v>
      </c>
      <c r="C81" s="27"/>
      <c r="D81" s="27"/>
      <c r="E81" s="27"/>
      <c r="F81" s="27"/>
      <c r="G81" s="27"/>
      <c r="H81" s="27"/>
      <c r="I81" s="27"/>
      <c r="J81" s="27"/>
      <c r="K81" s="27"/>
      <c r="L81" s="62">
        <v>-134</v>
      </c>
      <c r="M81" s="27"/>
      <c r="N81" s="141"/>
    </row>
    <row r="82" spans="1:14" ht="15.75">
      <c r="A82" s="26">
        <v>4</v>
      </c>
      <c r="B82" s="27" t="s">
        <v>54</v>
      </c>
      <c r="C82" s="27"/>
      <c r="D82" s="27"/>
      <c r="E82" s="27"/>
      <c r="F82" s="27"/>
      <c r="G82" s="27"/>
      <c r="H82" s="27"/>
      <c r="I82" s="27"/>
      <c r="J82" s="27"/>
      <c r="K82" s="27"/>
      <c r="L82" s="62">
        <v>-36</v>
      </c>
      <c r="M82" s="27"/>
      <c r="N82" s="141"/>
    </row>
    <row r="83" spans="1:14" ht="15.75">
      <c r="A83" s="26">
        <v>5</v>
      </c>
      <c r="B83" s="27" t="s">
        <v>55</v>
      </c>
      <c r="C83" s="27"/>
      <c r="D83" s="27"/>
      <c r="E83" s="27"/>
      <c r="F83" s="27"/>
      <c r="G83" s="27"/>
      <c r="H83" s="27"/>
      <c r="I83" s="27"/>
      <c r="J83" s="27"/>
      <c r="K83" s="27"/>
      <c r="L83" s="62">
        <v>-506</v>
      </c>
      <c r="M83" s="27"/>
      <c r="N83" s="141"/>
    </row>
    <row r="84" spans="1:14" ht="15.75">
      <c r="A84" s="26">
        <v>6</v>
      </c>
      <c r="B84" s="27" t="s">
        <v>56</v>
      </c>
      <c r="C84" s="27"/>
      <c r="D84" s="27"/>
      <c r="E84" s="27"/>
      <c r="F84" s="27"/>
      <c r="G84" s="27"/>
      <c r="H84" s="27"/>
      <c r="I84" s="27"/>
      <c r="J84" s="27"/>
      <c r="K84" s="27"/>
      <c r="L84" s="62">
        <v>-3</v>
      </c>
      <c r="M84" s="27"/>
      <c r="N84" s="141"/>
    </row>
    <row r="85" spans="1:14" ht="15.75">
      <c r="A85" s="26">
        <v>7</v>
      </c>
      <c r="B85" s="27" t="s">
        <v>57</v>
      </c>
      <c r="C85" s="27"/>
      <c r="D85" s="27"/>
      <c r="E85" s="27"/>
      <c r="F85" s="27"/>
      <c r="G85" s="27"/>
      <c r="H85" s="27"/>
      <c r="I85" s="27"/>
      <c r="J85" s="27"/>
      <c r="K85" s="27"/>
      <c r="L85" s="62">
        <v>-468</v>
      </c>
      <c r="M85" s="27"/>
      <c r="N85" s="141"/>
    </row>
    <row r="86" spans="1:14" ht="15.75">
      <c r="A86" s="26">
        <v>8</v>
      </c>
      <c r="B86" s="27" t="s">
        <v>58</v>
      </c>
      <c r="C86" s="27"/>
      <c r="D86" s="27"/>
      <c r="E86" s="27"/>
      <c r="F86" s="27"/>
      <c r="G86" s="27"/>
      <c r="H86" s="27"/>
      <c r="I86" s="27"/>
      <c r="J86" s="27"/>
      <c r="K86" s="27"/>
      <c r="L86" s="62">
        <v>-155</v>
      </c>
      <c r="M86" s="27"/>
      <c r="N86" s="141"/>
    </row>
    <row r="87" spans="1:14" ht="15.75">
      <c r="A87" s="26">
        <v>9</v>
      </c>
      <c r="B87" s="27" t="s">
        <v>59</v>
      </c>
      <c r="C87" s="27"/>
      <c r="D87" s="27"/>
      <c r="E87" s="27"/>
      <c r="F87" s="27"/>
      <c r="G87" s="27"/>
      <c r="H87" s="27"/>
      <c r="I87" s="27"/>
      <c r="J87" s="27"/>
      <c r="K87" s="27"/>
      <c r="L87" s="62">
        <v>0</v>
      </c>
      <c r="M87" s="27"/>
      <c r="N87" s="141"/>
    </row>
    <row r="88" spans="1:14" ht="15.75">
      <c r="A88" s="26">
        <v>10</v>
      </c>
      <c r="B88" s="27" t="s">
        <v>60</v>
      </c>
      <c r="C88" s="27"/>
      <c r="D88" s="27"/>
      <c r="E88" s="27"/>
      <c r="F88" s="27"/>
      <c r="G88" s="27"/>
      <c r="H88" s="27"/>
      <c r="I88" s="27"/>
      <c r="J88" s="27"/>
      <c r="K88" s="27"/>
      <c r="L88" s="62">
        <v>0</v>
      </c>
      <c r="M88" s="27"/>
      <c r="N88" s="141"/>
    </row>
    <row r="89" spans="1:14" ht="15.75">
      <c r="A89" s="26">
        <v>11</v>
      </c>
      <c r="B89" s="27" t="s">
        <v>61</v>
      </c>
      <c r="C89" s="27"/>
      <c r="D89" s="27"/>
      <c r="E89" s="27"/>
      <c r="F89" s="27"/>
      <c r="G89" s="27"/>
      <c r="H89" s="27"/>
      <c r="I89" s="27"/>
      <c r="J89" s="27"/>
      <c r="K89" s="27"/>
      <c r="L89" s="62">
        <v>-47</v>
      </c>
      <c r="M89" s="27"/>
      <c r="N89" s="141"/>
    </row>
    <row r="90" spans="1:14" ht="15.75">
      <c r="A90" s="26">
        <v>12</v>
      </c>
      <c r="B90" s="27" t="s">
        <v>62</v>
      </c>
      <c r="C90" s="27"/>
      <c r="D90" s="27"/>
      <c r="E90" s="27"/>
      <c r="F90" s="27"/>
      <c r="G90" s="27"/>
      <c r="H90" s="27"/>
      <c r="I90" s="27"/>
      <c r="J90" s="27"/>
      <c r="K90" s="27"/>
      <c r="L90" s="62">
        <v>0</v>
      </c>
      <c r="M90" s="27"/>
      <c r="N90" s="141"/>
    </row>
    <row r="91" spans="1:14" ht="15.75">
      <c r="A91" s="26">
        <v>13</v>
      </c>
      <c r="B91" s="27" t="s">
        <v>63</v>
      </c>
      <c r="C91" s="27"/>
      <c r="D91" s="27"/>
      <c r="E91" s="27"/>
      <c r="F91" s="27"/>
      <c r="G91" s="27"/>
      <c r="H91" s="27"/>
      <c r="I91" s="27"/>
      <c r="J91" s="27"/>
      <c r="K91" s="27"/>
      <c r="L91" s="62">
        <f>-L77-SUM(L79:L90)</f>
        <v>-897</v>
      </c>
      <c r="M91" s="27"/>
      <c r="N91" s="141"/>
    </row>
    <row r="92" spans="1:14" ht="15.75">
      <c r="A92" s="26"/>
      <c r="B92" s="69" t="s">
        <v>64</v>
      </c>
      <c r="C92" s="70"/>
      <c r="D92" s="27"/>
      <c r="E92" s="27"/>
      <c r="F92" s="27"/>
      <c r="G92" s="27"/>
      <c r="H92" s="27"/>
      <c r="I92" s="27"/>
      <c r="J92" s="27"/>
      <c r="K92" s="27"/>
      <c r="L92" s="71"/>
      <c r="M92" s="27"/>
      <c r="N92" s="141"/>
    </row>
    <row r="93" spans="1:14" ht="15.75">
      <c r="A93" s="26"/>
      <c r="B93" s="27" t="s">
        <v>65</v>
      </c>
      <c r="C93" s="70"/>
      <c r="D93" s="27"/>
      <c r="E93" s="27"/>
      <c r="F93" s="27"/>
      <c r="G93" s="27"/>
      <c r="H93" s="27"/>
      <c r="I93" s="38"/>
      <c r="J93" s="38">
        <v>0</v>
      </c>
      <c r="K93" s="38"/>
      <c r="L93" s="62"/>
      <c r="M93" s="27"/>
      <c r="N93" s="141"/>
    </row>
    <row r="94" spans="1:14" ht="15.75">
      <c r="A94" s="26"/>
      <c r="B94" s="27" t="s">
        <v>66</v>
      </c>
      <c r="C94" s="27"/>
      <c r="D94" s="27"/>
      <c r="E94" s="27"/>
      <c r="F94" s="27"/>
      <c r="G94" s="27"/>
      <c r="H94" s="27"/>
      <c r="I94" s="38"/>
      <c r="J94" s="38">
        <v>-607</v>
      </c>
      <c r="K94" s="38"/>
      <c r="L94" s="62"/>
      <c r="M94" s="27"/>
      <c r="N94" s="141"/>
    </row>
    <row r="95" spans="1:14" ht="15.75">
      <c r="A95" s="26"/>
      <c r="B95" s="27" t="s">
        <v>67</v>
      </c>
      <c r="C95" s="27"/>
      <c r="D95" s="27"/>
      <c r="E95" s="27"/>
      <c r="F95" s="27"/>
      <c r="G95" s="27"/>
      <c r="H95" s="27"/>
      <c r="I95" s="27"/>
      <c r="J95" s="38">
        <v>0</v>
      </c>
      <c r="K95" s="38"/>
      <c r="L95" s="62"/>
      <c r="M95" s="27"/>
      <c r="N95" s="141"/>
    </row>
    <row r="96" spans="1:14" ht="15.75">
      <c r="A96" s="26"/>
      <c r="B96" s="27" t="s">
        <v>68</v>
      </c>
      <c r="C96" s="27"/>
      <c r="D96" s="27"/>
      <c r="E96" s="27"/>
      <c r="F96" s="27"/>
      <c r="G96" s="27"/>
      <c r="H96" s="27"/>
      <c r="I96" s="27"/>
      <c r="J96" s="38">
        <v>-5979</v>
      </c>
      <c r="K96" s="38"/>
      <c r="L96" s="62"/>
      <c r="M96" s="27"/>
      <c r="N96" s="141"/>
    </row>
    <row r="97" spans="1:14" ht="15.75">
      <c r="A97" s="26"/>
      <c r="B97" s="27" t="s">
        <v>69</v>
      </c>
      <c r="C97" s="27"/>
      <c r="D97" s="27"/>
      <c r="E97" s="27"/>
      <c r="F97" s="27"/>
      <c r="G97" s="27"/>
      <c r="H97" s="27"/>
      <c r="I97" s="27"/>
      <c r="J97" s="38">
        <v>0</v>
      </c>
      <c r="K97" s="38"/>
      <c r="L97" s="62"/>
      <c r="M97" s="27"/>
      <c r="N97" s="141"/>
    </row>
    <row r="98" spans="1:14" ht="15.75">
      <c r="A98" s="26"/>
      <c r="B98" s="27" t="s">
        <v>70</v>
      </c>
      <c r="C98" s="27"/>
      <c r="D98" s="27"/>
      <c r="E98" s="27"/>
      <c r="F98" s="27"/>
      <c r="G98" s="27"/>
      <c r="H98" s="27"/>
      <c r="I98" s="27"/>
      <c r="J98" s="38">
        <f>SUM(J78:J97)</f>
        <v>-6586</v>
      </c>
      <c r="K98" s="38"/>
      <c r="L98" s="38">
        <f>SUM(L78:L97)</f>
        <v>-2250</v>
      </c>
      <c r="M98" s="27"/>
      <c r="N98" s="141"/>
    </row>
    <row r="99" spans="1:14" ht="15.75">
      <c r="A99" s="26"/>
      <c r="B99" s="27" t="s">
        <v>71</v>
      </c>
      <c r="C99" s="27"/>
      <c r="D99" s="27"/>
      <c r="E99" s="27"/>
      <c r="F99" s="27"/>
      <c r="G99" s="27"/>
      <c r="H99" s="27"/>
      <c r="I99" s="27"/>
      <c r="J99" s="38">
        <f>J77+J98</f>
        <v>0</v>
      </c>
      <c r="K99" s="38"/>
      <c r="L99" s="38">
        <f>L77+L98</f>
        <v>0</v>
      </c>
      <c r="M99" s="27"/>
      <c r="N99" s="141"/>
    </row>
    <row r="100" spans="1:14" ht="15.75">
      <c r="A100" s="26"/>
      <c r="B100" s="27"/>
      <c r="C100" s="27"/>
      <c r="D100" s="27"/>
      <c r="E100" s="27"/>
      <c r="F100" s="27"/>
      <c r="G100" s="27"/>
      <c r="H100" s="27"/>
      <c r="I100" s="27"/>
      <c r="J100" s="38"/>
      <c r="K100" s="38"/>
      <c r="L100" s="38"/>
      <c r="M100" s="27"/>
      <c r="N100" s="141"/>
    </row>
    <row r="101" spans="1:14" ht="15.75">
      <c r="A101" s="8"/>
      <c r="B101" s="10"/>
      <c r="C101" s="10"/>
      <c r="D101" s="10"/>
      <c r="E101" s="10"/>
      <c r="F101" s="10"/>
      <c r="G101" s="10"/>
      <c r="H101" s="10"/>
      <c r="I101" s="10"/>
      <c r="J101" s="10"/>
      <c r="K101" s="10"/>
      <c r="L101" s="58"/>
      <c r="M101" s="10"/>
      <c r="N101" s="141"/>
    </row>
    <row r="102" spans="1:14" ht="15.75">
      <c r="A102" s="8"/>
      <c r="B102" s="10"/>
      <c r="C102" s="10"/>
      <c r="D102" s="10"/>
      <c r="E102" s="10"/>
      <c r="F102" s="10"/>
      <c r="G102" s="10"/>
      <c r="H102" s="10"/>
      <c r="I102" s="10"/>
      <c r="J102" s="10"/>
      <c r="K102" s="10"/>
      <c r="L102" s="58"/>
      <c r="M102" s="10"/>
      <c r="N102" s="141"/>
    </row>
    <row r="103" spans="1:14" ht="15.75">
      <c r="A103" s="2"/>
      <c r="B103" s="55" t="s">
        <v>72</v>
      </c>
      <c r="C103" s="56"/>
      <c r="D103" s="5"/>
      <c r="E103" s="5"/>
      <c r="F103" s="5"/>
      <c r="G103" s="5"/>
      <c r="H103" s="5"/>
      <c r="I103" s="5"/>
      <c r="J103" s="5"/>
      <c r="K103" s="5"/>
      <c r="L103" s="57"/>
      <c r="M103" s="5"/>
      <c r="N103" s="141"/>
    </row>
    <row r="104" spans="1:14" ht="15.75">
      <c r="A104" s="8"/>
      <c r="B104" s="22"/>
      <c r="C104" s="16"/>
      <c r="D104" s="10"/>
      <c r="E104" s="10"/>
      <c r="F104" s="10"/>
      <c r="G104" s="10"/>
      <c r="H104" s="10"/>
      <c r="I104" s="10"/>
      <c r="J104" s="10"/>
      <c r="K104" s="10"/>
      <c r="L104" s="58"/>
      <c r="M104" s="10"/>
      <c r="N104" s="141"/>
    </row>
    <row r="105" spans="1:14" ht="15.75">
      <c r="A105" s="8"/>
      <c r="B105" s="72" t="s">
        <v>73</v>
      </c>
      <c r="C105" s="16"/>
      <c r="D105" s="10"/>
      <c r="E105" s="10"/>
      <c r="F105" s="10"/>
      <c r="G105" s="10"/>
      <c r="H105" s="10"/>
      <c r="I105" s="10"/>
      <c r="J105" s="10"/>
      <c r="K105" s="10"/>
      <c r="L105" s="58"/>
      <c r="M105" s="10"/>
      <c r="N105" s="141"/>
    </row>
    <row r="106" spans="1:14" ht="15.75">
      <c r="A106" s="26"/>
      <c r="B106" s="27" t="s">
        <v>74</v>
      </c>
      <c r="C106" s="27"/>
      <c r="D106" s="27"/>
      <c r="E106" s="27"/>
      <c r="F106" s="27"/>
      <c r="G106" s="27"/>
      <c r="H106" s="27"/>
      <c r="I106" s="27"/>
      <c r="J106" s="27"/>
      <c r="K106" s="27"/>
      <c r="L106" s="62">
        <v>3698</v>
      </c>
      <c r="M106" s="27"/>
      <c r="N106" s="141"/>
    </row>
    <row r="107" spans="1:14" ht="15.75">
      <c r="A107" s="26"/>
      <c r="B107" s="27" t="s">
        <v>75</v>
      </c>
      <c r="C107" s="27"/>
      <c r="D107" s="27"/>
      <c r="E107" s="27"/>
      <c r="F107" s="27"/>
      <c r="G107" s="27"/>
      <c r="H107" s="27"/>
      <c r="I107" s="27"/>
      <c r="J107" s="27"/>
      <c r="K107" s="27"/>
      <c r="L107" s="62">
        <v>3698</v>
      </c>
      <c r="M107" s="27"/>
      <c r="N107" s="141"/>
    </row>
    <row r="108" spans="1:14" ht="15.75">
      <c r="A108" s="26"/>
      <c r="B108" s="27" t="s">
        <v>76</v>
      </c>
      <c r="C108" s="27"/>
      <c r="D108" s="27"/>
      <c r="E108" s="27"/>
      <c r="F108" s="27"/>
      <c r="G108" s="27"/>
      <c r="H108" s="27"/>
      <c r="I108" s="27"/>
      <c r="J108" s="27"/>
      <c r="K108" s="27"/>
      <c r="L108" s="62">
        <v>0</v>
      </c>
      <c r="M108" s="27"/>
      <c r="N108" s="141"/>
    </row>
    <row r="109" spans="1:14" ht="15.75">
      <c r="A109" s="26"/>
      <c r="B109" s="27" t="s">
        <v>77</v>
      </c>
      <c r="C109" s="27"/>
      <c r="D109" s="27"/>
      <c r="E109" s="27"/>
      <c r="F109" s="27"/>
      <c r="G109" s="27"/>
      <c r="H109" s="27"/>
      <c r="I109" s="27"/>
      <c r="J109" s="27"/>
      <c r="K109" s="27"/>
      <c r="L109" s="62">
        <v>0</v>
      </c>
      <c r="M109" s="27"/>
      <c r="N109" s="141"/>
    </row>
    <row r="110" spans="1:14" ht="15.75">
      <c r="A110" s="26"/>
      <c r="B110" s="27" t="s">
        <v>78</v>
      </c>
      <c r="C110" s="27"/>
      <c r="D110" s="27"/>
      <c r="E110" s="27"/>
      <c r="F110" s="27"/>
      <c r="G110" s="27"/>
      <c r="H110" s="27"/>
      <c r="I110" s="27"/>
      <c r="J110" s="27"/>
      <c r="K110" s="27"/>
      <c r="L110" s="62">
        <v>0</v>
      </c>
      <c r="M110" s="27"/>
      <c r="N110" s="141"/>
    </row>
    <row r="111" spans="1:14" ht="15.75">
      <c r="A111" s="26"/>
      <c r="B111" s="27" t="s">
        <v>55</v>
      </c>
      <c r="C111" s="27"/>
      <c r="D111" s="27"/>
      <c r="E111" s="27"/>
      <c r="F111" s="27"/>
      <c r="G111" s="27"/>
      <c r="H111" s="27"/>
      <c r="I111" s="27"/>
      <c r="J111" s="27"/>
      <c r="K111" s="27"/>
      <c r="L111" s="62">
        <v>0</v>
      </c>
      <c r="M111" s="27"/>
      <c r="N111" s="141"/>
    </row>
    <row r="112" spans="1:14" ht="15.75">
      <c r="A112" s="26"/>
      <c r="B112" s="27" t="s">
        <v>57</v>
      </c>
      <c r="C112" s="27"/>
      <c r="D112" s="27"/>
      <c r="E112" s="27"/>
      <c r="F112" s="27"/>
      <c r="G112" s="27"/>
      <c r="H112" s="27"/>
      <c r="I112" s="27"/>
      <c r="J112" s="27"/>
      <c r="K112" s="27"/>
      <c r="L112" s="62">
        <v>0</v>
      </c>
      <c r="M112" s="27"/>
      <c r="N112" s="141"/>
    </row>
    <row r="113" spans="1:14" ht="15.75">
      <c r="A113" s="26"/>
      <c r="B113" s="27" t="s">
        <v>79</v>
      </c>
      <c r="C113" s="27"/>
      <c r="D113" s="27"/>
      <c r="E113" s="27"/>
      <c r="F113" s="27"/>
      <c r="G113" s="27"/>
      <c r="H113" s="27"/>
      <c r="I113" s="27"/>
      <c r="J113" s="27"/>
      <c r="K113" s="27"/>
      <c r="L113" s="62">
        <f>SUM(L107:L111)</f>
        <v>3698</v>
      </c>
      <c r="M113" s="27"/>
      <c r="N113" s="141"/>
    </row>
    <row r="114" spans="1:14" ht="15.75">
      <c r="A114" s="26"/>
      <c r="B114" s="27"/>
      <c r="C114" s="27"/>
      <c r="D114" s="27"/>
      <c r="E114" s="27"/>
      <c r="F114" s="27"/>
      <c r="G114" s="27"/>
      <c r="H114" s="27"/>
      <c r="I114" s="27"/>
      <c r="J114" s="27"/>
      <c r="K114" s="27"/>
      <c r="L114" s="54"/>
      <c r="M114" s="27"/>
      <c r="N114" s="141"/>
    </row>
    <row r="115" spans="1:14" ht="15.75">
      <c r="A115" s="8"/>
      <c r="B115" s="72" t="s">
        <v>39</v>
      </c>
      <c r="C115" s="10"/>
      <c r="D115" s="10"/>
      <c r="E115" s="10"/>
      <c r="F115" s="10"/>
      <c r="G115" s="10"/>
      <c r="H115" s="10"/>
      <c r="I115" s="10"/>
      <c r="J115" s="10"/>
      <c r="K115" s="10"/>
      <c r="L115" s="58"/>
      <c r="M115" s="10"/>
      <c r="N115" s="141"/>
    </row>
    <row r="116" spans="1:14" ht="15.75">
      <c r="A116" s="26"/>
      <c r="B116" s="27" t="s">
        <v>80</v>
      </c>
      <c r="C116" s="27"/>
      <c r="D116" s="73"/>
      <c r="E116" s="27"/>
      <c r="F116" s="27"/>
      <c r="G116" s="27"/>
      <c r="H116" s="27"/>
      <c r="I116" s="27"/>
      <c r="J116" s="27"/>
      <c r="K116" s="27"/>
      <c r="L116" s="62">
        <f>1848891.08/1000</f>
        <v>1848.89108</v>
      </c>
      <c r="M116" s="27"/>
      <c r="N116" s="141"/>
    </row>
    <row r="117" spans="1:14" ht="15.75">
      <c r="A117" s="26"/>
      <c r="B117" s="27" t="s">
        <v>81</v>
      </c>
      <c r="C117" s="30"/>
      <c r="D117" s="30"/>
      <c r="E117" s="30"/>
      <c r="F117" s="30"/>
      <c r="G117" s="30"/>
      <c r="H117" s="30"/>
      <c r="I117" s="30"/>
      <c r="J117" s="30"/>
      <c r="K117" s="30"/>
      <c r="L117" s="63">
        <f>'June 01'!L117+'June 01'!L118</f>
        <v>1849</v>
      </c>
      <c r="M117" s="27"/>
      <c r="N117" s="141"/>
    </row>
    <row r="118" spans="1:14" ht="15.75">
      <c r="A118" s="26"/>
      <c r="B118" s="27" t="s">
        <v>82</v>
      </c>
      <c r="C118" s="27"/>
      <c r="D118" s="27"/>
      <c r="E118" s="27"/>
      <c r="F118" s="27"/>
      <c r="G118" s="27"/>
      <c r="H118" s="27"/>
      <c r="I118" s="27"/>
      <c r="J118" s="27"/>
      <c r="K118" s="27"/>
      <c r="L118" s="62">
        <f>-L90</f>
        <v>0</v>
      </c>
      <c r="M118" s="27"/>
      <c r="N118" s="141"/>
    </row>
    <row r="119" spans="1:14" ht="15.75">
      <c r="A119" s="26"/>
      <c r="B119" s="27" t="s">
        <v>83</v>
      </c>
      <c r="C119" s="27"/>
      <c r="D119" s="27"/>
      <c r="E119" s="27"/>
      <c r="F119" s="27"/>
      <c r="G119" s="27"/>
      <c r="H119" s="27"/>
      <c r="I119" s="27"/>
      <c r="J119" s="27"/>
      <c r="K119" s="27"/>
      <c r="L119" s="62">
        <f>L116-L117-L118</f>
        <v>-0.10891999999989821</v>
      </c>
      <c r="M119" s="27"/>
      <c r="N119" s="141"/>
    </row>
    <row r="120" spans="1:14" ht="15.75">
      <c r="A120" s="26"/>
      <c r="B120" s="27"/>
      <c r="C120" s="27"/>
      <c r="D120" s="27"/>
      <c r="E120" s="27"/>
      <c r="F120" s="27"/>
      <c r="G120" s="27"/>
      <c r="H120" s="27"/>
      <c r="I120" s="27"/>
      <c r="J120" s="27"/>
      <c r="K120" s="27"/>
      <c r="L120" s="54"/>
      <c r="M120" s="27"/>
      <c r="N120" s="141"/>
    </row>
    <row r="121" spans="1:14" ht="15.75">
      <c r="A121" s="8"/>
      <c r="B121" s="72" t="s">
        <v>84</v>
      </c>
      <c r="C121" s="16"/>
      <c r="D121" s="10"/>
      <c r="E121" s="10"/>
      <c r="F121" s="10"/>
      <c r="G121" s="10"/>
      <c r="H121" s="10"/>
      <c r="I121" s="10"/>
      <c r="J121" s="10"/>
      <c r="K121" s="10"/>
      <c r="L121" s="74"/>
      <c r="M121" s="10"/>
      <c r="N121" s="141"/>
    </row>
    <row r="122" spans="1:14" ht="15.75">
      <c r="A122" s="26"/>
      <c r="B122" s="27" t="s">
        <v>85</v>
      </c>
      <c r="C122" s="27"/>
      <c r="D122" s="27"/>
      <c r="E122" s="27"/>
      <c r="F122" s="27"/>
      <c r="G122" s="27"/>
      <c r="H122" s="27"/>
      <c r="I122" s="27"/>
      <c r="J122" s="27"/>
      <c r="K122" s="27"/>
      <c r="L122" s="62">
        <f>'June 01'!L126</f>
        <v>0</v>
      </c>
      <c r="M122" s="27"/>
      <c r="N122" s="141"/>
    </row>
    <row r="123" spans="1:14" ht="15.75">
      <c r="A123" s="26"/>
      <c r="B123" s="27" t="s">
        <v>86</v>
      </c>
      <c r="C123" s="27"/>
      <c r="D123" s="27"/>
      <c r="E123" s="27"/>
      <c r="F123" s="27"/>
      <c r="G123" s="27"/>
      <c r="H123" s="27"/>
      <c r="I123" s="27"/>
      <c r="J123" s="27"/>
      <c r="K123" s="27"/>
      <c r="L123" s="62">
        <v>47</v>
      </c>
      <c r="M123" s="27"/>
      <c r="N123" s="141"/>
    </row>
    <row r="124" spans="1:14" ht="15.75">
      <c r="A124" s="26"/>
      <c r="B124" s="27" t="s">
        <v>87</v>
      </c>
      <c r="C124" s="27"/>
      <c r="D124" s="27"/>
      <c r="E124" s="27"/>
      <c r="F124" s="27"/>
      <c r="G124" s="27"/>
      <c r="H124" s="27"/>
      <c r="I124" s="27"/>
      <c r="J124" s="27"/>
      <c r="K124" s="27"/>
      <c r="L124" s="62">
        <f>L123+L122</f>
        <v>47</v>
      </c>
      <c r="M124" s="27"/>
      <c r="N124" s="141"/>
    </row>
    <row r="125" spans="1:14" ht="15.75">
      <c r="A125" s="26"/>
      <c r="B125" s="27" t="s">
        <v>88</v>
      </c>
      <c r="C125" s="27"/>
      <c r="D125" s="27"/>
      <c r="E125" s="27"/>
      <c r="F125" s="27"/>
      <c r="G125" s="27"/>
      <c r="H125" s="75"/>
      <c r="I125" s="27"/>
      <c r="J125" s="27"/>
      <c r="K125" s="27"/>
      <c r="L125" s="62">
        <v>-47</v>
      </c>
      <c r="M125" s="27"/>
      <c r="N125" s="141"/>
    </row>
    <row r="126" spans="1:14" ht="15.75">
      <c r="A126" s="26"/>
      <c r="B126" s="27" t="s">
        <v>89</v>
      </c>
      <c r="C126" s="27"/>
      <c r="D126" s="27"/>
      <c r="E126" s="27"/>
      <c r="F126" s="27"/>
      <c r="G126" s="27"/>
      <c r="H126" s="27"/>
      <c r="I126" s="27"/>
      <c r="J126" s="27"/>
      <c r="K126" s="27"/>
      <c r="L126" s="62">
        <f>L124+L125</f>
        <v>0</v>
      </c>
      <c r="M126" s="27"/>
      <c r="N126" s="141"/>
    </row>
    <row r="127" spans="1:14" ht="15.75">
      <c r="A127" s="26"/>
      <c r="B127" s="27"/>
      <c r="C127" s="27"/>
      <c r="D127" s="27"/>
      <c r="E127" s="27"/>
      <c r="F127" s="27"/>
      <c r="G127" s="27"/>
      <c r="H127" s="27"/>
      <c r="I127" s="27"/>
      <c r="J127" s="27"/>
      <c r="K127" s="27"/>
      <c r="L127" s="54"/>
      <c r="M127" s="27"/>
      <c r="N127" s="141"/>
    </row>
    <row r="128" spans="1:14" ht="15.75">
      <c r="A128" s="2"/>
      <c r="B128" s="5"/>
      <c r="C128" s="5"/>
      <c r="D128" s="5"/>
      <c r="E128" s="5"/>
      <c r="F128" s="5"/>
      <c r="G128" s="5"/>
      <c r="H128" s="5"/>
      <c r="I128" s="5"/>
      <c r="J128" s="5"/>
      <c r="K128" s="5"/>
      <c r="L128" s="57"/>
      <c r="M128" s="5"/>
      <c r="N128" s="141"/>
    </row>
    <row r="129" spans="1:14" ht="15.75">
      <c r="A129" s="8"/>
      <c r="B129" s="72" t="s">
        <v>90</v>
      </c>
      <c r="C129" s="16"/>
      <c r="D129" s="10"/>
      <c r="E129" s="10"/>
      <c r="F129" s="10"/>
      <c r="G129" s="10"/>
      <c r="H129" s="10"/>
      <c r="I129" s="10"/>
      <c r="J129" s="10"/>
      <c r="K129" s="10"/>
      <c r="L129" s="58"/>
      <c r="M129" s="10"/>
      <c r="N129" s="141"/>
    </row>
    <row r="130" spans="1:14" ht="15.75">
      <c r="A130" s="8"/>
      <c r="B130" s="22"/>
      <c r="C130" s="16"/>
      <c r="D130" s="10"/>
      <c r="E130" s="10"/>
      <c r="F130" s="10"/>
      <c r="G130" s="10"/>
      <c r="H130" s="10"/>
      <c r="I130" s="10"/>
      <c r="J130" s="10"/>
      <c r="K130" s="10"/>
      <c r="L130" s="58"/>
      <c r="M130" s="10"/>
      <c r="N130" s="141"/>
    </row>
    <row r="131" spans="1:14" ht="15.75">
      <c r="A131" s="26"/>
      <c r="B131" s="27" t="s">
        <v>91</v>
      </c>
      <c r="C131" s="76"/>
      <c r="D131" s="27"/>
      <c r="E131" s="27"/>
      <c r="F131" s="27"/>
      <c r="G131" s="27"/>
      <c r="H131" s="27"/>
      <c r="I131" s="27"/>
      <c r="J131" s="27"/>
      <c r="K131" s="27"/>
      <c r="L131" s="62">
        <f>L55</f>
        <v>85813</v>
      </c>
      <c r="M131" s="27"/>
      <c r="N131" s="141"/>
    </row>
    <row r="132" spans="1:14" ht="15.75">
      <c r="A132" s="26"/>
      <c r="B132" s="27" t="s">
        <v>92</v>
      </c>
      <c r="C132" s="76"/>
      <c r="D132" s="27"/>
      <c r="E132" s="27"/>
      <c r="F132" s="27"/>
      <c r="G132" s="27"/>
      <c r="H132" s="27"/>
      <c r="I132" s="27"/>
      <c r="J132" s="27"/>
      <c r="K132" s="27"/>
      <c r="L132" s="62">
        <f>L67</f>
        <v>74122</v>
      </c>
      <c r="M132" s="27"/>
      <c r="N132" s="141"/>
    </row>
    <row r="133" spans="1:14" ht="15.75">
      <c r="A133" s="26"/>
      <c r="B133" s="27"/>
      <c r="C133" s="27"/>
      <c r="D133" s="27"/>
      <c r="E133" s="27"/>
      <c r="F133" s="27"/>
      <c r="G133" s="27"/>
      <c r="H133" s="27"/>
      <c r="I133" s="27"/>
      <c r="J133" s="27"/>
      <c r="K133" s="27"/>
      <c r="L133" s="54"/>
      <c r="M133" s="27"/>
      <c r="N133" s="141"/>
    </row>
    <row r="134" spans="1:14" ht="15.75">
      <c r="A134" s="2"/>
      <c r="B134" s="5"/>
      <c r="C134" s="5"/>
      <c r="D134" s="5"/>
      <c r="E134" s="5"/>
      <c r="F134" s="5"/>
      <c r="G134" s="5"/>
      <c r="H134" s="5"/>
      <c r="I134" s="5"/>
      <c r="J134" s="5"/>
      <c r="K134" s="5"/>
      <c r="L134" s="57"/>
      <c r="M134" s="5"/>
      <c r="N134" s="141"/>
    </row>
    <row r="135" spans="1:14" ht="15.75">
      <c r="A135" s="8"/>
      <c r="B135" s="72" t="s">
        <v>93</v>
      </c>
      <c r="C135" s="16"/>
      <c r="D135" s="10"/>
      <c r="E135" s="10"/>
      <c r="F135" s="10"/>
      <c r="G135" s="10"/>
      <c r="H135" s="77" t="s">
        <v>170</v>
      </c>
      <c r="I135" s="77"/>
      <c r="J135" s="77" t="s">
        <v>182</v>
      </c>
      <c r="K135" s="12"/>
      <c r="L135" s="78" t="s">
        <v>197</v>
      </c>
      <c r="M135" s="10"/>
      <c r="N135" s="141"/>
    </row>
    <row r="136" spans="1:14" ht="15.75">
      <c r="A136" s="26"/>
      <c r="B136" s="27" t="s">
        <v>94</v>
      </c>
      <c r="C136" s="27"/>
      <c r="D136" s="27"/>
      <c r="E136" s="27"/>
      <c r="F136" s="27"/>
      <c r="G136" s="27"/>
      <c r="H136" s="62">
        <v>31500</v>
      </c>
      <c r="I136" s="27"/>
      <c r="J136" s="47" t="s">
        <v>183</v>
      </c>
      <c r="K136" s="27"/>
      <c r="L136" s="62"/>
      <c r="M136" s="27"/>
      <c r="N136" s="141"/>
    </row>
    <row r="137" spans="1:14" ht="15.75">
      <c r="A137" s="26"/>
      <c r="B137" s="27" t="s">
        <v>95</v>
      </c>
      <c r="C137" s="27"/>
      <c r="D137" s="27"/>
      <c r="E137" s="27"/>
      <c r="F137" s="27"/>
      <c r="G137" s="27"/>
      <c r="H137" s="62">
        <v>1309</v>
      </c>
      <c r="I137" s="27"/>
      <c r="J137" s="27">
        <v>23</v>
      </c>
      <c r="K137" s="27"/>
      <c r="L137" s="62">
        <f>J137+H137</f>
        <v>1332</v>
      </c>
      <c r="M137" s="27"/>
      <c r="N137" s="141"/>
    </row>
    <row r="138" spans="1:14" ht="15.75">
      <c r="A138" s="26"/>
      <c r="B138" s="27" t="s">
        <v>96</v>
      </c>
      <c r="C138" s="27"/>
      <c r="D138" s="27"/>
      <c r="E138" s="27"/>
      <c r="F138" s="27"/>
      <c r="G138" s="27"/>
      <c r="H138" s="62">
        <v>607</v>
      </c>
      <c r="I138" s="27"/>
      <c r="J138" s="38">
        <v>0</v>
      </c>
      <c r="K138" s="27"/>
      <c r="L138" s="62">
        <f>J138+H138</f>
        <v>607</v>
      </c>
      <c r="M138" s="27"/>
      <c r="N138" s="141"/>
    </row>
    <row r="139" spans="1:14" ht="15.75">
      <c r="A139" s="26"/>
      <c r="B139" s="27" t="s">
        <v>97</v>
      </c>
      <c r="C139" s="27"/>
      <c r="D139" s="27"/>
      <c r="E139" s="27"/>
      <c r="F139" s="27"/>
      <c r="G139" s="27"/>
      <c r="H139" s="62">
        <f>H138+H137</f>
        <v>1916</v>
      </c>
      <c r="I139" s="27"/>
      <c r="J139" s="62">
        <f>J138+J137</f>
        <v>23</v>
      </c>
      <c r="K139" s="27"/>
      <c r="L139" s="62">
        <f>J139+H139</f>
        <v>1939</v>
      </c>
      <c r="M139" s="27"/>
      <c r="N139" s="141"/>
    </row>
    <row r="140" spans="1:14" ht="15.75">
      <c r="A140" s="26"/>
      <c r="B140" s="27" t="s">
        <v>98</v>
      </c>
      <c r="C140" s="27"/>
      <c r="D140" s="27"/>
      <c r="E140" s="27"/>
      <c r="F140" s="27"/>
      <c r="G140" s="27"/>
      <c r="H140" s="62">
        <f>H136-H139</f>
        <v>29584</v>
      </c>
      <c r="I140" s="27"/>
      <c r="J140" s="47" t="s">
        <v>183</v>
      </c>
      <c r="K140" s="27"/>
      <c r="L140" s="62"/>
      <c r="M140" s="27"/>
      <c r="N140" s="141"/>
    </row>
    <row r="141" spans="1:14" ht="15.75">
      <c r="A141" s="26"/>
      <c r="B141" s="27"/>
      <c r="C141" s="27"/>
      <c r="D141" s="27"/>
      <c r="E141" s="27"/>
      <c r="F141" s="27"/>
      <c r="G141" s="27"/>
      <c r="H141" s="27"/>
      <c r="I141" s="27"/>
      <c r="J141" s="27"/>
      <c r="K141" s="27"/>
      <c r="L141" s="54"/>
      <c r="M141" s="27"/>
      <c r="N141" s="141"/>
    </row>
    <row r="142" spans="1:14" ht="15.75">
      <c r="A142" s="2"/>
      <c r="B142" s="5"/>
      <c r="C142" s="5"/>
      <c r="D142" s="5"/>
      <c r="E142" s="5"/>
      <c r="F142" s="5"/>
      <c r="G142" s="5"/>
      <c r="H142" s="5"/>
      <c r="I142" s="5"/>
      <c r="J142" s="5"/>
      <c r="K142" s="5"/>
      <c r="L142" s="57"/>
      <c r="M142" s="5"/>
      <c r="N142" s="141"/>
    </row>
    <row r="143" spans="1:14" ht="15.75">
      <c r="A143" s="8"/>
      <c r="B143" s="72" t="s">
        <v>99</v>
      </c>
      <c r="C143" s="16"/>
      <c r="D143" s="10"/>
      <c r="E143" s="10"/>
      <c r="F143" s="10"/>
      <c r="G143" s="10"/>
      <c r="H143" s="10"/>
      <c r="I143" s="10"/>
      <c r="J143" s="10"/>
      <c r="K143" s="10"/>
      <c r="L143" s="79"/>
      <c r="M143" s="10"/>
      <c r="N143" s="141"/>
    </row>
    <row r="144" spans="1:14" ht="15.75">
      <c r="A144" s="26"/>
      <c r="B144" s="27" t="s">
        <v>100</v>
      </c>
      <c r="C144" s="27"/>
      <c r="D144" s="27"/>
      <c r="E144" s="27"/>
      <c r="F144" s="27"/>
      <c r="G144" s="27"/>
      <c r="H144" s="27"/>
      <c r="I144" s="27"/>
      <c r="J144" s="27"/>
      <c r="K144" s="27"/>
      <c r="L144" s="71">
        <f>SUM(L77:L82)/-L83</f>
        <v>4.102766798418973</v>
      </c>
      <c r="M144" s="27" t="s">
        <v>198</v>
      </c>
      <c r="N144" s="141"/>
    </row>
    <row r="145" spans="1:14" ht="15.75">
      <c r="A145" s="26"/>
      <c r="B145" s="27" t="s">
        <v>101</v>
      </c>
      <c r="C145" s="27"/>
      <c r="D145" s="27"/>
      <c r="E145" s="27"/>
      <c r="F145" s="27"/>
      <c r="G145" s="27"/>
      <c r="H145" s="27"/>
      <c r="I145" s="27"/>
      <c r="J145" s="27"/>
      <c r="K145" s="27"/>
      <c r="L145" s="71">
        <v>1.84</v>
      </c>
      <c r="M145" s="27" t="s">
        <v>198</v>
      </c>
      <c r="N145" s="141"/>
    </row>
    <row r="146" spans="1:14" ht="15.75">
      <c r="A146" s="26"/>
      <c r="B146" s="27" t="s">
        <v>102</v>
      </c>
      <c r="C146" s="27"/>
      <c r="D146" s="27"/>
      <c r="E146" s="27"/>
      <c r="F146" s="27"/>
      <c r="G146" s="27"/>
      <c r="H146" s="27"/>
      <c r="I146" s="27"/>
      <c r="J146" s="27"/>
      <c r="K146" s="27"/>
      <c r="L146" s="71">
        <f>SUM(L77:L84)/-L85</f>
        <v>3.3482905982905984</v>
      </c>
      <c r="M146" s="27" t="s">
        <v>198</v>
      </c>
      <c r="N146" s="141"/>
    </row>
    <row r="147" spans="1:14" ht="15.75">
      <c r="A147" s="26"/>
      <c r="B147" s="27" t="s">
        <v>103</v>
      </c>
      <c r="C147" s="27"/>
      <c r="D147" s="27"/>
      <c r="E147" s="27"/>
      <c r="F147" s="27"/>
      <c r="G147" s="27"/>
      <c r="H147" s="27"/>
      <c r="I147" s="27"/>
      <c r="J147" s="27"/>
      <c r="K147" s="27"/>
      <c r="L147" s="71">
        <v>2.15</v>
      </c>
      <c r="M147" s="27" t="s">
        <v>198</v>
      </c>
      <c r="N147" s="141"/>
    </row>
    <row r="148" spans="1:14" ht="15.75">
      <c r="A148" s="26"/>
      <c r="B148" s="27" t="s">
        <v>104</v>
      </c>
      <c r="C148" s="27"/>
      <c r="D148" s="27"/>
      <c r="E148" s="27"/>
      <c r="F148" s="27"/>
      <c r="G148" s="27"/>
      <c r="H148" s="27"/>
      <c r="I148" s="27"/>
      <c r="J148" s="27"/>
      <c r="K148" s="27"/>
      <c r="L148" s="71">
        <f>SUM(L77:L85)/-L86</f>
        <v>7.090322580645161</v>
      </c>
      <c r="M148" s="27" t="s">
        <v>198</v>
      </c>
      <c r="N148" s="141"/>
    </row>
    <row r="149" spans="1:14" ht="15.75">
      <c r="A149" s="26"/>
      <c r="B149" s="27" t="s">
        <v>105</v>
      </c>
      <c r="C149" s="27"/>
      <c r="D149" s="27"/>
      <c r="E149" s="27"/>
      <c r="F149" s="27"/>
      <c r="G149" s="27"/>
      <c r="H149" s="27"/>
      <c r="I149" s="27"/>
      <c r="J149" s="27"/>
      <c r="K149" s="27"/>
      <c r="L149" s="71">
        <v>3.52</v>
      </c>
      <c r="M149" s="27" t="s">
        <v>198</v>
      </c>
      <c r="N149" s="141"/>
    </row>
    <row r="150" spans="1:14" ht="15.75">
      <c r="A150" s="26"/>
      <c r="B150" s="27"/>
      <c r="C150" s="27"/>
      <c r="D150" s="27"/>
      <c r="E150" s="27"/>
      <c r="F150" s="27"/>
      <c r="G150" s="27"/>
      <c r="H150" s="27"/>
      <c r="I150" s="27"/>
      <c r="J150" s="27"/>
      <c r="K150" s="27"/>
      <c r="L150" s="27"/>
      <c r="M150" s="27"/>
      <c r="N150" s="141"/>
    </row>
    <row r="151" spans="1:14" ht="15.75">
      <c r="A151" s="8"/>
      <c r="B151" s="15"/>
      <c r="C151" s="15"/>
      <c r="D151" s="15"/>
      <c r="E151" s="15"/>
      <c r="F151" s="15"/>
      <c r="G151" s="15"/>
      <c r="H151" s="15"/>
      <c r="I151" s="15"/>
      <c r="J151" s="15"/>
      <c r="K151" s="15"/>
      <c r="L151" s="15"/>
      <c r="M151" s="15"/>
      <c r="N151" s="141"/>
    </row>
    <row r="152" spans="1:14" ht="15.75">
      <c r="A152" s="139"/>
      <c r="B152" s="55" t="s">
        <v>106</v>
      </c>
      <c r="C152" s="83"/>
      <c r="D152" s="83"/>
      <c r="E152" s="83"/>
      <c r="F152" s="83"/>
      <c r="G152" s="84"/>
      <c r="H152" s="84"/>
      <c r="I152" s="84"/>
      <c r="J152" s="84">
        <v>37164</v>
      </c>
      <c r="K152" s="5"/>
      <c r="L152" s="5"/>
      <c r="M152" s="5"/>
      <c r="N152" s="141"/>
    </row>
    <row r="153" spans="1:14" ht="15.75">
      <c r="A153" s="86"/>
      <c r="B153" s="87"/>
      <c r="C153" s="88"/>
      <c r="D153" s="88"/>
      <c r="E153" s="88"/>
      <c r="F153" s="88"/>
      <c r="G153" s="89"/>
      <c r="H153" s="89"/>
      <c r="I153" s="89"/>
      <c r="J153" s="89"/>
      <c r="K153" s="10"/>
      <c r="L153" s="10"/>
      <c r="M153" s="10"/>
      <c r="N153" s="141"/>
    </row>
    <row r="154" spans="1:14" ht="15.75">
      <c r="A154" s="90"/>
      <c r="B154" s="91" t="s">
        <v>107</v>
      </c>
      <c r="C154" s="92"/>
      <c r="D154" s="92"/>
      <c r="E154" s="92"/>
      <c r="F154" s="92"/>
      <c r="G154" s="75"/>
      <c r="H154" s="75"/>
      <c r="I154" s="75"/>
      <c r="J154" s="93">
        <v>0.104</v>
      </c>
      <c r="K154" s="27"/>
      <c r="L154" s="27"/>
      <c r="M154" s="27"/>
      <c r="N154" s="141"/>
    </row>
    <row r="155" spans="1:14" ht="15.75">
      <c r="A155" s="90"/>
      <c r="B155" s="91" t="s">
        <v>108</v>
      </c>
      <c r="C155" s="92"/>
      <c r="D155" s="92"/>
      <c r="E155" s="92"/>
      <c r="F155" s="92"/>
      <c r="G155" s="75"/>
      <c r="H155" s="75"/>
      <c r="I155" s="75"/>
      <c r="J155" s="46">
        <v>0.093</v>
      </c>
      <c r="K155" s="27"/>
      <c r="L155" s="27"/>
      <c r="M155" s="27"/>
      <c r="N155" s="141"/>
    </row>
    <row r="156" spans="1:14" ht="15.75">
      <c r="A156" s="90"/>
      <c r="B156" s="91" t="s">
        <v>109</v>
      </c>
      <c r="C156" s="92"/>
      <c r="D156" s="92"/>
      <c r="E156" s="92"/>
      <c r="F156" s="92"/>
      <c r="G156" s="75"/>
      <c r="H156" s="75"/>
      <c r="I156" s="75"/>
      <c r="J156" s="93">
        <f>J154-J155</f>
        <v>0.010999999999999996</v>
      </c>
      <c r="K156" s="27"/>
      <c r="L156" s="27"/>
      <c r="M156" s="27"/>
      <c r="N156" s="141"/>
    </row>
    <row r="157" spans="1:14" ht="15.75">
      <c r="A157" s="90"/>
      <c r="B157" s="91" t="s">
        <v>110</v>
      </c>
      <c r="C157" s="92"/>
      <c r="D157" s="92"/>
      <c r="E157" s="92"/>
      <c r="F157" s="92"/>
      <c r="G157" s="75"/>
      <c r="H157" s="75"/>
      <c r="I157" s="75"/>
      <c r="J157" s="93">
        <v>0.084</v>
      </c>
      <c r="K157" s="27"/>
      <c r="L157" s="27"/>
      <c r="M157" s="27"/>
      <c r="N157" s="141"/>
    </row>
    <row r="158" spans="1:14" ht="15.75">
      <c r="A158" s="90"/>
      <c r="B158" s="91" t="s">
        <v>111</v>
      </c>
      <c r="C158" s="92"/>
      <c r="D158" s="92"/>
      <c r="E158" s="92"/>
      <c r="F158" s="92"/>
      <c r="G158" s="75"/>
      <c r="H158" s="75"/>
      <c r="I158" s="75"/>
      <c r="J158" s="93">
        <f>L31</f>
        <v>0.05656928968293113</v>
      </c>
      <c r="K158" s="27"/>
      <c r="L158" s="27"/>
      <c r="M158" s="27"/>
      <c r="N158" s="141"/>
    </row>
    <row r="159" spans="1:14" ht="15.75">
      <c r="A159" s="90"/>
      <c r="B159" s="91" t="s">
        <v>112</v>
      </c>
      <c r="C159" s="92"/>
      <c r="D159" s="92"/>
      <c r="E159" s="92"/>
      <c r="F159" s="92"/>
      <c r="G159" s="75"/>
      <c r="H159" s="75"/>
      <c r="I159" s="75"/>
      <c r="J159" s="93">
        <f>J157-J158</f>
        <v>0.027430710317068875</v>
      </c>
      <c r="K159" s="27"/>
      <c r="L159" s="27"/>
      <c r="M159" s="27"/>
      <c r="N159" s="141"/>
    </row>
    <row r="160" spans="1:14" ht="15.75">
      <c r="A160" s="90"/>
      <c r="B160" s="91" t="s">
        <v>113</v>
      </c>
      <c r="C160" s="92"/>
      <c r="D160" s="92"/>
      <c r="E160" s="92"/>
      <c r="F160" s="92"/>
      <c r="G160" s="75"/>
      <c r="H160" s="75"/>
      <c r="I160" s="75"/>
      <c r="J160" s="94" t="s">
        <v>184</v>
      </c>
      <c r="K160" s="27"/>
      <c r="L160" s="27"/>
      <c r="M160" s="27"/>
      <c r="N160" s="141"/>
    </row>
    <row r="161" spans="1:14" ht="15.75">
      <c r="A161" s="90"/>
      <c r="B161" s="91" t="s">
        <v>114</v>
      </c>
      <c r="C161" s="92"/>
      <c r="D161" s="92"/>
      <c r="E161" s="92"/>
      <c r="F161" s="92"/>
      <c r="G161" s="75"/>
      <c r="H161" s="75"/>
      <c r="I161" s="75"/>
      <c r="J161" s="95">
        <v>17.6</v>
      </c>
      <c r="K161" s="27" t="s">
        <v>189</v>
      </c>
      <c r="L161" s="27"/>
      <c r="M161" s="27"/>
      <c r="N161" s="141"/>
    </row>
    <row r="162" spans="1:14" ht="15.75">
      <c r="A162" s="90"/>
      <c r="B162" s="91" t="s">
        <v>115</v>
      </c>
      <c r="C162" s="92"/>
      <c r="D162" s="92"/>
      <c r="E162" s="92"/>
      <c r="F162" s="92"/>
      <c r="G162" s="75"/>
      <c r="H162" s="75"/>
      <c r="I162" s="75"/>
      <c r="J162" s="95">
        <v>14.42</v>
      </c>
      <c r="K162" s="27" t="s">
        <v>189</v>
      </c>
      <c r="L162" s="27"/>
      <c r="M162" s="27"/>
      <c r="N162" s="141"/>
    </row>
    <row r="163" spans="1:14" ht="15.75">
      <c r="A163" s="90"/>
      <c r="B163" s="91" t="s">
        <v>211</v>
      </c>
      <c r="C163" s="92"/>
      <c r="D163" s="92"/>
      <c r="E163" s="92"/>
      <c r="F163" s="92"/>
      <c r="G163" s="75"/>
      <c r="H163" s="75"/>
      <c r="I163" s="75"/>
      <c r="J163" s="93">
        <v>0.0523</v>
      </c>
      <c r="K163" s="27"/>
      <c r="L163" s="27"/>
      <c r="M163" s="27"/>
      <c r="N163" s="141"/>
    </row>
    <row r="164" spans="1:14" ht="15.75">
      <c r="A164" s="90"/>
      <c r="B164" s="91" t="s">
        <v>212</v>
      </c>
      <c r="C164" s="92"/>
      <c r="D164" s="92"/>
      <c r="E164" s="92"/>
      <c r="F164" s="92"/>
      <c r="G164" s="75"/>
      <c r="H164" s="75"/>
      <c r="I164" s="75"/>
      <c r="J164" s="93">
        <v>0.1567</v>
      </c>
      <c r="K164" s="27"/>
      <c r="L164" s="27"/>
      <c r="M164" s="27"/>
      <c r="N164" s="141"/>
    </row>
    <row r="165" spans="1:14" ht="15.75">
      <c r="A165" s="90"/>
      <c r="B165" s="91"/>
      <c r="C165" s="91"/>
      <c r="D165" s="91"/>
      <c r="E165" s="91"/>
      <c r="F165" s="91"/>
      <c r="G165" s="27"/>
      <c r="H165" s="27"/>
      <c r="I165" s="27"/>
      <c r="J165" s="54"/>
      <c r="K165" s="27"/>
      <c r="L165" s="96"/>
      <c r="M165" s="27"/>
      <c r="N165" s="141"/>
    </row>
    <row r="166" spans="1:14" ht="15.75">
      <c r="A166" s="97"/>
      <c r="B166" s="17" t="s">
        <v>117</v>
      </c>
      <c r="C166" s="20"/>
      <c r="D166" s="98"/>
      <c r="E166" s="20"/>
      <c r="F166" s="98"/>
      <c r="G166" s="20"/>
      <c r="H166" s="98"/>
      <c r="I166" s="20" t="s">
        <v>171</v>
      </c>
      <c r="J166" s="98" t="s">
        <v>185</v>
      </c>
      <c r="K166" s="18"/>
      <c r="L166" s="18"/>
      <c r="M166" s="10"/>
      <c r="N166" s="141"/>
    </row>
    <row r="167" spans="1:14" ht="15.75">
      <c r="A167" s="99"/>
      <c r="B167" s="91" t="s">
        <v>118</v>
      </c>
      <c r="C167" s="63"/>
      <c r="D167" s="63"/>
      <c r="E167" s="63"/>
      <c r="F167" s="27"/>
      <c r="G167" s="27"/>
      <c r="H167" s="27"/>
      <c r="I167" s="27">
        <v>232</v>
      </c>
      <c r="J167" s="100">
        <v>17709</v>
      </c>
      <c r="K167" s="27"/>
      <c r="L167" s="96"/>
      <c r="M167" s="101"/>
      <c r="N167" s="141"/>
    </row>
    <row r="168" spans="1:14" ht="15.75">
      <c r="A168" s="99"/>
      <c r="B168" s="91" t="s">
        <v>119</v>
      </c>
      <c r="C168" s="63"/>
      <c r="D168" s="63"/>
      <c r="E168" s="63"/>
      <c r="F168" s="27"/>
      <c r="G168" s="27"/>
      <c r="H168" s="27"/>
      <c r="I168" s="27">
        <v>15</v>
      </c>
      <c r="J168" s="100">
        <v>1573</v>
      </c>
      <c r="K168" s="27"/>
      <c r="L168" s="96"/>
      <c r="M168" s="101"/>
      <c r="N168" s="141"/>
    </row>
    <row r="169" spans="1:14" ht="15.75">
      <c r="A169" s="99"/>
      <c r="B169" s="102" t="s">
        <v>120</v>
      </c>
      <c r="C169" s="63"/>
      <c r="D169" s="63"/>
      <c r="E169" s="63"/>
      <c r="F169" s="27"/>
      <c r="G169" s="27"/>
      <c r="H169" s="27"/>
      <c r="I169" s="27">
        <v>1</v>
      </c>
      <c r="J169" s="100">
        <v>70</v>
      </c>
      <c r="K169" s="27"/>
      <c r="L169" s="96"/>
      <c r="M169" s="101"/>
      <c r="N169" s="141"/>
    </row>
    <row r="170" spans="1:14" ht="15.75">
      <c r="A170" s="99"/>
      <c r="B170" s="102" t="s">
        <v>121</v>
      </c>
      <c r="C170" s="63"/>
      <c r="D170" s="63"/>
      <c r="E170" s="63"/>
      <c r="F170" s="27"/>
      <c r="G170" s="27"/>
      <c r="H170" s="27"/>
      <c r="I170" s="27"/>
      <c r="J170" s="103" t="s">
        <v>186</v>
      </c>
      <c r="K170" s="27"/>
      <c r="L170" s="96"/>
      <c r="M170" s="101"/>
      <c r="N170" s="141"/>
    </row>
    <row r="171" spans="1:14" ht="15.75">
      <c r="A171" s="104"/>
      <c r="B171" s="102" t="s">
        <v>122</v>
      </c>
      <c r="C171" s="63"/>
      <c r="D171" s="91"/>
      <c r="E171" s="91"/>
      <c r="F171" s="91"/>
      <c r="G171" s="27"/>
      <c r="H171" s="27"/>
      <c r="I171" s="27"/>
      <c r="J171" s="103"/>
      <c r="K171" s="27"/>
      <c r="L171" s="96"/>
      <c r="M171" s="105"/>
      <c r="N171" s="141"/>
    </row>
    <row r="172" spans="1:14" ht="15.75">
      <c r="A172" s="99"/>
      <c r="B172" s="91" t="s">
        <v>123</v>
      </c>
      <c r="C172" s="63"/>
      <c r="D172" s="63"/>
      <c r="E172" s="63"/>
      <c r="F172" s="63"/>
      <c r="G172" s="27"/>
      <c r="H172" s="27"/>
      <c r="I172" s="27">
        <f>152-146</f>
        <v>6</v>
      </c>
      <c r="J172" s="100">
        <v>47</v>
      </c>
      <c r="K172" s="27"/>
      <c r="L172" s="96"/>
      <c r="M172" s="105"/>
      <c r="N172" s="141"/>
    </row>
    <row r="173" spans="1:14" ht="15.75">
      <c r="A173" s="99"/>
      <c r="B173" s="91" t="s">
        <v>124</v>
      </c>
      <c r="C173" s="63"/>
      <c r="D173" s="63"/>
      <c r="E173" s="63"/>
      <c r="F173" s="63"/>
      <c r="G173" s="27"/>
      <c r="H173" s="27"/>
      <c r="I173" s="27">
        <v>152</v>
      </c>
      <c r="J173" s="100">
        <v>3468</v>
      </c>
      <c r="K173" s="27"/>
      <c r="L173" s="96"/>
      <c r="M173" s="105"/>
      <c r="N173" s="141"/>
    </row>
    <row r="174" spans="1:14" ht="15.75">
      <c r="A174" s="99"/>
      <c r="B174" s="91" t="s">
        <v>208</v>
      </c>
      <c r="C174" s="63"/>
      <c r="D174" s="63"/>
      <c r="E174" s="63"/>
      <c r="F174" s="63"/>
      <c r="G174" s="27"/>
      <c r="H174" s="27"/>
      <c r="I174" s="27"/>
      <c r="J174" s="100">
        <v>63</v>
      </c>
      <c r="K174" s="27"/>
      <c r="L174" s="96"/>
      <c r="M174" s="105"/>
      <c r="N174" s="141"/>
    </row>
    <row r="175" spans="1:14" ht="15.75">
      <c r="A175" s="104"/>
      <c r="B175" s="102" t="s">
        <v>125</v>
      </c>
      <c r="C175" s="63"/>
      <c r="D175" s="91"/>
      <c r="E175" s="91"/>
      <c r="F175" s="91"/>
      <c r="G175" s="27"/>
      <c r="H175" s="27"/>
      <c r="I175" s="27"/>
      <c r="J175" s="100"/>
      <c r="K175" s="27"/>
      <c r="L175" s="96"/>
      <c r="M175" s="105"/>
      <c r="N175" s="141"/>
    </row>
    <row r="176" spans="1:14" ht="15.75">
      <c r="A176" s="104"/>
      <c r="B176" s="91" t="s">
        <v>126</v>
      </c>
      <c r="C176" s="63"/>
      <c r="D176" s="91"/>
      <c r="E176" s="91"/>
      <c r="F176" s="91"/>
      <c r="G176" s="27"/>
      <c r="H176" s="27"/>
      <c r="I176" s="27">
        <v>7</v>
      </c>
      <c r="J176" s="100">
        <v>708</v>
      </c>
      <c r="K176" s="27"/>
      <c r="L176" s="96"/>
      <c r="M176" s="105"/>
      <c r="N176" s="141"/>
    </row>
    <row r="177" spans="1:14" ht="15.75">
      <c r="A177" s="99"/>
      <c r="B177" s="91" t="s">
        <v>127</v>
      </c>
      <c r="C177" s="63"/>
      <c r="D177" s="106"/>
      <c r="E177" s="106"/>
      <c r="F177" s="107"/>
      <c r="G177" s="27"/>
      <c r="H177" s="27"/>
      <c r="I177" s="27"/>
      <c r="J177" s="103">
        <v>33.753</v>
      </c>
      <c r="K177" s="27"/>
      <c r="L177" s="96"/>
      <c r="M177" s="105"/>
      <c r="N177" s="141"/>
    </row>
    <row r="178" spans="1:14" ht="15.75">
      <c r="A178" s="99"/>
      <c r="B178" s="91" t="s">
        <v>128</v>
      </c>
      <c r="C178" s="63"/>
      <c r="D178" s="106"/>
      <c r="E178" s="106"/>
      <c r="F178" s="107"/>
      <c r="G178" s="27"/>
      <c r="H178" s="27"/>
      <c r="I178" s="27"/>
      <c r="J178" s="103">
        <v>5</v>
      </c>
      <c r="K178" s="27"/>
      <c r="L178" s="96"/>
      <c r="M178" s="105"/>
      <c r="N178" s="141"/>
    </row>
    <row r="179" spans="1:14" ht="15.75">
      <c r="A179" s="99"/>
      <c r="B179" s="91" t="s">
        <v>129</v>
      </c>
      <c r="C179" s="63"/>
      <c r="D179" s="109"/>
      <c r="E179" s="106"/>
      <c r="F179" s="107"/>
      <c r="G179" s="27"/>
      <c r="H179" s="27"/>
      <c r="I179" s="27"/>
      <c r="J179" s="110">
        <v>1.4464</v>
      </c>
      <c r="K179" s="27"/>
      <c r="L179" s="96"/>
      <c r="M179" s="105"/>
      <c r="N179" s="141"/>
    </row>
    <row r="180" spans="1:14" ht="15.75">
      <c r="A180" s="99"/>
      <c r="B180" s="91"/>
      <c r="C180" s="63"/>
      <c r="D180" s="109"/>
      <c r="E180" s="106"/>
      <c r="F180" s="107"/>
      <c r="G180" s="27"/>
      <c r="H180" s="27"/>
      <c r="I180" s="27"/>
      <c r="J180" s="110"/>
      <c r="K180" s="27"/>
      <c r="L180" s="96"/>
      <c r="M180" s="105"/>
      <c r="N180" s="141"/>
    </row>
    <row r="181" spans="1:14" ht="15.75">
      <c r="A181" s="8"/>
      <c r="B181" s="17" t="s">
        <v>130</v>
      </c>
      <c r="C181" s="20"/>
      <c r="D181" s="98"/>
      <c r="E181" s="20"/>
      <c r="F181" s="98"/>
      <c r="G181" s="20"/>
      <c r="H181" s="98" t="s">
        <v>171</v>
      </c>
      <c r="I181" s="20" t="s">
        <v>172</v>
      </c>
      <c r="J181" s="98" t="s">
        <v>187</v>
      </c>
      <c r="K181" s="20" t="s">
        <v>172</v>
      </c>
      <c r="L181" s="18"/>
      <c r="M181" s="111"/>
      <c r="N181" s="141"/>
    </row>
    <row r="182" spans="1:14" ht="15.75">
      <c r="A182" s="26"/>
      <c r="B182" s="63" t="s">
        <v>131</v>
      </c>
      <c r="C182" s="112"/>
      <c r="D182" s="63"/>
      <c r="E182" s="112"/>
      <c r="F182" s="27"/>
      <c r="G182" s="112"/>
      <c r="H182" s="63">
        <v>1371</v>
      </c>
      <c r="I182" s="113">
        <f>H182/H188</f>
        <v>0.7107309486780715</v>
      </c>
      <c r="J182" s="62">
        <v>55655</v>
      </c>
      <c r="K182" s="113">
        <f>J182/J188</f>
        <v>0.6485614067798585</v>
      </c>
      <c r="L182" s="96"/>
      <c r="M182" s="105"/>
      <c r="N182" s="141"/>
    </row>
    <row r="183" spans="1:14" ht="15.75">
      <c r="A183" s="26"/>
      <c r="B183" s="63" t="s">
        <v>132</v>
      </c>
      <c r="C183" s="112"/>
      <c r="D183" s="63"/>
      <c r="E183" s="112"/>
      <c r="F183" s="27"/>
      <c r="G183" s="114"/>
      <c r="H183" s="63">
        <v>47</v>
      </c>
      <c r="I183" s="112">
        <f>H183/H188</f>
        <v>0.02436495593571799</v>
      </c>
      <c r="J183" s="62">
        <v>1936</v>
      </c>
      <c r="K183" s="113">
        <f>J183/J188</f>
        <v>0.022560684278605806</v>
      </c>
      <c r="L183" s="96"/>
      <c r="M183" s="105"/>
      <c r="N183" s="141"/>
    </row>
    <row r="184" spans="1:14" ht="15.75">
      <c r="A184" s="26"/>
      <c r="B184" s="63" t="s">
        <v>133</v>
      </c>
      <c r="C184" s="112"/>
      <c r="D184" s="63"/>
      <c r="E184" s="112"/>
      <c r="F184" s="27"/>
      <c r="G184" s="114"/>
      <c r="H184" s="63">
        <v>29</v>
      </c>
      <c r="I184" s="112">
        <f>H184/H188</f>
        <v>0.01503369621565578</v>
      </c>
      <c r="J184" s="62">
        <v>1027</v>
      </c>
      <c r="K184" s="113">
        <f>J184/J188</f>
        <v>0.01196788365399182</v>
      </c>
      <c r="L184" s="96"/>
      <c r="M184" s="105"/>
      <c r="N184" s="141"/>
    </row>
    <row r="185" spans="1:14" ht="15.75">
      <c r="A185" s="26"/>
      <c r="B185" s="63" t="s">
        <v>134</v>
      </c>
      <c r="C185" s="112"/>
      <c r="D185" s="63"/>
      <c r="E185" s="112"/>
      <c r="F185" s="27"/>
      <c r="G185" s="114"/>
      <c r="H185" s="63">
        <f>13+16+14+439</f>
        <v>482</v>
      </c>
      <c r="I185" s="112">
        <f>H185/H188</f>
        <v>0.2498703991705547</v>
      </c>
      <c r="J185" s="62">
        <f>434+844+550+25367</f>
        <v>27195</v>
      </c>
      <c r="K185" s="113">
        <f>J185/J188</f>
        <v>0.31691002528754386</v>
      </c>
      <c r="L185" s="96"/>
      <c r="M185" s="105"/>
      <c r="N185" s="141"/>
    </row>
    <row r="186" spans="1:14" ht="15.75">
      <c r="A186" s="26"/>
      <c r="B186" s="30"/>
      <c r="C186" s="112"/>
      <c r="D186" s="63"/>
      <c r="E186" s="112"/>
      <c r="F186" s="27"/>
      <c r="G186" s="114"/>
      <c r="H186" s="63"/>
      <c r="I186" s="112"/>
      <c r="J186" s="62"/>
      <c r="K186" s="113"/>
      <c r="L186" s="96"/>
      <c r="M186" s="105"/>
      <c r="N186" s="141"/>
    </row>
    <row r="187" spans="1:14" ht="15.75">
      <c r="A187" s="26"/>
      <c r="B187" s="63"/>
      <c r="C187" s="115"/>
      <c r="D187" s="101"/>
      <c r="E187" s="115"/>
      <c r="F187" s="27"/>
      <c r="G187" s="115"/>
      <c r="H187" s="101"/>
      <c r="I187" s="115"/>
      <c r="J187" s="62"/>
      <c r="K187" s="113"/>
      <c r="L187" s="96"/>
      <c r="M187" s="105"/>
      <c r="N187" s="141"/>
    </row>
    <row r="188" spans="1:14" ht="15.75">
      <c r="A188" s="26"/>
      <c r="B188" s="27"/>
      <c r="C188" s="27"/>
      <c r="D188" s="27"/>
      <c r="E188" s="27"/>
      <c r="F188" s="27"/>
      <c r="G188" s="27"/>
      <c r="H188" s="38">
        <f>SUM(H182:H186)</f>
        <v>1929</v>
      </c>
      <c r="I188" s="116">
        <f>SUM(I182:I187)</f>
        <v>1</v>
      </c>
      <c r="J188" s="62">
        <f>SUM(J182:J187)</f>
        <v>85813</v>
      </c>
      <c r="K188" s="116">
        <f>SUM(K182:K187)</f>
        <v>1</v>
      </c>
      <c r="L188" s="27"/>
      <c r="M188" s="27"/>
      <c r="N188" s="141"/>
    </row>
    <row r="189" spans="1:14" ht="15.75">
      <c r="A189" s="26"/>
      <c r="B189" s="27"/>
      <c r="C189" s="27"/>
      <c r="D189" s="27"/>
      <c r="E189" s="27"/>
      <c r="F189" s="27"/>
      <c r="G189" s="27"/>
      <c r="H189" s="38"/>
      <c r="I189" s="116"/>
      <c r="J189" s="62"/>
      <c r="K189" s="116"/>
      <c r="L189" s="27"/>
      <c r="M189" s="27"/>
      <c r="N189" s="141"/>
    </row>
    <row r="190" spans="1:14" ht="15.75">
      <c r="A190" s="8"/>
      <c r="B190" s="10"/>
      <c r="C190" s="10"/>
      <c r="D190" s="10"/>
      <c r="E190" s="10"/>
      <c r="F190" s="10"/>
      <c r="G190" s="10"/>
      <c r="H190" s="64"/>
      <c r="I190" s="119"/>
      <c r="J190" s="120"/>
      <c r="K190" s="119"/>
      <c r="L190" s="10"/>
      <c r="M190" s="10"/>
      <c r="N190" s="141"/>
    </row>
    <row r="191" spans="1:14" ht="15.75">
      <c r="A191" s="124"/>
      <c r="B191" s="17" t="s">
        <v>136</v>
      </c>
      <c r="C191" s="122"/>
      <c r="D191" s="20" t="s">
        <v>151</v>
      </c>
      <c r="E191" s="18"/>
      <c r="F191" s="17" t="s">
        <v>161</v>
      </c>
      <c r="G191" s="15"/>
      <c r="H191" s="15"/>
      <c r="I191" s="15"/>
      <c r="J191" s="15"/>
      <c r="K191" s="15"/>
      <c r="L191" s="15"/>
      <c r="M191" s="15"/>
      <c r="N191" s="141"/>
    </row>
    <row r="192" spans="1:14" ht="15.75">
      <c r="A192" s="124"/>
      <c r="B192" s="15"/>
      <c r="C192" s="15"/>
      <c r="D192" s="10"/>
      <c r="E192" s="10"/>
      <c r="F192" s="10"/>
      <c r="G192" s="15"/>
      <c r="H192" s="15"/>
      <c r="I192" s="15"/>
      <c r="J192" s="15"/>
      <c r="K192" s="15"/>
      <c r="L192" s="15"/>
      <c r="M192" s="15"/>
      <c r="N192" s="141"/>
    </row>
    <row r="193" spans="1:14" ht="15.75">
      <c r="A193" s="124"/>
      <c r="B193" s="16" t="s">
        <v>137</v>
      </c>
      <c r="C193" s="125"/>
      <c r="D193" s="126" t="s">
        <v>152</v>
      </c>
      <c r="E193" s="16"/>
      <c r="F193" s="16" t="s">
        <v>162</v>
      </c>
      <c r="G193" s="125"/>
      <c r="H193" s="125"/>
      <c r="I193" s="125"/>
      <c r="J193" s="125"/>
      <c r="K193" s="15"/>
      <c r="L193" s="15"/>
      <c r="M193" s="15"/>
      <c r="N193" s="141"/>
    </row>
    <row r="194" spans="1:14" ht="15.75">
      <c r="A194" s="124"/>
      <c r="B194" s="16" t="s">
        <v>138</v>
      </c>
      <c r="C194" s="125"/>
      <c r="D194" s="126" t="s">
        <v>153</v>
      </c>
      <c r="E194" s="16"/>
      <c r="F194" s="16" t="s">
        <v>163</v>
      </c>
      <c r="G194" s="125"/>
      <c r="H194" s="125"/>
      <c r="I194" s="125"/>
      <c r="J194" s="125"/>
      <c r="K194" s="15"/>
      <c r="L194" s="15"/>
      <c r="M194" s="15"/>
      <c r="N194" s="141"/>
    </row>
    <row r="195" spans="1:13" ht="15">
      <c r="A195" s="140"/>
      <c r="B195" s="140"/>
      <c r="C195" s="140"/>
      <c r="D195" s="140"/>
      <c r="E195" s="140"/>
      <c r="F195" s="140"/>
      <c r="G195" s="140"/>
      <c r="H195" s="140"/>
      <c r="I195" s="140"/>
      <c r="J195" s="140"/>
      <c r="K195" s="140"/>
      <c r="L195" s="140"/>
      <c r="M195" s="140"/>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2.xml><?xml version="1.0" encoding="utf-8"?>
<worksheet xmlns="http://schemas.openxmlformats.org/spreadsheetml/2006/main" xmlns:r="http://schemas.openxmlformats.org/officeDocument/2006/relationships">
  <dimension ref="A1:R197"/>
  <sheetViews>
    <sheetView showOutlineSymbols="0" zoomScale="70" zoomScaleNormal="70" workbookViewId="0" topLeftCell="C1">
      <selection activeCell="M9" sqref="M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1.10546875" style="1" customWidth="1"/>
    <col min="14" max="16384" width="9.6640625" style="1" customWidth="1"/>
  </cols>
  <sheetData>
    <row r="1" spans="1:18" ht="20.25">
      <c r="A1" s="2"/>
      <c r="B1" s="3" t="s">
        <v>0</v>
      </c>
      <c r="C1" s="4"/>
      <c r="D1" s="5"/>
      <c r="E1" s="5"/>
      <c r="F1" s="5"/>
      <c r="G1" s="5"/>
      <c r="H1" s="5"/>
      <c r="I1" s="5"/>
      <c r="J1" s="5"/>
      <c r="K1" s="5"/>
      <c r="L1" s="5"/>
      <c r="M1" s="5"/>
      <c r="N1" s="6"/>
      <c r="O1" s="7"/>
      <c r="P1" s="7"/>
      <c r="Q1" s="7" t="s">
        <v>199</v>
      </c>
      <c r="R1" s="7"/>
    </row>
    <row r="2" spans="1:18" ht="15.75">
      <c r="A2" s="8"/>
      <c r="B2" s="9"/>
      <c r="C2" s="9"/>
      <c r="D2" s="10"/>
      <c r="E2" s="10"/>
      <c r="F2" s="10"/>
      <c r="G2" s="10"/>
      <c r="H2" s="10"/>
      <c r="I2" s="10"/>
      <c r="J2" s="10"/>
      <c r="K2" s="10"/>
      <c r="L2" s="10"/>
      <c r="M2" s="10"/>
      <c r="N2" s="6"/>
      <c r="O2" s="7"/>
      <c r="P2" s="7"/>
      <c r="Q2" s="7" t="s">
        <v>200</v>
      </c>
      <c r="R2" s="7"/>
    </row>
    <row r="3" spans="1:18" ht="15.75">
      <c r="A3" s="11"/>
      <c r="B3" s="12" t="s">
        <v>1</v>
      </c>
      <c r="C3" s="10"/>
      <c r="D3" s="10"/>
      <c r="E3" s="10"/>
      <c r="F3" s="10"/>
      <c r="G3" s="10"/>
      <c r="H3" s="10"/>
      <c r="I3" s="10"/>
      <c r="J3" s="10"/>
      <c r="K3" s="10"/>
      <c r="L3" s="10"/>
      <c r="M3" s="10"/>
      <c r="N3" s="6"/>
      <c r="O3" s="7"/>
      <c r="P3" s="7"/>
      <c r="Q3" s="7" t="s">
        <v>201</v>
      </c>
      <c r="R3" s="7"/>
    </row>
    <row r="4" spans="1:18" ht="15.75">
      <c r="A4" s="8"/>
      <c r="B4" s="9"/>
      <c r="C4" s="9"/>
      <c r="D4" s="10"/>
      <c r="E4" s="10"/>
      <c r="F4" s="10"/>
      <c r="G4" s="10"/>
      <c r="H4" s="10"/>
      <c r="I4" s="10"/>
      <c r="J4" s="10"/>
      <c r="K4" s="10"/>
      <c r="L4" s="10"/>
      <c r="M4" s="10"/>
      <c r="N4" s="6"/>
      <c r="O4" s="7"/>
      <c r="P4" s="7"/>
      <c r="Q4" s="7" t="s">
        <v>200</v>
      </c>
      <c r="R4" s="7"/>
    </row>
    <row r="5" spans="1:18" ht="15.75">
      <c r="A5" s="8"/>
      <c r="B5" s="13" t="s">
        <v>2</v>
      </c>
      <c r="C5" s="14"/>
      <c r="D5" s="10"/>
      <c r="E5" s="10"/>
      <c r="F5" s="10"/>
      <c r="G5" s="10"/>
      <c r="H5" s="10"/>
      <c r="I5" s="10"/>
      <c r="J5" s="10"/>
      <c r="K5" s="10"/>
      <c r="L5" s="10"/>
      <c r="M5" s="10"/>
      <c r="N5" s="6"/>
      <c r="O5" s="7"/>
      <c r="P5" s="7"/>
      <c r="Q5" s="7" t="s">
        <v>202</v>
      </c>
      <c r="R5" s="7"/>
    </row>
    <row r="6" spans="1:18" ht="15.75">
      <c r="A6" s="8"/>
      <c r="B6" s="13" t="s">
        <v>3</v>
      </c>
      <c r="C6" s="14"/>
      <c r="D6" s="10"/>
      <c r="E6" s="10"/>
      <c r="F6" s="10"/>
      <c r="G6" s="10"/>
      <c r="H6" s="10"/>
      <c r="I6" s="10"/>
      <c r="J6" s="10"/>
      <c r="K6" s="10"/>
      <c r="L6" s="10"/>
      <c r="M6" s="10"/>
      <c r="N6" s="6"/>
      <c r="O6" s="7"/>
      <c r="P6" s="7"/>
      <c r="Q6" s="7"/>
      <c r="R6" s="7"/>
    </row>
    <row r="7" spans="1:18" ht="15.75">
      <c r="A7" s="8"/>
      <c r="B7" s="13" t="s">
        <v>4</v>
      </c>
      <c r="C7" s="14"/>
      <c r="D7" s="10"/>
      <c r="E7" s="10"/>
      <c r="F7" s="10"/>
      <c r="G7" s="10"/>
      <c r="H7" s="10"/>
      <c r="I7" s="10"/>
      <c r="J7" s="10"/>
      <c r="K7" s="10"/>
      <c r="L7" s="10"/>
      <c r="M7" s="10"/>
      <c r="N7" s="6"/>
      <c r="O7" s="7"/>
      <c r="P7" s="7"/>
      <c r="Q7" s="7" t="s">
        <v>200</v>
      </c>
      <c r="R7" s="7"/>
    </row>
    <row r="8" spans="1:18" ht="15.75">
      <c r="A8" s="8"/>
      <c r="B8" s="13" t="s">
        <v>5</v>
      </c>
      <c r="C8" s="14"/>
      <c r="D8" s="10"/>
      <c r="E8" s="10"/>
      <c r="F8" s="10"/>
      <c r="G8" s="10"/>
      <c r="H8" s="10"/>
      <c r="I8" s="10"/>
      <c r="J8" s="10"/>
      <c r="K8" s="10"/>
      <c r="L8" s="10"/>
      <c r="M8" s="10"/>
      <c r="N8" s="6"/>
      <c r="O8" s="7"/>
      <c r="P8" s="7"/>
      <c r="Q8" s="7" t="s">
        <v>203</v>
      </c>
      <c r="R8" s="7"/>
    </row>
    <row r="9" spans="1:18" ht="15.75">
      <c r="A9" s="8"/>
      <c r="B9" s="15"/>
      <c r="C9" s="14"/>
      <c r="D9" s="10"/>
      <c r="E9" s="10"/>
      <c r="F9" s="10"/>
      <c r="G9" s="10"/>
      <c r="H9" s="10"/>
      <c r="I9" s="10"/>
      <c r="J9" s="10"/>
      <c r="K9" s="10"/>
      <c r="L9" s="10"/>
      <c r="M9" s="10"/>
      <c r="N9" s="6"/>
      <c r="O9" s="7"/>
      <c r="P9" s="7"/>
      <c r="Q9" s="7" t="s">
        <v>200</v>
      </c>
      <c r="R9" s="7"/>
    </row>
    <row r="10" spans="1:18" ht="15.75">
      <c r="A10" s="8"/>
      <c r="B10" s="13"/>
      <c r="C10" s="14"/>
      <c r="D10" s="16"/>
      <c r="E10" s="16"/>
      <c r="F10" s="10"/>
      <c r="G10" s="10"/>
      <c r="H10" s="10"/>
      <c r="I10" s="10"/>
      <c r="J10" s="10"/>
      <c r="K10" s="10"/>
      <c r="L10" s="10"/>
      <c r="M10" s="10"/>
      <c r="N10" s="6"/>
      <c r="O10" s="7"/>
      <c r="P10" s="7"/>
      <c r="Q10" s="7"/>
      <c r="R10" s="7"/>
    </row>
    <row r="11" spans="1:18" ht="15.75">
      <c r="A11" s="8"/>
      <c r="B11" s="16" t="s">
        <v>6</v>
      </c>
      <c r="C11" s="16"/>
      <c r="D11" s="10"/>
      <c r="E11" s="10"/>
      <c r="F11" s="10"/>
      <c r="G11" s="10"/>
      <c r="H11" s="10"/>
      <c r="I11" s="10"/>
      <c r="J11" s="10"/>
      <c r="K11" s="10"/>
      <c r="L11" s="10"/>
      <c r="M11" s="10"/>
      <c r="N11" s="6"/>
      <c r="O11" s="7"/>
      <c r="P11" s="7"/>
      <c r="Q11" s="7"/>
      <c r="R11" s="7"/>
    </row>
    <row r="12" spans="1:18" ht="15.75">
      <c r="A12" s="8"/>
      <c r="B12" s="16"/>
      <c r="C12" s="16"/>
      <c r="D12" s="10"/>
      <c r="E12" s="10"/>
      <c r="F12" s="10"/>
      <c r="G12" s="10"/>
      <c r="H12" s="10"/>
      <c r="I12" s="10"/>
      <c r="J12" s="10"/>
      <c r="K12" s="10"/>
      <c r="L12" s="10"/>
      <c r="M12" s="10"/>
      <c r="N12" s="6"/>
      <c r="O12" s="7"/>
      <c r="P12" s="7"/>
      <c r="Q12" s="7"/>
      <c r="R12" s="7"/>
    </row>
    <row r="13" spans="1:18" ht="15.75">
      <c r="A13" s="2"/>
      <c r="B13" s="5"/>
      <c r="C13" s="5"/>
      <c r="D13" s="5"/>
      <c r="E13" s="5"/>
      <c r="F13" s="5"/>
      <c r="G13" s="5"/>
      <c r="H13" s="5"/>
      <c r="I13" s="5"/>
      <c r="J13" s="5"/>
      <c r="K13" s="5"/>
      <c r="L13" s="5"/>
      <c r="M13" s="5"/>
      <c r="N13" s="6"/>
      <c r="O13" s="7"/>
      <c r="P13" s="7"/>
      <c r="Q13" s="7"/>
      <c r="R13" s="7"/>
    </row>
    <row r="14" spans="1:18" ht="15.75">
      <c r="A14" s="8"/>
      <c r="B14" s="17" t="s">
        <v>7</v>
      </c>
      <c r="C14" s="17"/>
      <c r="D14" s="18"/>
      <c r="E14" s="18"/>
      <c r="F14" s="18"/>
      <c r="G14" s="18"/>
      <c r="H14" s="18"/>
      <c r="I14" s="18"/>
      <c r="J14" s="18"/>
      <c r="K14" s="18"/>
      <c r="L14" s="19" t="s">
        <v>190</v>
      </c>
      <c r="M14" s="18"/>
      <c r="N14" s="6"/>
      <c r="O14" s="7"/>
      <c r="P14" s="7"/>
      <c r="Q14" s="7"/>
      <c r="R14" s="7"/>
    </row>
    <row r="15" spans="1:18" ht="15.75">
      <c r="A15" s="8"/>
      <c r="B15" s="17" t="s">
        <v>8</v>
      </c>
      <c r="C15" s="17"/>
      <c r="D15" s="18"/>
      <c r="E15" s="18"/>
      <c r="F15" s="18"/>
      <c r="G15" s="18"/>
      <c r="H15" s="18"/>
      <c r="I15" s="18"/>
      <c r="J15" s="18"/>
      <c r="K15" s="18"/>
      <c r="L15" s="20" t="s">
        <v>191</v>
      </c>
      <c r="M15" s="18"/>
      <c r="N15" s="6"/>
      <c r="O15" s="7"/>
      <c r="P15" s="7"/>
      <c r="Q15" s="7"/>
      <c r="R15" s="7"/>
    </row>
    <row r="16" spans="1:18" ht="15.75">
      <c r="A16" s="8"/>
      <c r="B16" s="17" t="s">
        <v>9</v>
      </c>
      <c r="C16" s="17"/>
      <c r="D16" s="18"/>
      <c r="E16" s="18"/>
      <c r="F16" s="18"/>
      <c r="G16" s="18"/>
      <c r="H16" s="18"/>
      <c r="I16" s="18"/>
      <c r="J16" s="18"/>
      <c r="K16" s="18"/>
      <c r="L16" s="130">
        <v>36446</v>
      </c>
      <c r="M16" s="18"/>
      <c r="N16" s="6"/>
      <c r="O16" s="7"/>
      <c r="P16" s="7"/>
      <c r="Q16" s="7"/>
      <c r="R16" s="7"/>
    </row>
    <row r="17" spans="1:18" ht="15.75">
      <c r="A17" s="8"/>
      <c r="B17" s="10"/>
      <c r="C17" s="10"/>
      <c r="D17" s="10"/>
      <c r="E17" s="10"/>
      <c r="F17" s="10"/>
      <c r="G17" s="10"/>
      <c r="H17" s="10"/>
      <c r="I17" s="10"/>
      <c r="J17" s="10"/>
      <c r="K17" s="10"/>
      <c r="L17" s="21"/>
      <c r="M17" s="10"/>
      <c r="N17" s="6"/>
      <c r="O17" s="7"/>
      <c r="P17" s="7"/>
      <c r="Q17" s="7"/>
      <c r="R17" s="7"/>
    </row>
    <row r="18" spans="1:18" ht="15.75">
      <c r="A18" s="8"/>
      <c r="B18" s="22" t="s">
        <v>10</v>
      </c>
      <c r="C18" s="10"/>
      <c r="D18" s="10"/>
      <c r="E18" s="10"/>
      <c r="F18" s="10"/>
      <c r="G18" s="10"/>
      <c r="H18" s="10"/>
      <c r="I18" s="10"/>
      <c r="J18" s="21" t="s">
        <v>173</v>
      </c>
      <c r="K18" s="10"/>
      <c r="L18" s="15"/>
      <c r="M18" s="10"/>
      <c r="N18" s="6"/>
      <c r="O18" s="7"/>
      <c r="P18" s="7"/>
      <c r="Q18" s="7"/>
      <c r="R18" s="7"/>
    </row>
    <row r="19" spans="1:18" ht="15.75">
      <c r="A19" s="8"/>
      <c r="B19" s="10"/>
      <c r="C19" s="10"/>
      <c r="D19" s="10"/>
      <c r="E19" s="10"/>
      <c r="F19" s="10"/>
      <c r="G19" s="10"/>
      <c r="H19" s="10"/>
      <c r="I19" s="10"/>
      <c r="J19" s="10"/>
      <c r="K19" s="10"/>
      <c r="L19" s="23"/>
      <c r="M19" s="10"/>
      <c r="N19" s="6"/>
      <c r="O19" s="7"/>
      <c r="P19" s="7"/>
      <c r="Q19" s="7"/>
      <c r="R19" s="7"/>
    </row>
    <row r="20" spans="1:18" ht="15.75">
      <c r="A20" s="8"/>
      <c r="B20" s="10"/>
      <c r="C20" s="24" t="s">
        <v>139</v>
      </c>
      <c r="D20" s="25" t="s">
        <v>143</v>
      </c>
      <c r="E20" s="25"/>
      <c r="F20" s="25" t="s">
        <v>154</v>
      </c>
      <c r="G20" s="25"/>
      <c r="H20" s="25" t="s">
        <v>164</v>
      </c>
      <c r="I20" s="25"/>
      <c r="J20" s="25" t="s">
        <v>174</v>
      </c>
      <c r="K20" s="15"/>
      <c r="L20" s="15"/>
      <c r="M20" s="10"/>
      <c r="N20" s="6"/>
      <c r="O20" s="7"/>
      <c r="P20" s="7"/>
      <c r="Q20" s="7"/>
      <c r="R20" s="7"/>
    </row>
    <row r="21" spans="1:18" ht="15.75">
      <c r="A21" s="26"/>
      <c r="B21" s="27" t="s">
        <v>11</v>
      </c>
      <c r="C21" s="28" t="s">
        <v>140</v>
      </c>
      <c r="D21" s="29" t="s">
        <v>144</v>
      </c>
      <c r="E21" s="29"/>
      <c r="F21" s="29" t="s">
        <v>144</v>
      </c>
      <c r="G21" s="29"/>
      <c r="H21" s="29" t="s">
        <v>165</v>
      </c>
      <c r="I21" s="29"/>
      <c r="J21" s="29" t="s">
        <v>175</v>
      </c>
      <c r="K21" s="30"/>
      <c r="L21" s="30"/>
      <c r="M21" s="27"/>
      <c r="N21" s="6"/>
      <c r="O21" s="7"/>
      <c r="P21" s="7"/>
      <c r="Q21" s="7"/>
      <c r="R21" s="7"/>
    </row>
    <row r="22" spans="1:18" ht="15.75">
      <c r="A22" s="131"/>
      <c r="B22" s="31" t="s">
        <v>12</v>
      </c>
      <c r="C22" s="31"/>
      <c r="D22" s="32" t="s">
        <v>144</v>
      </c>
      <c r="E22" s="32"/>
      <c r="F22" s="32" t="s">
        <v>144</v>
      </c>
      <c r="G22" s="32"/>
      <c r="H22" s="32" t="s">
        <v>165</v>
      </c>
      <c r="I22" s="32"/>
      <c r="J22" s="32" t="s">
        <v>175</v>
      </c>
      <c r="K22" s="33"/>
      <c r="L22" s="30"/>
      <c r="M22" s="27"/>
      <c r="N22" s="6"/>
      <c r="O22" s="7"/>
      <c r="P22" s="7"/>
      <c r="Q22" s="7"/>
      <c r="R22" s="7"/>
    </row>
    <row r="23" spans="1:18" ht="15.75">
      <c r="A23" s="26"/>
      <c r="B23" s="27" t="s">
        <v>13</v>
      </c>
      <c r="C23" s="27"/>
      <c r="D23" s="34" t="s">
        <v>145</v>
      </c>
      <c r="E23" s="29"/>
      <c r="F23" s="34" t="s">
        <v>155</v>
      </c>
      <c r="G23" s="29"/>
      <c r="H23" s="34" t="s">
        <v>166</v>
      </c>
      <c r="I23" s="29"/>
      <c r="J23" s="34" t="s">
        <v>176</v>
      </c>
      <c r="K23" s="30"/>
      <c r="L23" s="30"/>
      <c r="M23" s="27"/>
      <c r="N23" s="6"/>
      <c r="O23" s="7"/>
      <c r="P23" s="7"/>
      <c r="Q23" s="7"/>
      <c r="R23" s="7"/>
    </row>
    <row r="24" spans="1:18" ht="15.75">
      <c r="A24" s="26"/>
      <c r="B24" s="27"/>
      <c r="C24" s="27"/>
      <c r="D24" s="27"/>
      <c r="E24" s="29"/>
      <c r="F24" s="29"/>
      <c r="G24" s="29"/>
      <c r="H24" s="29"/>
      <c r="I24" s="29"/>
      <c r="J24" s="29"/>
      <c r="K24" s="30"/>
      <c r="L24" s="30"/>
      <c r="M24" s="27"/>
      <c r="N24" s="6"/>
      <c r="O24" s="7"/>
      <c r="P24" s="7"/>
      <c r="Q24" s="7"/>
      <c r="R24" s="7"/>
    </row>
    <row r="25" spans="1:18" ht="15.75">
      <c r="A25" s="26"/>
      <c r="B25" s="27" t="s">
        <v>14</v>
      </c>
      <c r="C25" s="27"/>
      <c r="D25" s="35">
        <v>55000</v>
      </c>
      <c r="E25" s="36"/>
      <c r="F25" s="35">
        <v>77000</v>
      </c>
      <c r="G25" s="35"/>
      <c r="H25" s="35">
        <v>33000</v>
      </c>
      <c r="I25" s="35"/>
      <c r="J25" s="35">
        <v>10000</v>
      </c>
      <c r="K25" s="37"/>
      <c r="L25" s="35">
        <f>J25+H25+F25+D25</f>
        <v>175000</v>
      </c>
      <c r="M25" s="38"/>
      <c r="N25" s="6"/>
      <c r="O25" s="7"/>
      <c r="P25" s="7"/>
      <c r="Q25" s="7"/>
      <c r="R25" s="7"/>
    </row>
    <row r="26" spans="1:18" ht="15.75">
      <c r="A26" s="26"/>
      <c r="B26" s="27" t="s">
        <v>15</v>
      </c>
      <c r="C26" s="132">
        <v>0.308843</v>
      </c>
      <c r="D26" s="35">
        <v>16986.365</v>
      </c>
      <c r="E26" s="36"/>
      <c r="F26" s="35">
        <v>77000</v>
      </c>
      <c r="G26" s="35"/>
      <c r="H26" s="35">
        <v>33000</v>
      </c>
      <c r="I26" s="35"/>
      <c r="J26" s="35">
        <v>10000</v>
      </c>
      <c r="K26" s="37"/>
      <c r="L26" s="35">
        <f>J26+H26+F26+D26</f>
        <v>136986.365</v>
      </c>
      <c r="M26" s="38"/>
      <c r="N26" s="6"/>
      <c r="O26" s="7"/>
      <c r="P26" s="7"/>
      <c r="Q26" s="7"/>
      <c r="R26" s="7"/>
    </row>
    <row r="27" spans="1:18" ht="15.75">
      <c r="A27" s="131"/>
      <c r="B27" s="31" t="s">
        <v>16</v>
      </c>
      <c r="C27" s="39">
        <v>0.169589</v>
      </c>
      <c r="D27" s="40">
        <v>9327.395</v>
      </c>
      <c r="E27" s="41"/>
      <c r="F27" s="40">
        <v>77000</v>
      </c>
      <c r="G27" s="40"/>
      <c r="H27" s="40">
        <v>33000</v>
      </c>
      <c r="I27" s="40"/>
      <c r="J27" s="40">
        <v>10000</v>
      </c>
      <c r="K27" s="42"/>
      <c r="L27" s="40">
        <f>J27+H27+F27+D27</f>
        <v>129327.395</v>
      </c>
      <c r="M27" s="43"/>
      <c r="N27" s="6"/>
      <c r="O27" s="7"/>
      <c r="P27" s="7"/>
      <c r="Q27" s="7"/>
      <c r="R27" s="7"/>
    </row>
    <row r="28" spans="1:18" ht="15.75">
      <c r="A28" s="26"/>
      <c r="B28" s="27" t="s">
        <v>17</v>
      </c>
      <c r="C28" s="27"/>
      <c r="D28" s="34" t="s">
        <v>146</v>
      </c>
      <c r="E28" s="27"/>
      <c r="F28" s="34" t="s">
        <v>156</v>
      </c>
      <c r="G28" s="34"/>
      <c r="H28" s="34" t="s">
        <v>167</v>
      </c>
      <c r="I28" s="34"/>
      <c r="J28" s="34" t="s">
        <v>177</v>
      </c>
      <c r="K28" s="30"/>
      <c r="L28" s="30"/>
      <c r="M28" s="27"/>
      <c r="N28" s="6"/>
      <c r="O28" s="7"/>
      <c r="P28" s="7"/>
      <c r="Q28" s="7"/>
      <c r="R28" s="7"/>
    </row>
    <row r="29" spans="1:18" ht="15.75">
      <c r="A29" s="26"/>
      <c r="B29" s="27" t="s">
        <v>18</v>
      </c>
      <c r="C29" s="27"/>
      <c r="D29" s="45">
        <f>(5.28781)/100</f>
        <v>0.052878100000000004</v>
      </c>
      <c r="E29" s="27"/>
      <c r="F29" s="45">
        <f>(5.36781)/100</f>
        <v>0.053678100000000006</v>
      </c>
      <c r="G29" s="46"/>
      <c r="H29" s="45">
        <f>(5.58781)/100</f>
        <v>0.0558781</v>
      </c>
      <c r="I29" s="46"/>
      <c r="J29" s="45">
        <f>(6.10781)/100</f>
        <v>0.061078099999999996</v>
      </c>
      <c r="K29" s="30"/>
      <c r="L29" s="46">
        <f>SUMPRODUCT(D29:J29,D26:J26)/L26</f>
        <v>0.054649079177380176</v>
      </c>
      <c r="M29" s="27"/>
      <c r="N29" s="6"/>
      <c r="O29" s="7"/>
      <c r="P29" s="7"/>
      <c r="Q29" s="7"/>
      <c r="R29" s="7"/>
    </row>
    <row r="30" spans="1:18" ht="15.75">
      <c r="A30" s="26"/>
      <c r="B30" s="27" t="s">
        <v>19</v>
      </c>
      <c r="C30" s="27"/>
      <c r="D30" s="45">
        <f>(5.42406)/100</f>
        <v>0.0542406</v>
      </c>
      <c r="E30" s="27"/>
      <c r="F30" s="45">
        <f>(5.50406)/100</f>
        <v>0.0550406</v>
      </c>
      <c r="G30" s="46"/>
      <c r="H30" s="45">
        <f>(5.72406)/100</f>
        <v>0.057240599999999996</v>
      </c>
      <c r="I30" s="46"/>
      <c r="J30" s="45">
        <f>(6.24406)/100</f>
        <v>0.0624406</v>
      </c>
      <c r="K30" s="30"/>
      <c r="L30" s="30"/>
      <c r="M30" s="27"/>
      <c r="N30" s="6"/>
      <c r="O30" s="7"/>
      <c r="P30" s="7"/>
      <c r="Q30" s="7"/>
      <c r="R30" s="7"/>
    </row>
    <row r="31" spans="1:18" ht="15.75">
      <c r="A31" s="26"/>
      <c r="B31" s="27" t="s">
        <v>20</v>
      </c>
      <c r="C31" s="27"/>
      <c r="D31" s="34" t="s">
        <v>147</v>
      </c>
      <c r="E31" s="27"/>
      <c r="F31" s="34" t="s">
        <v>157</v>
      </c>
      <c r="G31" s="34"/>
      <c r="H31" s="34" t="s">
        <v>157</v>
      </c>
      <c r="I31" s="34"/>
      <c r="J31" s="34" t="s">
        <v>157</v>
      </c>
      <c r="K31" s="30"/>
      <c r="L31" s="30"/>
      <c r="M31" s="27"/>
      <c r="N31" s="6"/>
      <c r="O31" s="7"/>
      <c r="P31" s="7"/>
      <c r="Q31" s="7"/>
      <c r="R31" s="7"/>
    </row>
    <row r="32" spans="1:18" ht="15.75">
      <c r="A32" s="26"/>
      <c r="B32" s="27" t="s">
        <v>21</v>
      </c>
      <c r="C32" s="27"/>
      <c r="D32" s="34" t="s">
        <v>148</v>
      </c>
      <c r="E32" s="27"/>
      <c r="F32" s="34" t="s">
        <v>158</v>
      </c>
      <c r="G32" s="34"/>
      <c r="H32" s="34" t="s">
        <v>158</v>
      </c>
      <c r="I32" s="34"/>
      <c r="J32" s="34" t="s">
        <v>158</v>
      </c>
      <c r="K32" s="30"/>
      <c r="L32" s="30"/>
      <c r="M32" s="27"/>
      <c r="N32" s="6"/>
      <c r="O32" s="7"/>
      <c r="P32" s="7"/>
      <c r="Q32" s="7"/>
      <c r="R32" s="7"/>
    </row>
    <row r="33" spans="1:18" ht="15.75">
      <c r="A33" s="26"/>
      <c r="B33" s="27" t="s">
        <v>22</v>
      </c>
      <c r="C33" s="27"/>
      <c r="D33" s="34" t="s">
        <v>149</v>
      </c>
      <c r="E33" s="27"/>
      <c r="F33" s="34" t="s">
        <v>159</v>
      </c>
      <c r="G33" s="34"/>
      <c r="H33" s="34" t="s">
        <v>168</v>
      </c>
      <c r="I33" s="34"/>
      <c r="J33" s="34" t="s">
        <v>178</v>
      </c>
      <c r="K33" s="30"/>
      <c r="L33" s="30"/>
      <c r="M33" s="27"/>
      <c r="N33" s="6"/>
      <c r="O33" s="7"/>
      <c r="P33" s="7"/>
      <c r="Q33" s="7"/>
      <c r="R33" s="7"/>
    </row>
    <row r="34" spans="1:18" ht="15.75">
      <c r="A34" s="26"/>
      <c r="B34" s="27"/>
      <c r="C34" s="27"/>
      <c r="D34" s="47"/>
      <c r="E34" s="47"/>
      <c r="F34" s="27"/>
      <c r="G34" s="47"/>
      <c r="H34" s="47"/>
      <c r="I34" s="47"/>
      <c r="J34" s="47"/>
      <c r="K34" s="47"/>
      <c r="L34" s="47"/>
      <c r="M34" s="27"/>
      <c r="N34" s="6"/>
      <c r="O34" s="7"/>
      <c r="P34" s="7"/>
      <c r="Q34" s="7"/>
      <c r="R34" s="7"/>
    </row>
    <row r="35" spans="1:18" ht="15.75">
      <c r="A35" s="26"/>
      <c r="B35" s="27" t="s">
        <v>23</v>
      </c>
      <c r="C35" s="27"/>
      <c r="D35" s="27"/>
      <c r="E35" s="27"/>
      <c r="F35" s="27"/>
      <c r="G35" s="27"/>
      <c r="H35" s="27"/>
      <c r="I35" s="27"/>
      <c r="J35" s="27"/>
      <c r="K35" s="27"/>
      <c r="L35" s="46">
        <f>(H25+J25)/(D25+F25)</f>
        <v>0.32575757575757575</v>
      </c>
      <c r="M35" s="27"/>
      <c r="N35" s="6"/>
      <c r="O35" s="7"/>
      <c r="P35" s="7"/>
      <c r="Q35" s="7"/>
      <c r="R35" s="7"/>
    </row>
    <row r="36" spans="1:18" ht="15.75">
      <c r="A36" s="26"/>
      <c r="B36" s="27" t="s">
        <v>24</v>
      </c>
      <c r="C36" s="133"/>
      <c r="D36" s="27"/>
      <c r="E36" s="27"/>
      <c r="F36" s="27"/>
      <c r="G36" s="27"/>
      <c r="H36" s="27"/>
      <c r="I36" s="27"/>
      <c r="J36" s="27"/>
      <c r="K36" s="27"/>
      <c r="L36" s="46">
        <f>(H27+J27)/(D27+F27)</f>
        <v>0.4981037595307955</v>
      </c>
      <c r="M36" s="27"/>
      <c r="N36" s="6"/>
      <c r="O36" s="7"/>
      <c r="P36" s="7"/>
      <c r="Q36" s="7"/>
      <c r="R36" s="7"/>
    </row>
    <row r="37" spans="1:18" ht="15.75">
      <c r="A37" s="26"/>
      <c r="B37" s="27" t="s">
        <v>25</v>
      </c>
      <c r="C37" s="133"/>
      <c r="D37" s="27"/>
      <c r="E37" s="27"/>
      <c r="F37" s="27"/>
      <c r="G37" s="27"/>
      <c r="H37" s="27"/>
      <c r="I37" s="27"/>
      <c r="J37" s="34" t="s">
        <v>179</v>
      </c>
      <c r="K37" s="34" t="s">
        <v>188</v>
      </c>
      <c r="L37" s="35">
        <v>44500000</v>
      </c>
      <c r="M37" s="27"/>
      <c r="N37" s="6"/>
      <c r="O37" s="7"/>
      <c r="P37" s="7"/>
      <c r="Q37" s="7"/>
      <c r="R37" s="7"/>
    </row>
    <row r="38" spans="1:18" ht="15.75">
      <c r="A38" s="26"/>
      <c r="B38" s="27"/>
      <c r="C38" s="133"/>
      <c r="D38" s="27"/>
      <c r="E38" s="27"/>
      <c r="F38" s="27"/>
      <c r="G38" s="27"/>
      <c r="H38" s="27"/>
      <c r="I38" s="27"/>
      <c r="J38" s="27"/>
      <c r="K38" s="27"/>
      <c r="L38" s="48"/>
      <c r="M38" s="27"/>
      <c r="N38" s="6"/>
      <c r="O38" s="7"/>
      <c r="P38" s="7"/>
      <c r="Q38" s="7"/>
      <c r="R38" s="7"/>
    </row>
    <row r="39" spans="1:18" ht="15.75">
      <c r="A39" s="26"/>
      <c r="B39" s="27" t="s">
        <v>26</v>
      </c>
      <c r="C39" s="133"/>
      <c r="D39" s="27"/>
      <c r="E39" s="27"/>
      <c r="F39" s="27"/>
      <c r="G39" s="27"/>
      <c r="H39" s="27"/>
      <c r="I39" s="27"/>
      <c r="J39" s="34"/>
      <c r="K39" s="34"/>
      <c r="L39" s="34" t="s">
        <v>193</v>
      </c>
      <c r="M39" s="27"/>
      <c r="N39" s="6"/>
      <c r="O39" s="7"/>
      <c r="P39" s="7"/>
      <c r="Q39" s="7"/>
      <c r="R39" s="7"/>
    </row>
    <row r="40" spans="1:18" ht="15.75">
      <c r="A40" s="131"/>
      <c r="B40" s="31" t="s">
        <v>27</v>
      </c>
      <c r="C40" s="31"/>
      <c r="D40" s="31"/>
      <c r="E40" s="31"/>
      <c r="F40" s="31"/>
      <c r="G40" s="31"/>
      <c r="H40" s="31"/>
      <c r="I40" s="31"/>
      <c r="J40" s="49"/>
      <c r="K40" s="49"/>
      <c r="L40" s="50">
        <v>36433</v>
      </c>
      <c r="M40" s="27"/>
      <c r="N40" s="6"/>
      <c r="O40" s="7"/>
      <c r="P40" s="7"/>
      <c r="Q40" s="7"/>
      <c r="R40" s="7"/>
    </row>
    <row r="41" spans="1:18" ht="15.75">
      <c r="A41" s="26"/>
      <c r="B41" s="27" t="s">
        <v>28</v>
      </c>
      <c r="C41" s="27"/>
      <c r="D41" s="27"/>
      <c r="E41" s="27"/>
      <c r="F41" s="27"/>
      <c r="G41" s="27"/>
      <c r="H41" s="27"/>
      <c r="I41" s="27">
        <f>L41-J41+1</f>
        <v>91</v>
      </c>
      <c r="J41" s="51">
        <v>36250</v>
      </c>
      <c r="K41" s="52"/>
      <c r="L41" s="51">
        <v>36340</v>
      </c>
      <c r="M41" s="27"/>
      <c r="N41" s="6"/>
      <c r="O41" s="7"/>
      <c r="P41" s="7"/>
      <c r="Q41" s="7"/>
      <c r="R41" s="7"/>
    </row>
    <row r="42" spans="1:18" ht="15.75">
      <c r="A42" s="26"/>
      <c r="B42" s="27" t="s">
        <v>29</v>
      </c>
      <c r="C42" s="27"/>
      <c r="D42" s="27"/>
      <c r="E42" s="27"/>
      <c r="F42" s="27"/>
      <c r="G42" s="27"/>
      <c r="H42" s="27"/>
      <c r="I42" s="27">
        <f>L42-J42+1</f>
        <v>92</v>
      </c>
      <c r="J42" s="51">
        <v>36341</v>
      </c>
      <c r="K42" s="52"/>
      <c r="L42" s="51">
        <v>36432</v>
      </c>
      <c r="M42" s="27"/>
      <c r="N42" s="6"/>
      <c r="O42" s="7"/>
      <c r="P42" s="7"/>
      <c r="Q42" s="7"/>
      <c r="R42" s="7"/>
    </row>
    <row r="43" spans="1:18" ht="15.75">
      <c r="A43" s="26"/>
      <c r="B43" s="27" t="s">
        <v>30</v>
      </c>
      <c r="C43" s="27"/>
      <c r="D43" s="27"/>
      <c r="E43" s="27"/>
      <c r="F43" s="27"/>
      <c r="G43" s="27"/>
      <c r="H43" s="27"/>
      <c r="I43" s="27"/>
      <c r="J43" s="51"/>
      <c r="K43" s="52"/>
      <c r="L43" s="51" t="s">
        <v>194</v>
      </c>
      <c r="M43" s="27"/>
      <c r="N43" s="6"/>
      <c r="O43" s="7"/>
      <c r="P43" s="7"/>
      <c r="Q43" s="7"/>
      <c r="R43" s="7"/>
    </row>
    <row r="44" spans="1:18" ht="15.75">
      <c r="A44" s="26"/>
      <c r="B44" s="27" t="s">
        <v>31</v>
      </c>
      <c r="C44" s="27"/>
      <c r="D44" s="27"/>
      <c r="E44" s="27"/>
      <c r="F44" s="27"/>
      <c r="G44" s="27"/>
      <c r="H44" s="27"/>
      <c r="I44" s="27"/>
      <c r="J44" s="51"/>
      <c r="K44" s="52"/>
      <c r="L44" s="51">
        <v>36424</v>
      </c>
      <c r="M44" s="27"/>
      <c r="N44" s="6"/>
      <c r="O44" s="7"/>
      <c r="P44" s="7"/>
      <c r="Q44" s="7"/>
      <c r="R44" s="7"/>
    </row>
    <row r="45" spans="1:18" ht="15.75">
      <c r="A45" s="26"/>
      <c r="B45" s="27"/>
      <c r="C45" s="27"/>
      <c r="D45" s="27"/>
      <c r="E45" s="27"/>
      <c r="F45" s="27"/>
      <c r="G45" s="27"/>
      <c r="H45" s="27"/>
      <c r="I45" s="27"/>
      <c r="J45" s="27"/>
      <c r="K45" s="27"/>
      <c r="L45" s="53"/>
      <c r="M45" s="27"/>
      <c r="N45" s="6"/>
      <c r="O45" s="7"/>
      <c r="P45" s="7"/>
      <c r="Q45" s="7"/>
      <c r="R45" s="7"/>
    </row>
    <row r="46" spans="1:18" ht="15.75">
      <c r="A46" s="8"/>
      <c r="B46" s="10"/>
      <c r="C46" s="10"/>
      <c r="D46" s="10"/>
      <c r="E46" s="10"/>
      <c r="F46" s="10"/>
      <c r="G46" s="10"/>
      <c r="H46" s="10"/>
      <c r="I46" s="10"/>
      <c r="J46" s="10"/>
      <c r="K46" s="10"/>
      <c r="L46" s="58"/>
      <c r="M46" s="10"/>
      <c r="N46" s="6"/>
      <c r="O46" s="7"/>
      <c r="P46" s="7"/>
      <c r="Q46" s="7"/>
      <c r="R46" s="7"/>
    </row>
    <row r="47" spans="1:18" ht="15.75">
      <c r="A47" s="2"/>
      <c r="B47" s="55" t="s">
        <v>32</v>
      </c>
      <c r="C47" s="56"/>
      <c r="D47" s="5"/>
      <c r="E47" s="5"/>
      <c r="F47" s="5"/>
      <c r="G47" s="5"/>
      <c r="H47" s="5"/>
      <c r="I47" s="5"/>
      <c r="J47" s="5"/>
      <c r="K47" s="5"/>
      <c r="L47" s="57"/>
      <c r="M47" s="5"/>
      <c r="N47" s="6"/>
      <c r="O47" s="7"/>
      <c r="P47" s="7"/>
      <c r="Q47" s="7"/>
      <c r="R47" s="7"/>
    </row>
    <row r="48" spans="1:18" ht="15.75">
      <c r="A48" s="8"/>
      <c r="B48" s="16"/>
      <c r="C48" s="16"/>
      <c r="D48" s="10"/>
      <c r="E48" s="10"/>
      <c r="F48" s="10"/>
      <c r="G48" s="10"/>
      <c r="H48" s="10"/>
      <c r="I48" s="10"/>
      <c r="J48" s="10"/>
      <c r="K48" s="10"/>
      <c r="L48" s="58"/>
      <c r="M48" s="10"/>
      <c r="N48" s="6"/>
      <c r="O48" s="7"/>
      <c r="P48" s="7"/>
      <c r="Q48" s="7"/>
      <c r="R48" s="7"/>
    </row>
    <row r="49" spans="1:18" ht="63">
      <c r="A49" s="8"/>
      <c r="B49" s="59" t="s">
        <v>33</v>
      </c>
      <c r="C49" s="60" t="s">
        <v>141</v>
      </c>
      <c r="D49" s="60" t="s">
        <v>150</v>
      </c>
      <c r="E49" s="60"/>
      <c r="F49" s="60" t="s">
        <v>160</v>
      </c>
      <c r="G49" s="60"/>
      <c r="H49" s="60" t="s">
        <v>169</v>
      </c>
      <c r="I49" s="60"/>
      <c r="J49" s="60" t="s">
        <v>180</v>
      </c>
      <c r="K49" s="60"/>
      <c r="L49" s="61" t="s">
        <v>195</v>
      </c>
      <c r="M49" s="10"/>
      <c r="N49" s="6"/>
      <c r="O49" s="7"/>
      <c r="P49" s="7"/>
      <c r="Q49" s="7"/>
      <c r="R49" s="7"/>
    </row>
    <row r="50" spans="1:18" ht="15.75">
      <c r="A50" s="26"/>
      <c r="B50" s="27" t="s">
        <v>34</v>
      </c>
      <c r="C50" s="38">
        <v>165784</v>
      </c>
      <c r="D50" s="38">
        <v>136222</v>
      </c>
      <c r="E50" s="38"/>
      <c r="F50" s="38">
        <f>6424+373</f>
        <v>6797</v>
      </c>
      <c r="G50" s="38"/>
      <c r="H50" s="38">
        <v>0</v>
      </c>
      <c r="I50" s="38"/>
      <c r="J50" s="38">
        <v>0</v>
      </c>
      <c r="K50" s="38"/>
      <c r="L50" s="62">
        <f>D50-F50+H50-J50</f>
        <v>129425</v>
      </c>
      <c r="M50" s="27"/>
      <c r="N50" s="6"/>
      <c r="O50" s="7"/>
      <c r="P50" s="7"/>
      <c r="Q50" s="7"/>
      <c r="R50" s="7"/>
    </row>
    <row r="51" spans="1:18" ht="15.75">
      <c r="A51" s="26"/>
      <c r="B51" s="27" t="s">
        <v>35</v>
      </c>
      <c r="C51" s="38">
        <v>19105</v>
      </c>
      <c r="D51" s="38">
        <v>9795</v>
      </c>
      <c r="E51" s="38"/>
      <c r="F51" s="38">
        <f>J74</f>
        <v>1236</v>
      </c>
      <c r="G51" s="38"/>
      <c r="H51" s="38">
        <v>0</v>
      </c>
      <c r="I51" s="38"/>
      <c r="J51" s="38">
        <v>0</v>
      </c>
      <c r="K51" s="38"/>
      <c r="L51" s="62">
        <f>D51-F51</f>
        <v>8559</v>
      </c>
      <c r="M51" s="27"/>
      <c r="N51" s="6"/>
      <c r="O51" s="7"/>
      <c r="P51" s="7"/>
      <c r="Q51" s="7"/>
      <c r="R51" s="7"/>
    </row>
    <row r="52" spans="1:18" ht="15.75">
      <c r="A52" s="26"/>
      <c r="B52" s="27"/>
      <c r="C52" s="38"/>
      <c r="D52" s="38"/>
      <c r="E52" s="38"/>
      <c r="F52" s="38"/>
      <c r="G52" s="38"/>
      <c r="H52" s="38"/>
      <c r="I52" s="38"/>
      <c r="J52" s="38"/>
      <c r="K52" s="38"/>
      <c r="L52" s="62"/>
      <c r="M52" s="27"/>
      <c r="N52" s="6"/>
      <c r="O52" s="7"/>
      <c r="P52" s="7"/>
      <c r="Q52" s="7"/>
      <c r="R52" s="7"/>
    </row>
    <row r="53" spans="1:18" ht="15.75">
      <c r="A53" s="26"/>
      <c r="B53" s="27" t="s">
        <v>36</v>
      </c>
      <c r="C53" s="38">
        <f>SUM(C50:C52)</f>
        <v>184889</v>
      </c>
      <c r="D53" s="38">
        <f>SUM(D50:D52)</f>
        <v>146017</v>
      </c>
      <c r="E53" s="38"/>
      <c r="F53" s="38">
        <f>SUM(F50:F52)</f>
        <v>8033</v>
      </c>
      <c r="G53" s="38"/>
      <c r="H53" s="38">
        <f>SUM(H50:H52)</f>
        <v>0</v>
      </c>
      <c r="I53" s="38"/>
      <c r="J53" s="38">
        <f>SUM(J50:J52)</f>
        <v>0</v>
      </c>
      <c r="K53" s="38"/>
      <c r="L53" s="63">
        <f>SUM(L50:L52)</f>
        <v>137984</v>
      </c>
      <c r="M53" s="27"/>
      <c r="N53" s="6"/>
      <c r="O53" s="7"/>
      <c r="P53" s="7"/>
      <c r="Q53" s="7"/>
      <c r="R53" s="7"/>
    </row>
    <row r="54" spans="1:18" ht="15.75">
      <c r="A54" s="26"/>
      <c r="B54" s="27"/>
      <c r="C54" s="38"/>
      <c r="D54" s="38"/>
      <c r="E54" s="38"/>
      <c r="F54" s="38"/>
      <c r="G54" s="38"/>
      <c r="H54" s="38"/>
      <c r="I54" s="38"/>
      <c r="J54" s="38"/>
      <c r="K54" s="38"/>
      <c r="L54" s="63"/>
      <c r="M54" s="27"/>
      <c r="N54" s="6"/>
      <c r="O54" s="7"/>
      <c r="P54" s="7"/>
      <c r="Q54" s="7"/>
      <c r="R54" s="7"/>
    </row>
    <row r="55" spans="1:18" ht="15.75">
      <c r="A55" s="8"/>
      <c r="B55" s="12" t="s">
        <v>37</v>
      </c>
      <c r="C55" s="64"/>
      <c r="D55" s="64"/>
      <c r="E55" s="64"/>
      <c r="F55" s="64"/>
      <c r="G55" s="64"/>
      <c r="H55" s="64"/>
      <c r="I55" s="64"/>
      <c r="J55" s="64"/>
      <c r="K55" s="64"/>
      <c r="L55" s="65"/>
      <c r="M55" s="10"/>
      <c r="N55" s="66"/>
      <c r="O55" s="7"/>
      <c r="P55" s="7"/>
      <c r="Q55" s="7"/>
      <c r="R55" s="7"/>
    </row>
    <row r="56" spans="1:18" ht="15.75">
      <c r="A56" s="8"/>
      <c r="B56" s="10"/>
      <c r="C56" s="64"/>
      <c r="D56" s="64"/>
      <c r="E56" s="64"/>
      <c r="F56" s="64"/>
      <c r="G56" s="64"/>
      <c r="H56" s="64"/>
      <c r="I56" s="64"/>
      <c r="J56" s="64"/>
      <c r="K56" s="64"/>
      <c r="L56" s="65"/>
      <c r="M56" s="10"/>
      <c r="N56" s="6"/>
      <c r="O56" s="7"/>
      <c r="P56" s="7"/>
      <c r="Q56" s="7"/>
      <c r="R56" s="7"/>
    </row>
    <row r="57" spans="1:18" ht="15.75">
      <c r="A57" s="26"/>
      <c r="B57" s="27" t="s">
        <v>34</v>
      </c>
      <c r="C57" s="38"/>
      <c r="D57" s="38"/>
      <c r="E57" s="38"/>
      <c r="F57" s="38"/>
      <c r="G57" s="38"/>
      <c r="H57" s="38"/>
      <c r="I57" s="38"/>
      <c r="J57" s="38"/>
      <c r="K57" s="38"/>
      <c r="L57" s="63"/>
      <c r="M57" s="27"/>
      <c r="N57" s="6"/>
      <c r="O57" s="7"/>
      <c r="P57" s="7"/>
      <c r="Q57" s="7"/>
      <c r="R57" s="7"/>
    </row>
    <row r="58" spans="1:18" ht="15.75">
      <c r="A58" s="26"/>
      <c r="B58" s="27" t="s">
        <v>35</v>
      </c>
      <c r="C58" s="38"/>
      <c r="D58" s="38"/>
      <c r="E58" s="38"/>
      <c r="F58" s="38"/>
      <c r="G58" s="38"/>
      <c r="H58" s="38"/>
      <c r="I58" s="38"/>
      <c r="J58" s="38"/>
      <c r="K58" s="38"/>
      <c r="L58" s="63"/>
      <c r="M58" s="27"/>
      <c r="N58" s="6"/>
      <c r="O58" s="7"/>
      <c r="P58" s="7"/>
      <c r="Q58" s="7"/>
      <c r="R58" s="7"/>
    </row>
    <row r="59" spans="1:18" ht="15.75">
      <c r="A59" s="26"/>
      <c r="B59" s="27"/>
      <c r="C59" s="38"/>
      <c r="D59" s="38"/>
      <c r="E59" s="38"/>
      <c r="F59" s="38"/>
      <c r="G59" s="38"/>
      <c r="H59" s="38"/>
      <c r="I59" s="38"/>
      <c r="J59" s="38"/>
      <c r="K59" s="38"/>
      <c r="L59" s="63"/>
      <c r="M59" s="27"/>
      <c r="N59" s="6"/>
      <c r="O59" s="7"/>
      <c r="P59" s="7"/>
      <c r="Q59" s="7"/>
      <c r="R59" s="7"/>
    </row>
    <row r="60" spans="1:18" ht="15.75">
      <c r="A60" s="26"/>
      <c r="B60" s="27" t="s">
        <v>36</v>
      </c>
      <c r="C60" s="38"/>
      <c r="D60" s="38"/>
      <c r="E60" s="38"/>
      <c r="F60" s="38"/>
      <c r="G60" s="38"/>
      <c r="H60" s="38"/>
      <c r="I60" s="38"/>
      <c r="J60" s="38"/>
      <c r="K60" s="38"/>
      <c r="L60" s="38"/>
      <c r="M60" s="27"/>
      <c r="N60" s="66"/>
      <c r="O60" s="7"/>
      <c r="P60" s="7"/>
      <c r="Q60" s="7"/>
      <c r="R60" s="7"/>
    </row>
    <row r="61" spans="1:18" ht="15.75">
      <c r="A61" s="26"/>
      <c r="B61" s="27"/>
      <c r="C61" s="38"/>
      <c r="D61" s="38"/>
      <c r="E61" s="38"/>
      <c r="F61" s="38"/>
      <c r="G61" s="38"/>
      <c r="H61" s="38"/>
      <c r="I61" s="38"/>
      <c r="J61" s="38"/>
      <c r="K61" s="38"/>
      <c r="L61" s="38"/>
      <c r="M61" s="27"/>
      <c r="N61" s="6"/>
      <c r="O61" s="7"/>
      <c r="P61" s="7"/>
      <c r="Q61" s="7"/>
      <c r="R61" s="7"/>
    </row>
    <row r="62" spans="1:18" ht="15.75">
      <c r="A62" s="26"/>
      <c r="B62" s="27" t="s">
        <v>38</v>
      </c>
      <c r="C62" s="38">
        <v>-9889</v>
      </c>
      <c r="D62" s="38">
        <v>-9889</v>
      </c>
      <c r="E62" s="38"/>
      <c r="F62" s="38"/>
      <c r="G62" s="38"/>
      <c r="H62" s="38"/>
      <c r="I62" s="38"/>
      <c r="J62" s="38"/>
      <c r="K62" s="38"/>
      <c r="L62" s="62">
        <f>D62-F62+H62-J62</f>
        <v>-9889</v>
      </c>
      <c r="M62" s="27"/>
      <c r="N62" s="6"/>
      <c r="O62" s="7"/>
      <c r="P62" s="7"/>
      <c r="Q62" s="7"/>
      <c r="R62" s="7"/>
    </row>
    <row r="63" spans="1:18" ht="15.75">
      <c r="A63" s="26"/>
      <c r="B63" s="27" t="s">
        <v>39</v>
      </c>
      <c r="C63" s="38">
        <v>0</v>
      </c>
      <c r="D63" s="38">
        <v>0</v>
      </c>
      <c r="E63" s="38"/>
      <c r="F63" s="38"/>
      <c r="G63" s="38"/>
      <c r="H63" s="38"/>
      <c r="I63" s="38"/>
      <c r="J63" s="38"/>
      <c r="K63" s="38"/>
      <c r="L63" s="63">
        <v>0</v>
      </c>
      <c r="M63" s="27"/>
      <c r="N63" s="6"/>
      <c r="O63" s="7"/>
      <c r="P63" s="7"/>
      <c r="Q63" s="7"/>
      <c r="R63" s="7"/>
    </row>
    <row r="64" spans="1:18" ht="15.75">
      <c r="A64" s="26"/>
      <c r="B64" s="27" t="s">
        <v>40</v>
      </c>
      <c r="C64" s="38">
        <v>0</v>
      </c>
      <c r="D64" s="38">
        <f>L120</f>
        <v>858</v>
      </c>
      <c r="E64" s="38"/>
      <c r="F64" s="38"/>
      <c r="G64" s="38"/>
      <c r="H64" s="38"/>
      <c r="I64" s="38"/>
      <c r="J64" s="38"/>
      <c r="K64" s="38"/>
      <c r="L64" s="63">
        <f>L124</f>
        <v>1232</v>
      </c>
      <c r="M64" s="27"/>
      <c r="N64" s="6"/>
      <c r="O64" s="7"/>
      <c r="P64" s="7"/>
      <c r="Q64" s="7"/>
      <c r="R64" s="7"/>
    </row>
    <row r="65" spans="1:18" ht="15.75">
      <c r="A65" s="26"/>
      <c r="B65" s="27" t="s">
        <v>41</v>
      </c>
      <c r="C65" s="63">
        <f>SUM(C53:C64)</f>
        <v>175000</v>
      </c>
      <c r="D65" s="63">
        <f>SUM(D53:D64)</f>
        <v>136986</v>
      </c>
      <c r="E65" s="38"/>
      <c r="F65" s="63"/>
      <c r="G65" s="38"/>
      <c r="H65" s="63"/>
      <c r="I65" s="38"/>
      <c r="J65" s="63"/>
      <c r="K65" s="38"/>
      <c r="L65" s="63">
        <f>SUM(L53:L64)</f>
        <v>129327</v>
      </c>
      <c r="M65" s="27"/>
      <c r="N65" s="6"/>
      <c r="O65" s="7"/>
      <c r="P65" s="7"/>
      <c r="Q65" s="7"/>
      <c r="R65" s="7"/>
    </row>
    <row r="66" spans="1:18" ht="15.75">
      <c r="A66" s="26"/>
      <c r="B66" s="27"/>
      <c r="C66" s="38"/>
      <c r="D66" s="38"/>
      <c r="E66" s="38"/>
      <c r="F66" s="38"/>
      <c r="G66" s="38"/>
      <c r="H66" s="38"/>
      <c r="I66" s="38"/>
      <c r="J66" s="38"/>
      <c r="K66" s="38"/>
      <c r="L66" s="63"/>
      <c r="M66" s="27"/>
      <c r="N66" s="6"/>
      <c r="O66" s="7"/>
      <c r="P66" s="7"/>
      <c r="Q66" s="7"/>
      <c r="R66" s="7"/>
    </row>
    <row r="67" spans="1:18" ht="15.75">
      <c r="A67" s="8"/>
      <c r="B67" s="10"/>
      <c r="C67" s="10"/>
      <c r="D67" s="10"/>
      <c r="E67" s="10"/>
      <c r="F67" s="10"/>
      <c r="G67" s="10"/>
      <c r="H67" s="10"/>
      <c r="I67" s="10"/>
      <c r="J67" s="10"/>
      <c r="K67" s="10"/>
      <c r="L67" s="10"/>
      <c r="M67" s="10"/>
      <c r="N67" s="6"/>
      <c r="O67" s="7"/>
      <c r="P67" s="7"/>
      <c r="Q67" s="7"/>
      <c r="R67" s="7"/>
    </row>
    <row r="68" spans="1:18" ht="15.75">
      <c r="A68" s="8"/>
      <c r="B68" s="67" t="s">
        <v>42</v>
      </c>
      <c r="C68" s="17"/>
      <c r="D68" s="17"/>
      <c r="E68" s="17"/>
      <c r="F68" s="17"/>
      <c r="G68" s="17"/>
      <c r="H68" s="17"/>
      <c r="I68" s="20"/>
      <c r="J68" s="20" t="s">
        <v>181</v>
      </c>
      <c r="K68" s="20"/>
      <c r="L68" s="20" t="s">
        <v>196</v>
      </c>
      <c r="M68" s="10"/>
      <c r="N68" s="6"/>
      <c r="O68" s="7"/>
      <c r="P68" s="7"/>
      <c r="Q68" s="7"/>
      <c r="R68" s="7"/>
    </row>
    <row r="69" spans="1:18" ht="15.75">
      <c r="A69" s="26"/>
      <c r="B69" s="27" t="s">
        <v>43</v>
      </c>
      <c r="C69" s="27"/>
      <c r="D69" s="27"/>
      <c r="E69" s="27"/>
      <c r="F69" s="27"/>
      <c r="G69" s="27"/>
      <c r="H69" s="27"/>
      <c r="I69" s="27"/>
      <c r="J69" s="38">
        <v>0</v>
      </c>
      <c r="K69" s="27"/>
      <c r="L69" s="62">
        <v>0</v>
      </c>
      <c r="M69" s="27"/>
      <c r="N69" s="6"/>
      <c r="O69" s="7"/>
      <c r="P69" s="7"/>
      <c r="Q69" s="7"/>
      <c r="R69" s="7"/>
    </row>
    <row r="70" spans="1:18" ht="15.75">
      <c r="A70" s="26"/>
      <c r="B70" s="27" t="s">
        <v>44</v>
      </c>
      <c r="C70" s="47" t="s">
        <v>142</v>
      </c>
      <c r="D70" s="68">
        <v>36424</v>
      </c>
      <c r="E70" s="27"/>
      <c r="F70" s="27"/>
      <c r="G70" s="27"/>
      <c r="H70" s="27"/>
      <c r="I70" s="27"/>
      <c r="J70" s="38">
        <f>436+2629+1771+1761+479+39-692</f>
        <v>6423</v>
      </c>
      <c r="K70" s="27"/>
      <c r="L70" s="62"/>
      <c r="M70" s="27"/>
      <c r="N70" s="6"/>
      <c r="O70" s="7"/>
      <c r="P70" s="7"/>
      <c r="Q70" s="7"/>
      <c r="R70" s="7"/>
    </row>
    <row r="71" spans="1:18" ht="15.75">
      <c r="A71" s="26"/>
      <c r="B71" s="27" t="s">
        <v>45</v>
      </c>
      <c r="C71" s="27"/>
      <c r="D71" s="27"/>
      <c r="E71" s="27"/>
      <c r="F71" s="27"/>
      <c r="G71" s="27"/>
      <c r="H71" s="27"/>
      <c r="I71" s="27"/>
      <c r="J71" s="38"/>
      <c r="K71" s="27"/>
      <c r="L71" s="62">
        <f>1068+20+372+981+26+78+590+1034+54+250-479-39</f>
        <v>3955</v>
      </c>
      <c r="M71" s="27"/>
      <c r="N71" s="6"/>
      <c r="O71" s="7"/>
      <c r="P71" s="7"/>
      <c r="Q71" s="7"/>
      <c r="R71" s="7"/>
    </row>
    <row r="72" spans="1:18" ht="15.75">
      <c r="A72" s="26"/>
      <c r="B72" s="27" t="s">
        <v>46</v>
      </c>
      <c r="C72" s="27"/>
      <c r="D72" s="27"/>
      <c r="E72" s="27"/>
      <c r="F72" s="27"/>
      <c r="G72" s="27"/>
      <c r="H72" s="27"/>
      <c r="I72" s="27"/>
      <c r="J72" s="38"/>
      <c r="K72" s="27"/>
      <c r="L72" s="62"/>
      <c r="M72" s="27"/>
      <c r="N72" s="6"/>
      <c r="O72" s="7"/>
      <c r="P72" s="7"/>
      <c r="Q72" s="7"/>
      <c r="R72" s="7"/>
    </row>
    <row r="73" spans="1:18" ht="15.75">
      <c r="A73" s="26"/>
      <c r="B73" s="27" t="s">
        <v>47</v>
      </c>
      <c r="C73" s="27"/>
      <c r="D73" s="27"/>
      <c r="E73" s="27"/>
      <c r="F73" s="27"/>
      <c r="G73" s="27"/>
      <c r="H73" s="27"/>
      <c r="I73" s="27"/>
      <c r="J73" s="38">
        <f>SUM(J69:J72)</f>
        <v>6423</v>
      </c>
      <c r="K73" s="27"/>
      <c r="L73" s="63">
        <f>SUM(L69:L72)</f>
        <v>3955</v>
      </c>
      <c r="M73" s="27"/>
      <c r="N73" s="6"/>
      <c r="O73" s="7"/>
      <c r="P73" s="7"/>
      <c r="Q73" s="7"/>
      <c r="R73" s="7"/>
    </row>
    <row r="74" spans="1:18" ht="15.75">
      <c r="A74" s="26"/>
      <c r="B74" s="27" t="s">
        <v>48</v>
      </c>
      <c r="C74" s="27"/>
      <c r="D74" s="27"/>
      <c r="E74" s="27"/>
      <c r="F74" s="27"/>
      <c r="G74" s="27"/>
      <c r="H74" s="27"/>
      <c r="I74" s="27"/>
      <c r="J74" s="38">
        <v>1236</v>
      </c>
      <c r="K74" s="27"/>
      <c r="L74" s="62">
        <v>-1236</v>
      </c>
      <c r="M74" s="27"/>
      <c r="N74" s="6"/>
      <c r="O74" s="7"/>
      <c r="P74" s="7"/>
      <c r="Q74" s="7"/>
      <c r="R74" s="7"/>
    </row>
    <row r="75" spans="1:18" ht="15.75">
      <c r="A75" s="26"/>
      <c r="B75" s="27" t="s">
        <v>49</v>
      </c>
      <c r="C75" s="27"/>
      <c r="D75" s="27"/>
      <c r="E75" s="27"/>
      <c r="F75" s="27"/>
      <c r="G75" s="27"/>
      <c r="H75" s="27"/>
      <c r="I75" s="27"/>
      <c r="J75" s="38">
        <f>J73+J74</f>
        <v>7659</v>
      </c>
      <c r="K75" s="27"/>
      <c r="L75" s="63">
        <f>L73+L74</f>
        <v>2719</v>
      </c>
      <c r="M75" s="27"/>
      <c r="N75" s="6"/>
      <c r="O75" s="7"/>
      <c r="P75" s="7"/>
      <c r="Q75" s="7"/>
      <c r="R75" s="7"/>
    </row>
    <row r="76" spans="1:18" ht="15.75">
      <c r="A76" s="26"/>
      <c r="B76" s="69" t="s">
        <v>50</v>
      </c>
      <c r="C76" s="70"/>
      <c r="D76" s="27"/>
      <c r="E76" s="27"/>
      <c r="F76" s="27"/>
      <c r="G76" s="27"/>
      <c r="H76" s="27"/>
      <c r="I76" s="27"/>
      <c r="J76" s="38"/>
      <c r="K76" s="27"/>
      <c r="L76" s="62"/>
      <c r="M76" s="27"/>
      <c r="N76" s="6"/>
      <c r="O76" s="7"/>
      <c r="P76" s="7"/>
      <c r="Q76" s="7"/>
      <c r="R76" s="7"/>
    </row>
    <row r="77" spans="1:18" ht="15.75">
      <c r="A77" s="26">
        <v>1</v>
      </c>
      <c r="B77" s="27" t="s">
        <v>51</v>
      </c>
      <c r="C77" s="27"/>
      <c r="D77" s="27"/>
      <c r="E77" s="27"/>
      <c r="F77" s="27"/>
      <c r="G77" s="27"/>
      <c r="H77" s="27"/>
      <c r="I77" s="27"/>
      <c r="J77" s="27"/>
      <c r="K77" s="27"/>
      <c r="L77" s="62">
        <v>0</v>
      </c>
      <c r="M77" s="27"/>
      <c r="N77" s="6"/>
      <c r="O77" s="7"/>
      <c r="P77" s="7"/>
      <c r="Q77" s="7"/>
      <c r="R77" s="7"/>
    </row>
    <row r="78" spans="1:18" ht="15.75">
      <c r="A78" s="26">
        <v>2</v>
      </c>
      <c r="B78" s="27" t="s">
        <v>52</v>
      </c>
      <c r="C78" s="27"/>
      <c r="D78" s="27"/>
      <c r="E78" s="27"/>
      <c r="F78" s="27"/>
      <c r="G78" s="27"/>
      <c r="H78" s="27"/>
      <c r="I78" s="27"/>
      <c r="J78" s="27"/>
      <c r="K78" s="27"/>
      <c r="L78" s="62">
        <v>-4</v>
      </c>
      <c r="M78" s="27"/>
      <c r="N78" s="6"/>
      <c r="O78" s="7"/>
      <c r="P78" s="7"/>
      <c r="Q78" s="7"/>
      <c r="R78" s="7"/>
    </row>
    <row r="79" spans="1:18" ht="15.75">
      <c r="A79" s="26">
        <v>3</v>
      </c>
      <c r="B79" s="27" t="s">
        <v>53</v>
      </c>
      <c r="C79" s="27"/>
      <c r="D79" s="27"/>
      <c r="E79" s="27"/>
      <c r="F79" s="27"/>
      <c r="G79" s="27"/>
      <c r="H79" s="27"/>
      <c r="I79" s="27"/>
      <c r="J79" s="27"/>
      <c r="K79" s="27"/>
      <c r="L79" s="62">
        <f>-195-7</f>
        <v>-202</v>
      </c>
      <c r="M79" s="27"/>
      <c r="N79" s="6"/>
      <c r="O79" s="7"/>
      <c r="P79" s="7"/>
      <c r="Q79" s="7"/>
      <c r="R79" s="7"/>
    </row>
    <row r="80" spans="1:18" ht="15.75">
      <c r="A80" s="26">
        <v>4</v>
      </c>
      <c r="B80" s="27" t="s">
        <v>54</v>
      </c>
      <c r="C80" s="27"/>
      <c r="D80" s="27"/>
      <c r="E80" s="27"/>
      <c r="F80" s="27"/>
      <c r="G80" s="27"/>
      <c r="H80" s="27"/>
      <c r="I80" s="27"/>
      <c r="J80" s="27"/>
      <c r="K80" s="27"/>
      <c r="L80" s="62">
        <v>-100</v>
      </c>
      <c r="M80" s="27"/>
      <c r="N80" s="6"/>
      <c r="O80" s="7"/>
      <c r="P80" s="7"/>
      <c r="Q80" s="7"/>
      <c r="R80" s="7"/>
    </row>
    <row r="81" spans="1:18" ht="15.75">
      <c r="A81" s="26">
        <v>5</v>
      </c>
      <c r="B81" s="27" t="s">
        <v>55</v>
      </c>
      <c r="C81" s="27"/>
      <c r="D81" s="27"/>
      <c r="E81" s="27"/>
      <c r="F81" s="27"/>
      <c r="G81" s="27"/>
      <c r="H81" s="27"/>
      <c r="I81" s="27"/>
      <c r="J81" s="27"/>
      <c r="K81" s="27"/>
      <c r="L81" s="62">
        <v>-1268</v>
      </c>
      <c r="M81" s="27"/>
      <c r="N81" s="6"/>
      <c r="O81" s="7"/>
      <c r="P81" s="7"/>
      <c r="Q81" s="7"/>
      <c r="R81" s="7"/>
    </row>
    <row r="82" spans="1:18" ht="15.75">
      <c r="A82" s="26">
        <v>6</v>
      </c>
      <c r="B82" s="27" t="s">
        <v>56</v>
      </c>
      <c r="C82" s="27"/>
      <c r="D82" s="27"/>
      <c r="E82" s="27"/>
      <c r="F82" s="27"/>
      <c r="G82" s="27"/>
      <c r="H82" s="27"/>
      <c r="I82" s="27"/>
      <c r="J82" s="27"/>
      <c r="K82" s="27"/>
      <c r="L82" s="62">
        <v>-3</v>
      </c>
      <c r="M82" s="27"/>
      <c r="N82" s="6"/>
      <c r="O82" s="7"/>
      <c r="P82" s="7"/>
      <c r="Q82" s="7"/>
      <c r="R82" s="7"/>
    </row>
    <row r="83" spans="1:18" ht="15.75">
      <c r="A83" s="26">
        <v>7</v>
      </c>
      <c r="B83" s="27" t="s">
        <v>57</v>
      </c>
      <c r="C83" s="27"/>
      <c r="D83" s="27"/>
      <c r="E83" s="27"/>
      <c r="F83" s="27"/>
      <c r="G83" s="27"/>
      <c r="H83" s="27"/>
      <c r="I83" s="27"/>
      <c r="J83" s="27"/>
      <c r="K83" s="27"/>
      <c r="L83" s="62">
        <v>-465</v>
      </c>
      <c r="M83" s="27"/>
      <c r="N83" s="6"/>
      <c r="O83" s="7"/>
      <c r="P83" s="7"/>
      <c r="Q83" s="7"/>
      <c r="R83" s="7"/>
    </row>
    <row r="84" spans="1:18" ht="15.75">
      <c r="A84" s="26">
        <v>8</v>
      </c>
      <c r="B84" s="27" t="s">
        <v>58</v>
      </c>
      <c r="C84" s="27"/>
      <c r="D84" s="27"/>
      <c r="E84" s="27"/>
      <c r="F84" s="27"/>
      <c r="G84" s="27"/>
      <c r="H84" s="27"/>
      <c r="I84" s="27"/>
      <c r="J84" s="27"/>
      <c r="K84" s="27"/>
      <c r="L84" s="62">
        <v>-154</v>
      </c>
      <c r="M84" s="27"/>
      <c r="N84" s="6"/>
      <c r="O84" s="7"/>
      <c r="P84" s="7"/>
      <c r="Q84" s="7"/>
      <c r="R84" s="7"/>
    </row>
    <row r="85" spans="1:18" ht="15.75">
      <c r="A85" s="26">
        <v>9</v>
      </c>
      <c r="B85" s="27" t="s">
        <v>59</v>
      </c>
      <c r="C85" s="27"/>
      <c r="D85" s="27"/>
      <c r="E85" s="27"/>
      <c r="F85" s="27"/>
      <c r="G85" s="27"/>
      <c r="H85" s="27"/>
      <c r="I85" s="27"/>
      <c r="J85" s="27"/>
      <c r="K85" s="27"/>
      <c r="L85" s="62">
        <v>0</v>
      </c>
      <c r="M85" s="27"/>
      <c r="N85" s="6"/>
      <c r="O85" s="7"/>
      <c r="P85" s="7"/>
      <c r="Q85" s="7"/>
      <c r="R85" s="7"/>
    </row>
    <row r="86" spans="1:18" ht="15.75">
      <c r="A86" s="26">
        <v>10</v>
      </c>
      <c r="B86" s="27" t="s">
        <v>60</v>
      </c>
      <c r="C86" s="27"/>
      <c r="D86" s="27"/>
      <c r="E86" s="27"/>
      <c r="F86" s="27"/>
      <c r="G86" s="27"/>
      <c r="H86" s="27"/>
      <c r="I86" s="27"/>
      <c r="J86" s="27"/>
      <c r="K86" s="27"/>
      <c r="L86" s="62">
        <v>-523</v>
      </c>
      <c r="M86" s="27"/>
      <c r="N86" s="6"/>
      <c r="O86" s="7"/>
      <c r="P86" s="7"/>
      <c r="Q86" s="7"/>
      <c r="R86" s="7"/>
    </row>
    <row r="87" spans="1:18" ht="15.75">
      <c r="A87" s="26">
        <v>11</v>
      </c>
      <c r="B87" s="27" t="s">
        <v>61</v>
      </c>
      <c r="C87" s="27"/>
      <c r="D87" s="27"/>
      <c r="E87" s="27"/>
      <c r="F87" s="27"/>
      <c r="G87" s="27"/>
      <c r="H87" s="27"/>
      <c r="I87" s="27"/>
      <c r="J87" s="27"/>
      <c r="K87" s="27"/>
      <c r="L87" s="62">
        <v>0</v>
      </c>
      <c r="M87" s="27"/>
      <c r="N87" s="6"/>
      <c r="O87" s="7"/>
      <c r="P87" s="7"/>
      <c r="Q87" s="7"/>
      <c r="R87" s="7"/>
    </row>
    <row r="88" spans="1:18" ht="15.75">
      <c r="A88" s="26">
        <v>12</v>
      </c>
      <c r="B88" s="27" t="s">
        <v>62</v>
      </c>
      <c r="C88" s="27"/>
      <c r="D88" s="27"/>
      <c r="E88" s="27"/>
      <c r="F88" s="27"/>
      <c r="G88" s="27"/>
      <c r="H88" s="27"/>
      <c r="I88" s="27"/>
      <c r="J88" s="27"/>
      <c r="K88" s="27"/>
      <c r="L88" s="62">
        <v>0</v>
      </c>
      <c r="M88" s="27"/>
      <c r="N88" s="6"/>
      <c r="O88" s="7"/>
      <c r="P88" s="7"/>
      <c r="Q88" s="7"/>
      <c r="R88" s="7"/>
    </row>
    <row r="89" spans="1:18" ht="15.75">
      <c r="A89" s="26">
        <v>13</v>
      </c>
      <c r="B89" s="27" t="s">
        <v>63</v>
      </c>
      <c r="C89" s="27"/>
      <c r="D89" s="27"/>
      <c r="E89" s="27"/>
      <c r="F89" s="27"/>
      <c r="G89" s="27"/>
      <c r="H89" s="27"/>
      <c r="I89" s="27"/>
      <c r="J89" s="27"/>
      <c r="K89" s="27"/>
      <c r="L89" s="62">
        <f>L75+SUM(L78:L88)</f>
        <v>0</v>
      </c>
      <c r="M89" s="27"/>
      <c r="N89" s="6"/>
      <c r="O89" s="7"/>
      <c r="P89" s="7"/>
      <c r="Q89" s="7"/>
      <c r="R89" s="7"/>
    </row>
    <row r="90" spans="1:18" ht="15.75">
      <c r="A90" s="26"/>
      <c r="B90" s="69" t="s">
        <v>64</v>
      </c>
      <c r="C90" s="70"/>
      <c r="D90" s="27"/>
      <c r="E90" s="27"/>
      <c r="F90" s="27"/>
      <c r="G90" s="27"/>
      <c r="H90" s="27"/>
      <c r="I90" s="27"/>
      <c r="J90" s="27"/>
      <c r="K90" s="27"/>
      <c r="L90" s="71"/>
      <c r="M90" s="27"/>
      <c r="N90" s="6"/>
      <c r="O90" s="7"/>
      <c r="P90" s="7"/>
      <c r="Q90" s="7"/>
      <c r="R90" s="7"/>
    </row>
    <row r="91" spans="1:18" ht="15.75">
      <c r="A91" s="26"/>
      <c r="B91" s="27" t="s">
        <v>65</v>
      </c>
      <c r="C91" s="70"/>
      <c r="D91" s="27"/>
      <c r="E91" s="27"/>
      <c r="F91" s="27"/>
      <c r="G91" s="27"/>
      <c r="H91" s="27"/>
      <c r="I91" s="38"/>
      <c r="J91" s="38">
        <v>0</v>
      </c>
      <c r="K91" s="38"/>
      <c r="L91" s="62"/>
      <c r="M91" s="27"/>
      <c r="N91" s="6"/>
      <c r="O91" s="7"/>
      <c r="P91" s="7"/>
      <c r="Q91" s="7"/>
      <c r="R91" s="7"/>
    </row>
    <row r="92" spans="1:18" ht="15.75">
      <c r="A92" s="26"/>
      <c r="B92" s="27" t="s">
        <v>66</v>
      </c>
      <c r="C92" s="27"/>
      <c r="D92" s="27"/>
      <c r="E92" s="27"/>
      <c r="F92" s="27"/>
      <c r="G92" s="27"/>
      <c r="H92" s="27"/>
      <c r="I92" s="38"/>
      <c r="J92" s="38">
        <v>0</v>
      </c>
      <c r="K92" s="38"/>
      <c r="L92" s="62"/>
      <c r="M92" s="27"/>
      <c r="N92" s="6"/>
      <c r="O92" s="7"/>
      <c r="P92" s="7"/>
      <c r="Q92" s="7"/>
      <c r="R92" s="7"/>
    </row>
    <row r="93" spans="1:18" ht="15.75">
      <c r="A93" s="26"/>
      <c r="B93" s="27" t="s">
        <v>67</v>
      </c>
      <c r="C93" s="27"/>
      <c r="D93" s="27"/>
      <c r="E93" s="27"/>
      <c r="F93" s="27"/>
      <c r="G93" s="27"/>
      <c r="H93" s="27"/>
      <c r="I93" s="27"/>
      <c r="J93" s="38"/>
      <c r="K93" s="38"/>
      <c r="L93" s="62"/>
      <c r="M93" s="27"/>
      <c r="N93" s="6"/>
      <c r="O93" s="7"/>
      <c r="P93" s="7"/>
      <c r="Q93" s="7"/>
      <c r="R93" s="7"/>
    </row>
    <row r="94" spans="1:18" ht="15.75">
      <c r="A94" s="26"/>
      <c r="B94" s="27" t="s">
        <v>68</v>
      </c>
      <c r="C94" s="27"/>
      <c r="D94" s="27"/>
      <c r="E94" s="27"/>
      <c r="F94" s="27"/>
      <c r="G94" s="27"/>
      <c r="H94" s="27"/>
      <c r="I94" s="27"/>
      <c r="J94" s="38">
        <v>-7659</v>
      </c>
      <c r="K94" s="38"/>
      <c r="L94" s="62"/>
      <c r="M94" s="27"/>
      <c r="N94" s="6"/>
      <c r="O94" s="7"/>
      <c r="P94" s="7"/>
      <c r="Q94" s="7"/>
      <c r="R94" s="7"/>
    </row>
    <row r="95" spans="1:18" ht="15.75">
      <c r="A95" s="26"/>
      <c r="B95" s="27" t="s">
        <v>69</v>
      </c>
      <c r="C95" s="27"/>
      <c r="D95" s="27"/>
      <c r="E95" s="27"/>
      <c r="F95" s="27"/>
      <c r="G95" s="27"/>
      <c r="H95" s="27"/>
      <c r="I95" s="27"/>
      <c r="J95" s="38">
        <v>0</v>
      </c>
      <c r="K95" s="38"/>
      <c r="L95" s="62"/>
      <c r="M95" s="27"/>
      <c r="N95" s="6"/>
      <c r="O95" s="7"/>
      <c r="P95" s="7"/>
      <c r="Q95" s="7"/>
      <c r="R95" s="7"/>
    </row>
    <row r="96" spans="1:18" ht="15.75">
      <c r="A96" s="26"/>
      <c r="B96" s="27" t="s">
        <v>70</v>
      </c>
      <c r="C96" s="27"/>
      <c r="D96" s="27"/>
      <c r="E96" s="27"/>
      <c r="F96" s="27"/>
      <c r="G96" s="27"/>
      <c r="H96" s="27"/>
      <c r="I96" s="27"/>
      <c r="J96" s="38">
        <f>SUM(J76:J95)</f>
        <v>-7659</v>
      </c>
      <c r="K96" s="38"/>
      <c r="L96" s="38">
        <f>SUM(L76:L95)</f>
        <v>-2719</v>
      </c>
      <c r="M96" s="27"/>
      <c r="N96" s="6"/>
      <c r="O96" s="7"/>
      <c r="P96" s="7"/>
      <c r="Q96" s="7"/>
      <c r="R96" s="7"/>
    </row>
    <row r="97" spans="1:18" ht="15.75">
      <c r="A97" s="26"/>
      <c r="B97" s="27" t="s">
        <v>71</v>
      </c>
      <c r="C97" s="27"/>
      <c r="D97" s="27"/>
      <c r="E97" s="27"/>
      <c r="F97" s="27"/>
      <c r="G97" s="27"/>
      <c r="H97" s="27"/>
      <c r="I97" s="27"/>
      <c r="J97" s="38">
        <f>J75+J96</f>
        <v>0</v>
      </c>
      <c r="K97" s="38"/>
      <c r="L97" s="38">
        <f>L75+L96</f>
        <v>0</v>
      </c>
      <c r="M97" s="27"/>
      <c r="N97" s="6"/>
      <c r="O97" s="7"/>
      <c r="P97" s="7"/>
      <c r="Q97" s="7"/>
      <c r="R97" s="7"/>
    </row>
    <row r="98" spans="1:18" ht="15.75">
      <c r="A98" s="26"/>
      <c r="B98" s="27"/>
      <c r="C98" s="27"/>
      <c r="D98" s="27"/>
      <c r="E98" s="27"/>
      <c r="F98" s="27"/>
      <c r="G98" s="27"/>
      <c r="H98" s="27"/>
      <c r="I98" s="27"/>
      <c r="J98" s="38"/>
      <c r="K98" s="38"/>
      <c r="L98" s="38"/>
      <c r="M98" s="27"/>
      <c r="N98" s="6"/>
      <c r="O98" s="7"/>
      <c r="P98" s="7"/>
      <c r="Q98" s="7"/>
      <c r="R98" s="7"/>
    </row>
    <row r="99" spans="1:18" ht="15.75">
      <c r="A99" s="8"/>
      <c r="B99" s="10"/>
      <c r="C99" s="10"/>
      <c r="D99" s="10"/>
      <c r="E99" s="10"/>
      <c r="F99" s="10"/>
      <c r="G99" s="10"/>
      <c r="H99" s="10"/>
      <c r="I99" s="10"/>
      <c r="J99" s="10"/>
      <c r="K99" s="10"/>
      <c r="L99" s="58"/>
      <c r="M99" s="10"/>
      <c r="N99" s="6"/>
      <c r="O99" s="7"/>
      <c r="P99" s="7"/>
      <c r="Q99" s="7"/>
      <c r="R99" s="7"/>
    </row>
    <row r="100" spans="1:18" ht="15.75">
      <c r="A100" s="8"/>
      <c r="B100" s="10"/>
      <c r="C100" s="10"/>
      <c r="D100" s="10"/>
      <c r="E100" s="10"/>
      <c r="F100" s="10"/>
      <c r="G100" s="10"/>
      <c r="H100" s="10"/>
      <c r="I100" s="10"/>
      <c r="J100" s="10"/>
      <c r="K100" s="10"/>
      <c r="L100" s="58"/>
      <c r="M100" s="10"/>
      <c r="N100" s="6"/>
      <c r="O100" s="7"/>
      <c r="P100" s="7"/>
      <c r="Q100" s="7"/>
      <c r="R100" s="7"/>
    </row>
    <row r="101" spans="1:18" ht="15.75">
      <c r="A101" s="2"/>
      <c r="B101" s="55" t="s">
        <v>72</v>
      </c>
      <c r="C101" s="56"/>
      <c r="D101" s="5"/>
      <c r="E101" s="5"/>
      <c r="F101" s="5"/>
      <c r="G101" s="5"/>
      <c r="H101" s="5"/>
      <c r="I101" s="5"/>
      <c r="J101" s="5"/>
      <c r="K101" s="5"/>
      <c r="L101" s="57"/>
      <c r="M101" s="5"/>
      <c r="N101" s="6"/>
      <c r="O101" s="7"/>
      <c r="P101" s="7"/>
      <c r="Q101" s="7"/>
      <c r="R101" s="7"/>
    </row>
    <row r="102" spans="1:18" ht="15.75">
      <c r="A102" s="8"/>
      <c r="B102" s="22"/>
      <c r="C102" s="16"/>
      <c r="D102" s="10"/>
      <c r="E102" s="10"/>
      <c r="F102" s="10"/>
      <c r="G102" s="10"/>
      <c r="H102" s="10"/>
      <c r="I102" s="10"/>
      <c r="J102" s="10"/>
      <c r="K102" s="10"/>
      <c r="L102" s="58"/>
      <c r="M102" s="10"/>
      <c r="N102" s="6"/>
      <c r="O102" s="7"/>
      <c r="P102" s="7"/>
      <c r="Q102" s="7"/>
      <c r="R102" s="7"/>
    </row>
    <row r="103" spans="1:18" ht="15.75">
      <c r="A103" s="8"/>
      <c r="B103" s="72" t="s">
        <v>73</v>
      </c>
      <c r="C103" s="16"/>
      <c r="D103" s="10"/>
      <c r="E103" s="10"/>
      <c r="F103" s="10"/>
      <c r="G103" s="10"/>
      <c r="H103" s="10"/>
      <c r="I103" s="10"/>
      <c r="J103" s="10"/>
      <c r="K103" s="10"/>
      <c r="L103" s="58"/>
      <c r="M103" s="10"/>
      <c r="N103" s="6"/>
      <c r="O103" s="7"/>
      <c r="P103" s="7"/>
      <c r="Q103" s="7"/>
      <c r="R103" s="7"/>
    </row>
    <row r="104" spans="1:18" ht="15.75">
      <c r="A104" s="26"/>
      <c r="B104" s="27" t="s">
        <v>74</v>
      </c>
      <c r="C104" s="27"/>
      <c r="D104" s="27"/>
      <c r="E104" s="27"/>
      <c r="F104" s="27"/>
      <c r="G104" s="27"/>
      <c r="H104" s="27"/>
      <c r="I104" s="27"/>
      <c r="J104" s="27"/>
      <c r="K104" s="27"/>
      <c r="L104" s="62">
        <v>3698</v>
      </c>
      <c r="M104" s="27"/>
      <c r="N104" s="6"/>
      <c r="O104" s="7"/>
      <c r="P104" s="7"/>
      <c r="Q104" s="7"/>
      <c r="R104" s="7"/>
    </row>
    <row r="105" spans="1:18" ht="15.75">
      <c r="A105" s="26"/>
      <c r="B105" s="27" t="s">
        <v>75</v>
      </c>
      <c r="C105" s="27"/>
      <c r="D105" s="27"/>
      <c r="E105" s="27"/>
      <c r="F105" s="27"/>
      <c r="G105" s="27"/>
      <c r="H105" s="27"/>
      <c r="I105" s="27"/>
      <c r="J105" s="27"/>
      <c r="K105" s="27"/>
      <c r="L105" s="62">
        <v>2644</v>
      </c>
      <c r="M105" s="27"/>
      <c r="N105" s="6"/>
      <c r="O105" s="7"/>
      <c r="P105" s="7"/>
      <c r="Q105" s="7"/>
      <c r="R105" s="7"/>
    </row>
    <row r="106" spans="1:18" ht="15.75">
      <c r="A106" s="26"/>
      <c r="B106" s="27" t="s">
        <v>76</v>
      </c>
      <c r="C106" s="27"/>
      <c r="D106" s="27"/>
      <c r="E106" s="27"/>
      <c r="F106" s="27"/>
      <c r="G106" s="27"/>
      <c r="H106" s="27"/>
      <c r="I106" s="27"/>
      <c r="J106" s="27"/>
      <c r="K106" s="27"/>
      <c r="L106" s="62">
        <v>523</v>
      </c>
      <c r="M106" s="27"/>
      <c r="N106" s="6"/>
      <c r="O106" s="7"/>
      <c r="P106" s="7"/>
      <c r="Q106" s="7"/>
      <c r="R106" s="7"/>
    </row>
    <row r="107" spans="1:18" ht="15.75">
      <c r="A107" s="26"/>
      <c r="B107" s="27" t="s">
        <v>77</v>
      </c>
      <c r="C107" s="27"/>
      <c r="D107" s="27"/>
      <c r="E107" s="27"/>
      <c r="F107" s="27"/>
      <c r="G107" s="27"/>
      <c r="H107" s="27"/>
      <c r="I107" s="27"/>
      <c r="J107" s="27"/>
      <c r="K107" s="27"/>
      <c r="L107" s="62">
        <v>0</v>
      </c>
      <c r="M107" s="27"/>
      <c r="N107" s="6"/>
      <c r="O107" s="7"/>
      <c r="P107" s="7"/>
      <c r="Q107" s="7"/>
      <c r="R107" s="7"/>
    </row>
    <row r="108" spans="1:18" ht="15.75">
      <c r="A108" s="26"/>
      <c r="B108" s="27" t="s">
        <v>78</v>
      </c>
      <c r="C108" s="27"/>
      <c r="D108" s="27"/>
      <c r="E108" s="27"/>
      <c r="F108" s="27"/>
      <c r="G108" s="27"/>
      <c r="H108" s="27"/>
      <c r="I108" s="27"/>
      <c r="J108" s="27"/>
      <c r="K108" s="27"/>
      <c r="L108" s="62">
        <v>0</v>
      </c>
      <c r="M108" s="27"/>
      <c r="N108" s="6"/>
      <c r="O108" s="7"/>
      <c r="P108" s="7"/>
      <c r="Q108" s="7"/>
      <c r="R108" s="7"/>
    </row>
    <row r="109" spans="1:18" ht="15.75">
      <c r="A109" s="26"/>
      <c r="B109" s="27" t="s">
        <v>55</v>
      </c>
      <c r="C109" s="27"/>
      <c r="D109" s="27"/>
      <c r="E109" s="27"/>
      <c r="F109" s="27"/>
      <c r="G109" s="27"/>
      <c r="H109" s="27"/>
      <c r="I109" s="27"/>
      <c r="J109" s="27"/>
      <c r="K109" s="27"/>
      <c r="L109" s="62">
        <v>0</v>
      </c>
      <c r="M109" s="27"/>
      <c r="N109" s="6"/>
      <c r="O109" s="7"/>
      <c r="P109" s="7"/>
      <c r="Q109" s="7"/>
      <c r="R109" s="7"/>
    </row>
    <row r="110" spans="1:18" ht="15.75">
      <c r="A110" s="26"/>
      <c r="B110" s="27" t="s">
        <v>57</v>
      </c>
      <c r="C110" s="27"/>
      <c r="D110" s="27"/>
      <c r="E110" s="27"/>
      <c r="F110" s="27"/>
      <c r="G110" s="27"/>
      <c r="H110" s="27"/>
      <c r="I110" s="27"/>
      <c r="J110" s="27"/>
      <c r="K110" s="27"/>
      <c r="L110" s="62">
        <v>0</v>
      </c>
      <c r="M110" s="27"/>
      <c r="N110" s="6"/>
      <c r="O110" s="7"/>
      <c r="P110" s="7"/>
      <c r="Q110" s="7"/>
      <c r="R110" s="7"/>
    </row>
    <row r="111" spans="1:18" ht="15.75">
      <c r="A111" s="26"/>
      <c r="B111" s="27" t="s">
        <v>79</v>
      </c>
      <c r="C111" s="27"/>
      <c r="D111" s="27"/>
      <c r="E111" s="27"/>
      <c r="F111" s="27"/>
      <c r="G111" s="27"/>
      <c r="H111" s="27"/>
      <c r="I111" s="27"/>
      <c r="J111" s="27"/>
      <c r="K111" s="27"/>
      <c r="L111" s="62">
        <f>SUM(L105:L109)</f>
        <v>3167</v>
      </c>
      <c r="M111" s="27"/>
      <c r="N111" s="6"/>
      <c r="O111" s="7"/>
      <c r="P111" s="7"/>
      <c r="Q111" s="7"/>
      <c r="R111" s="7"/>
    </row>
    <row r="112" spans="1:18" ht="15.75">
      <c r="A112" s="26"/>
      <c r="B112" s="27"/>
      <c r="C112" s="27"/>
      <c r="D112" s="27"/>
      <c r="E112" s="27"/>
      <c r="F112" s="27"/>
      <c r="G112" s="27"/>
      <c r="H112" s="27"/>
      <c r="I112" s="27"/>
      <c r="J112" s="27"/>
      <c r="K112" s="27"/>
      <c r="L112" s="54"/>
      <c r="M112" s="27"/>
      <c r="N112" s="6"/>
      <c r="O112" s="7"/>
      <c r="P112" s="7"/>
      <c r="Q112" s="7"/>
      <c r="R112" s="7"/>
    </row>
    <row r="113" spans="1:18" ht="15.75">
      <c r="A113" s="8"/>
      <c r="B113" s="72" t="s">
        <v>39</v>
      </c>
      <c r="C113" s="10"/>
      <c r="D113" s="10"/>
      <c r="E113" s="10"/>
      <c r="F113" s="10"/>
      <c r="G113" s="10"/>
      <c r="H113" s="10"/>
      <c r="I113" s="10"/>
      <c r="J113" s="10"/>
      <c r="K113" s="10"/>
      <c r="L113" s="58"/>
      <c r="M113" s="10"/>
      <c r="N113" s="6"/>
      <c r="O113" s="7"/>
      <c r="P113" s="7"/>
      <c r="Q113" s="7"/>
      <c r="R113" s="7"/>
    </row>
    <row r="114" spans="1:18" ht="15.75">
      <c r="A114" s="26"/>
      <c r="B114" s="27" t="s">
        <v>80</v>
      </c>
      <c r="C114" s="27"/>
      <c r="D114" s="73"/>
      <c r="E114" s="27"/>
      <c r="F114" s="27"/>
      <c r="G114" s="27"/>
      <c r="H114" s="27"/>
      <c r="I114" s="27"/>
      <c r="J114" s="27"/>
      <c r="K114" s="27"/>
      <c r="L114" s="62">
        <f>1848891.08/1000</f>
        <v>1848.89108</v>
      </c>
      <c r="M114" s="27"/>
      <c r="N114" s="6"/>
      <c r="O114" s="7"/>
      <c r="P114" s="7"/>
      <c r="Q114" s="7"/>
      <c r="R114" s="7"/>
    </row>
    <row r="115" spans="1:18" ht="15.75">
      <c r="A115" s="26"/>
      <c r="B115" s="27" t="s">
        <v>81</v>
      </c>
      <c r="C115" s="30"/>
      <c r="D115" s="30"/>
      <c r="E115" s="30"/>
      <c r="F115" s="30"/>
      <c r="G115" s="30"/>
      <c r="H115" s="30"/>
      <c r="I115" s="30"/>
      <c r="J115" s="30"/>
      <c r="K115" s="30"/>
      <c r="L115" s="63">
        <v>0</v>
      </c>
      <c r="M115" s="27"/>
      <c r="N115" s="6"/>
      <c r="O115" s="7"/>
      <c r="P115" s="7"/>
      <c r="Q115" s="7"/>
      <c r="R115" s="7"/>
    </row>
    <row r="116" spans="1:18" ht="15.75">
      <c r="A116" s="26"/>
      <c r="B116" s="27" t="s">
        <v>82</v>
      </c>
      <c r="C116" s="27"/>
      <c r="D116" s="27"/>
      <c r="E116" s="27"/>
      <c r="F116" s="27"/>
      <c r="G116" s="27"/>
      <c r="H116" s="27"/>
      <c r="I116" s="27"/>
      <c r="J116" s="27"/>
      <c r="K116" s="27"/>
      <c r="L116" s="62">
        <v>0</v>
      </c>
      <c r="M116" s="27"/>
      <c r="N116" s="6"/>
      <c r="O116" s="7"/>
      <c r="P116" s="7"/>
      <c r="Q116" s="7"/>
      <c r="R116" s="7"/>
    </row>
    <row r="117" spans="1:18" ht="15.75">
      <c r="A117" s="26"/>
      <c r="B117" s="27" t="s">
        <v>83</v>
      </c>
      <c r="C117" s="27"/>
      <c r="D117" s="27"/>
      <c r="E117" s="27"/>
      <c r="F117" s="27"/>
      <c r="G117" s="27"/>
      <c r="H117" s="27"/>
      <c r="I117" s="27"/>
      <c r="J117" s="27"/>
      <c r="K117" s="27"/>
      <c r="L117" s="62">
        <f>L114-L115-L116</f>
        <v>1848.89108</v>
      </c>
      <c r="M117" s="27"/>
      <c r="N117" s="6"/>
      <c r="O117" s="7"/>
      <c r="P117" s="7"/>
      <c r="Q117" s="7"/>
      <c r="R117" s="7"/>
    </row>
    <row r="118" spans="1:18" ht="15.75">
      <c r="A118" s="26"/>
      <c r="B118" s="27"/>
      <c r="C118" s="27"/>
      <c r="D118" s="27"/>
      <c r="E118" s="27"/>
      <c r="F118" s="27"/>
      <c r="G118" s="27"/>
      <c r="H118" s="27"/>
      <c r="I118" s="27"/>
      <c r="J118" s="27"/>
      <c r="K118" s="27"/>
      <c r="L118" s="54"/>
      <c r="M118" s="27"/>
      <c r="N118" s="6"/>
      <c r="O118" s="7"/>
      <c r="P118" s="7"/>
      <c r="Q118" s="7"/>
      <c r="R118" s="7"/>
    </row>
    <row r="119" spans="1:18" ht="15.75">
      <c r="A119" s="8"/>
      <c r="B119" s="72" t="s">
        <v>84</v>
      </c>
      <c r="C119" s="16"/>
      <c r="D119" s="10"/>
      <c r="E119" s="10"/>
      <c r="F119" s="10"/>
      <c r="G119" s="10"/>
      <c r="H119" s="10"/>
      <c r="I119" s="10"/>
      <c r="J119" s="10"/>
      <c r="K119" s="10"/>
      <c r="L119" s="74"/>
      <c r="M119" s="10"/>
      <c r="N119" s="6"/>
      <c r="O119" s="7"/>
      <c r="P119" s="7"/>
      <c r="Q119" s="7"/>
      <c r="R119" s="7"/>
    </row>
    <row r="120" spans="1:18" ht="15.75">
      <c r="A120" s="26"/>
      <c r="B120" s="27" t="s">
        <v>85</v>
      </c>
      <c r="C120" s="27"/>
      <c r="D120" s="27"/>
      <c r="E120" s="27"/>
      <c r="F120" s="27"/>
      <c r="G120" s="27"/>
      <c r="H120" s="27"/>
      <c r="I120" s="27"/>
      <c r="J120" s="27"/>
      <c r="K120" s="27"/>
      <c r="L120" s="62">
        <v>858</v>
      </c>
      <c r="M120" s="27"/>
      <c r="N120" s="6"/>
      <c r="O120" s="7"/>
      <c r="P120" s="7"/>
      <c r="Q120" s="7"/>
      <c r="R120" s="7"/>
    </row>
    <row r="121" spans="1:18" ht="15.75">
      <c r="A121" s="26"/>
      <c r="B121" s="27" t="s">
        <v>86</v>
      </c>
      <c r="C121" s="27"/>
      <c r="D121" s="27"/>
      <c r="E121" s="27"/>
      <c r="F121" s="27"/>
      <c r="G121" s="27"/>
      <c r="H121" s="27"/>
      <c r="I121" s="27"/>
      <c r="J121" s="27"/>
      <c r="K121" s="27"/>
      <c r="L121" s="62">
        <v>374</v>
      </c>
      <c r="M121" s="27"/>
      <c r="N121" s="6"/>
      <c r="O121" s="7"/>
      <c r="P121" s="7"/>
      <c r="Q121" s="7"/>
      <c r="R121" s="7"/>
    </row>
    <row r="122" spans="1:18" ht="15.75">
      <c r="A122" s="26"/>
      <c r="B122" s="27" t="s">
        <v>87</v>
      </c>
      <c r="C122" s="27"/>
      <c r="D122" s="27"/>
      <c r="E122" s="27"/>
      <c r="F122" s="27"/>
      <c r="G122" s="27"/>
      <c r="H122" s="27"/>
      <c r="I122" s="27"/>
      <c r="J122" s="27"/>
      <c r="K122" s="27"/>
      <c r="L122" s="62">
        <f>L121+L120</f>
        <v>1232</v>
      </c>
      <c r="M122" s="27"/>
      <c r="N122" s="6"/>
      <c r="O122" s="7"/>
      <c r="P122" s="7"/>
      <c r="Q122" s="7"/>
      <c r="R122" s="7"/>
    </row>
    <row r="123" spans="1:18" ht="15.75">
      <c r="A123" s="26"/>
      <c r="B123" s="27" t="s">
        <v>88</v>
      </c>
      <c r="C123" s="27"/>
      <c r="D123" s="27"/>
      <c r="E123" s="27"/>
      <c r="F123" s="27"/>
      <c r="G123" s="27"/>
      <c r="H123" s="75"/>
      <c r="I123" s="27"/>
      <c r="J123" s="27"/>
      <c r="K123" s="27"/>
      <c r="L123" s="62">
        <v>0</v>
      </c>
      <c r="M123" s="27"/>
      <c r="N123" s="6"/>
      <c r="O123" s="7"/>
      <c r="P123" s="7"/>
      <c r="Q123" s="7"/>
      <c r="R123" s="7"/>
    </row>
    <row r="124" spans="1:18" ht="15.75">
      <c r="A124" s="26"/>
      <c r="B124" s="27" t="s">
        <v>89</v>
      </c>
      <c r="C124" s="27"/>
      <c r="D124" s="27"/>
      <c r="E124" s="27"/>
      <c r="F124" s="27"/>
      <c r="G124" s="27"/>
      <c r="H124" s="27"/>
      <c r="I124" s="27"/>
      <c r="J124" s="27"/>
      <c r="K124" s="27"/>
      <c r="L124" s="62">
        <f>L122+L123</f>
        <v>1232</v>
      </c>
      <c r="M124" s="27"/>
      <c r="N124" s="6"/>
      <c r="O124" s="7"/>
      <c r="P124" s="7"/>
      <c r="Q124" s="7"/>
      <c r="R124" s="7"/>
    </row>
    <row r="125" spans="1:18" ht="15.75">
      <c r="A125" s="26"/>
      <c r="B125" s="27"/>
      <c r="C125" s="27"/>
      <c r="D125" s="27"/>
      <c r="E125" s="27"/>
      <c r="F125" s="27"/>
      <c r="G125" s="27"/>
      <c r="H125" s="27"/>
      <c r="I125" s="27"/>
      <c r="J125" s="27"/>
      <c r="K125" s="27"/>
      <c r="L125" s="54"/>
      <c r="M125" s="27"/>
      <c r="N125" s="6"/>
      <c r="O125" s="7"/>
      <c r="P125" s="7"/>
      <c r="Q125" s="7"/>
      <c r="R125" s="7"/>
    </row>
    <row r="126" spans="1:18" ht="15.75">
      <c r="A126" s="2"/>
      <c r="B126" s="5"/>
      <c r="C126" s="5"/>
      <c r="D126" s="5"/>
      <c r="E126" s="5"/>
      <c r="F126" s="5"/>
      <c r="G126" s="5"/>
      <c r="H126" s="5"/>
      <c r="I126" s="5"/>
      <c r="J126" s="5"/>
      <c r="K126" s="5"/>
      <c r="L126" s="57"/>
      <c r="M126" s="5"/>
      <c r="N126" s="6"/>
      <c r="O126" s="7"/>
      <c r="P126" s="7"/>
      <c r="Q126" s="7"/>
      <c r="R126" s="7"/>
    </row>
    <row r="127" spans="1:18" ht="15.75">
      <c r="A127" s="8"/>
      <c r="B127" s="72" t="s">
        <v>90</v>
      </c>
      <c r="C127" s="16"/>
      <c r="D127" s="10"/>
      <c r="E127" s="10"/>
      <c r="F127" s="10"/>
      <c r="G127" s="10"/>
      <c r="H127" s="10"/>
      <c r="I127" s="10"/>
      <c r="J127" s="10"/>
      <c r="K127" s="10"/>
      <c r="L127" s="58"/>
      <c r="M127" s="10"/>
      <c r="N127" s="6"/>
      <c r="O127" s="7"/>
      <c r="P127" s="7"/>
      <c r="Q127" s="7"/>
      <c r="R127" s="7"/>
    </row>
    <row r="128" spans="1:18" ht="15.75">
      <c r="A128" s="8"/>
      <c r="B128" s="22"/>
      <c r="C128" s="16"/>
      <c r="D128" s="10"/>
      <c r="E128" s="10"/>
      <c r="F128" s="10"/>
      <c r="G128" s="10"/>
      <c r="H128" s="10"/>
      <c r="I128" s="10"/>
      <c r="J128" s="10"/>
      <c r="K128" s="10"/>
      <c r="L128" s="58"/>
      <c r="M128" s="10"/>
      <c r="N128" s="6"/>
      <c r="O128" s="7"/>
      <c r="P128" s="7"/>
      <c r="Q128" s="7"/>
      <c r="R128" s="7"/>
    </row>
    <row r="129" spans="1:18" ht="15.75">
      <c r="A129" s="26"/>
      <c r="B129" s="27" t="s">
        <v>91</v>
      </c>
      <c r="C129" s="76"/>
      <c r="D129" s="27"/>
      <c r="E129" s="27"/>
      <c r="F129" s="27"/>
      <c r="G129" s="27"/>
      <c r="H129" s="27"/>
      <c r="I129" s="27"/>
      <c r="J129" s="27"/>
      <c r="K129" s="27"/>
      <c r="L129" s="62">
        <f>L53</f>
        <v>137984</v>
      </c>
      <c r="M129" s="27"/>
      <c r="N129" s="6"/>
      <c r="O129" s="7"/>
      <c r="P129" s="7"/>
      <c r="Q129" s="7"/>
      <c r="R129" s="7"/>
    </row>
    <row r="130" spans="1:18" ht="15.75">
      <c r="A130" s="26"/>
      <c r="B130" s="27" t="s">
        <v>92</v>
      </c>
      <c r="C130" s="76"/>
      <c r="D130" s="27"/>
      <c r="E130" s="27"/>
      <c r="F130" s="27"/>
      <c r="G130" s="27"/>
      <c r="H130" s="27"/>
      <c r="I130" s="27"/>
      <c r="J130" s="27"/>
      <c r="K130" s="27"/>
      <c r="L130" s="62">
        <f>L65</f>
        <v>129327</v>
      </c>
      <c r="M130" s="27"/>
      <c r="N130" s="6"/>
      <c r="O130" s="7"/>
      <c r="P130" s="7"/>
      <c r="Q130" s="7"/>
      <c r="R130" s="7"/>
    </row>
    <row r="131" spans="1:18" ht="15.75">
      <c r="A131" s="26"/>
      <c r="B131" s="27"/>
      <c r="C131" s="27"/>
      <c r="D131" s="27"/>
      <c r="E131" s="27"/>
      <c r="F131" s="27"/>
      <c r="G131" s="27"/>
      <c r="H131" s="27"/>
      <c r="I131" s="27"/>
      <c r="J131" s="27"/>
      <c r="K131" s="27"/>
      <c r="L131" s="54"/>
      <c r="M131" s="27"/>
      <c r="N131" s="6"/>
      <c r="O131" s="7"/>
      <c r="P131" s="7"/>
      <c r="Q131" s="7"/>
      <c r="R131" s="7"/>
    </row>
    <row r="132" spans="1:18" ht="15.75">
      <c r="A132" s="2"/>
      <c r="B132" s="5"/>
      <c r="C132" s="5"/>
      <c r="D132" s="5"/>
      <c r="E132" s="5"/>
      <c r="F132" s="5"/>
      <c r="G132" s="5"/>
      <c r="H132" s="5"/>
      <c r="I132" s="5"/>
      <c r="J132" s="5"/>
      <c r="K132" s="5"/>
      <c r="L132" s="57"/>
      <c r="M132" s="5"/>
      <c r="N132" s="6"/>
      <c r="O132" s="7"/>
      <c r="P132" s="7"/>
      <c r="Q132" s="7"/>
      <c r="R132" s="7"/>
    </row>
    <row r="133" spans="1:18" ht="15.75">
      <c r="A133" s="8"/>
      <c r="B133" s="72" t="s">
        <v>93</v>
      </c>
      <c r="C133" s="12"/>
      <c r="D133" s="12"/>
      <c r="E133" s="12"/>
      <c r="F133" s="12"/>
      <c r="G133" s="12"/>
      <c r="H133" s="77" t="s">
        <v>170</v>
      </c>
      <c r="I133" s="77"/>
      <c r="J133" s="77" t="s">
        <v>182</v>
      </c>
      <c r="K133" s="12"/>
      <c r="L133" s="78" t="s">
        <v>197</v>
      </c>
      <c r="M133" s="12"/>
      <c r="N133" s="6"/>
      <c r="O133" s="7"/>
      <c r="P133" s="7"/>
      <c r="Q133" s="7"/>
      <c r="R133" s="7"/>
    </row>
    <row r="134" spans="1:18" ht="15.75">
      <c r="A134" s="26"/>
      <c r="B134" s="27" t="s">
        <v>94</v>
      </c>
      <c r="C134" s="27"/>
      <c r="D134" s="27"/>
      <c r="E134" s="27"/>
      <c r="F134" s="27"/>
      <c r="G134" s="27"/>
      <c r="H134" s="62">
        <v>31500</v>
      </c>
      <c r="I134" s="27"/>
      <c r="J134" s="47" t="s">
        <v>183</v>
      </c>
      <c r="K134" s="27"/>
      <c r="L134" s="62"/>
      <c r="M134" s="27"/>
      <c r="N134" s="6"/>
      <c r="O134" s="7"/>
      <c r="P134" s="7"/>
      <c r="Q134" s="7"/>
      <c r="R134" s="7"/>
    </row>
    <row r="135" spans="1:18" ht="15.75">
      <c r="A135" s="26"/>
      <c r="B135" s="27" t="s">
        <v>95</v>
      </c>
      <c r="C135" s="27"/>
      <c r="D135" s="27"/>
      <c r="E135" s="27"/>
      <c r="F135" s="27"/>
      <c r="G135" s="27"/>
      <c r="H135" s="62">
        <v>111</v>
      </c>
      <c r="I135" s="27"/>
      <c r="J135" s="27">
        <v>21</v>
      </c>
      <c r="K135" s="27"/>
      <c r="L135" s="62">
        <f>J135+H135</f>
        <v>132</v>
      </c>
      <c r="M135" s="27"/>
      <c r="N135" s="6"/>
      <c r="O135" s="7"/>
      <c r="P135" s="7"/>
      <c r="Q135" s="7"/>
      <c r="R135" s="7"/>
    </row>
    <row r="136" spans="1:18" ht="15.75">
      <c r="A136" s="26"/>
      <c r="B136" s="27" t="s">
        <v>96</v>
      </c>
      <c r="C136" s="27"/>
      <c r="D136" s="27"/>
      <c r="E136" s="27"/>
      <c r="F136" s="27"/>
      <c r="G136" s="27"/>
      <c r="H136" s="62">
        <v>0</v>
      </c>
      <c r="I136" s="27"/>
      <c r="J136" s="38">
        <v>0</v>
      </c>
      <c r="K136" s="27"/>
      <c r="L136" s="62">
        <f>J136+H136</f>
        <v>0</v>
      </c>
      <c r="M136" s="27"/>
      <c r="N136" s="6"/>
      <c r="O136" s="7"/>
      <c r="P136" s="7"/>
      <c r="Q136" s="7"/>
      <c r="R136" s="7"/>
    </row>
    <row r="137" spans="1:18" ht="15.75">
      <c r="A137" s="26"/>
      <c r="B137" s="27" t="s">
        <v>97</v>
      </c>
      <c r="C137" s="27"/>
      <c r="D137" s="27"/>
      <c r="E137" s="27"/>
      <c r="F137" s="27"/>
      <c r="G137" s="27"/>
      <c r="H137" s="62">
        <f>H136+H135</f>
        <v>111</v>
      </c>
      <c r="I137" s="27"/>
      <c r="J137" s="62">
        <f>J136+J135</f>
        <v>21</v>
      </c>
      <c r="K137" s="27"/>
      <c r="L137" s="62">
        <f>J137+H137</f>
        <v>132</v>
      </c>
      <c r="M137" s="27"/>
      <c r="N137" s="6"/>
      <c r="O137" s="7"/>
      <c r="P137" s="7"/>
      <c r="Q137" s="7"/>
      <c r="R137" s="7"/>
    </row>
    <row r="138" spans="1:18" ht="15.75">
      <c r="A138" s="26"/>
      <c r="B138" s="27" t="s">
        <v>98</v>
      </c>
      <c r="C138" s="27"/>
      <c r="D138" s="27"/>
      <c r="E138" s="27"/>
      <c r="F138" s="27"/>
      <c r="G138" s="27"/>
      <c r="H138" s="62">
        <f>H134-H137</f>
        <v>31389</v>
      </c>
      <c r="I138" s="27"/>
      <c r="J138" s="47" t="s">
        <v>183</v>
      </c>
      <c r="K138" s="27"/>
      <c r="L138" s="62"/>
      <c r="M138" s="27"/>
      <c r="N138" s="6"/>
      <c r="O138" s="7"/>
      <c r="P138" s="7"/>
      <c r="Q138" s="7"/>
      <c r="R138" s="7"/>
    </row>
    <row r="139" spans="1:18" ht="15.75">
      <c r="A139" s="26"/>
      <c r="B139" s="27"/>
      <c r="C139" s="27"/>
      <c r="D139" s="27"/>
      <c r="E139" s="27"/>
      <c r="F139" s="27"/>
      <c r="G139" s="27"/>
      <c r="H139" s="27"/>
      <c r="I139" s="27"/>
      <c r="J139" s="27"/>
      <c r="K139" s="27"/>
      <c r="L139" s="54"/>
      <c r="M139" s="27"/>
      <c r="N139" s="6"/>
      <c r="O139" s="7"/>
      <c r="P139" s="7"/>
      <c r="Q139" s="7"/>
      <c r="R139" s="7"/>
    </row>
    <row r="140" spans="1:18" ht="15.75">
      <c r="A140" s="2"/>
      <c r="B140" s="5"/>
      <c r="C140" s="5"/>
      <c r="D140" s="5"/>
      <c r="E140" s="5"/>
      <c r="F140" s="5"/>
      <c r="G140" s="5"/>
      <c r="H140" s="5"/>
      <c r="I140" s="5"/>
      <c r="J140" s="5"/>
      <c r="K140" s="5"/>
      <c r="L140" s="57"/>
      <c r="M140" s="5"/>
      <c r="N140" s="6"/>
      <c r="O140" s="7"/>
      <c r="P140" s="7"/>
      <c r="Q140" s="7"/>
      <c r="R140" s="7"/>
    </row>
    <row r="141" spans="1:18" ht="15.75">
      <c r="A141" s="8"/>
      <c r="B141" s="72" t="s">
        <v>99</v>
      </c>
      <c r="C141" s="16"/>
      <c r="D141" s="10"/>
      <c r="E141" s="10"/>
      <c r="F141" s="10"/>
      <c r="G141" s="10"/>
      <c r="H141" s="10"/>
      <c r="I141" s="10"/>
      <c r="J141" s="10"/>
      <c r="K141" s="10"/>
      <c r="L141" s="79"/>
      <c r="M141" s="10"/>
      <c r="N141" s="6"/>
      <c r="O141" s="7"/>
      <c r="P141" s="7"/>
      <c r="Q141" s="7"/>
      <c r="R141" s="7"/>
    </row>
    <row r="142" spans="1:18" ht="15.75">
      <c r="A142" s="26"/>
      <c r="B142" s="27" t="s">
        <v>100</v>
      </c>
      <c r="C142" s="27"/>
      <c r="D142" s="27"/>
      <c r="E142" s="27"/>
      <c r="F142" s="27"/>
      <c r="G142" s="27"/>
      <c r="H142" s="27"/>
      <c r="I142" s="27"/>
      <c r="J142" s="27"/>
      <c r="K142" s="27"/>
      <c r="L142" s="71">
        <f>SUM(L75:L80)/-L81</f>
        <v>1.9029968454258674</v>
      </c>
      <c r="M142" s="27" t="s">
        <v>198</v>
      </c>
      <c r="N142" s="6"/>
      <c r="O142" s="7"/>
      <c r="P142" s="7"/>
      <c r="Q142" s="7"/>
      <c r="R142" s="7"/>
    </row>
    <row r="143" spans="1:18" ht="15.75">
      <c r="A143" s="26"/>
      <c r="B143" s="27" t="s">
        <v>101</v>
      </c>
      <c r="C143" s="27"/>
      <c r="D143" s="27"/>
      <c r="E143" s="27"/>
      <c r="F143" s="27"/>
      <c r="G143" s="27"/>
      <c r="H143" s="27"/>
      <c r="I143" s="27"/>
      <c r="J143" s="27"/>
      <c r="K143" s="27"/>
      <c r="L143" s="80">
        <v>1.35</v>
      </c>
      <c r="M143" s="27" t="s">
        <v>198</v>
      </c>
      <c r="N143" s="6"/>
      <c r="O143" s="7"/>
      <c r="P143" s="7"/>
      <c r="Q143" s="7"/>
      <c r="R143" s="7"/>
    </row>
    <row r="144" spans="1:18" ht="15.75">
      <c r="A144" s="26"/>
      <c r="B144" s="27" t="s">
        <v>102</v>
      </c>
      <c r="C144" s="27"/>
      <c r="D144" s="27"/>
      <c r="E144" s="27"/>
      <c r="F144" s="27"/>
      <c r="G144" s="27"/>
      <c r="H144" s="27"/>
      <c r="I144" s="27"/>
      <c r="J144" s="27"/>
      <c r="K144" s="27"/>
      <c r="L144" s="71">
        <f>SUM(L75:L82)/-L83</f>
        <v>2.455913978494624</v>
      </c>
      <c r="M144" s="27" t="s">
        <v>198</v>
      </c>
      <c r="N144" s="6"/>
      <c r="O144" s="7"/>
      <c r="P144" s="7"/>
      <c r="Q144" s="7"/>
      <c r="R144" s="7"/>
    </row>
    <row r="145" spans="1:18" ht="15.75">
      <c r="A145" s="26"/>
      <c r="B145" s="27" t="s">
        <v>103</v>
      </c>
      <c r="C145" s="27"/>
      <c r="D145" s="27"/>
      <c r="E145" s="27"/>
      <c r="F145" s="27"/>
      <c r="G145" s="27"/>
      <c r="H145" s="27"/>
      <c r="I145" s="27"/>
      <c r="J145" s="27"/>
      <c r="K145" s="27"/>
      <c r="L145" s="81">
        <v>1.19</v>
      </c>
      <c r="M145" s="27" t="s">
        <v>198</v>
      </c>
      <c r="N145" s="6"/>
      <c r="O145" s="7"/>
      <c r="P145" s="7"/>
      <c r="Q145" s="7"/>
      <c r="R145" s="7"/>
    </row>
    <row r="146" spans="1:18" ht="15.75">
      <c r="A146" s="26"/>
      <c r="B146" s="27" t="s">
        <v>104</v>
      </c>
      <c r="C146" s="27"/>
      <c r="D146" s="27"/>
      <c r="E146" s="27"/>
      <c r="F146" s="27"/>
      <c r="G146" s="27"/>
      <c r="H146" s="27"/>
      <c r="I146" s="27"/>
      <c r="J146" s="27"/>
      <c r="K146" s="27"/>
      <c r="L146" s="71">
        <f>SUM(L75:L83)/-L84</f>
        <v>4.396103896103896</v>
      </c>
      <c r="M146" s="27" t="s">
        <v>198</v>
      </c>
      <c r="N146" s="6"/>
      <c r="O146" s="7"/>
      <c r="P146" s="7"/>
      <c r="Q146" s="7"/>
      <c r="R146" s="7"/>
    </row>
    <row r="147" spans="1:18" ht="15.75">
      <c r="A147" s="26"/>
      <c r="B147" s="27" t="s">
        <v>105</v>
      </c>
      <c r="C147" s="27"/>
      <c r="D147" s="27"/>
      <c r="E147" s="27"/>
      <c r="F147" s="27"/>
      <c r="G147" s="27"/>
      <c r="H147" s="27"/>
      <c r="I147" s="27"/>
      <c r="J147" s="27"/>
      <c r="K147" s="27"/>
      <c r="L147" s="80">
        <v>0.58</v>
      </c>
      <c r="M147" s="27" t="s">
        <v>198</v>
      </c>
      <c r="N147" s="6"/>
      <c r="O147" s="7"/>
      <c r="P147" s="7"/>
      <c r="Q147" s="7"/>
      <c r="R147" s="7"/>
    </row>
    <row r="148" spans="1:18" ht="15.75">
      <c r="A148" s="26"/>
      <c r="B148" s="27"/>
      <c r="C148" s="27"/>
      <c r="D148" s="27"/>
      <c r="E148" s="27"/>
      <c r="F148" s="27"/>
      <c r="G148" s="27"/>
      <c r="H148" s="27"/>
      <c r="I148" s="27"/>
      <c r="J148" s="27"/>
      <c r="K148" s="27"/>
      <c r="L148" s="27"/>
      <c r="M148" s="27"/>
      <c r="N148" s="6"/>
      <c r="O148" s="7"/>
      <c r="P148" s="7"/>
      <c r="Q148" s="7"/>
      <c r="R148" s="7"/>
    </row>
    <row r="149" spans="1:18" ht="15.75">
      <c r="A149" s="8"/>
      <c r="B149" s="15"/>
      <c r="C149" s="15"/>
      <c r="D149" s="15"/>
      <c r="E149" s="15"/>
      <c r="F149" s="15"/>
      <c r="G149" s="15"/>
      <c r="H149" s="15"/>
      <c r="I149" s="15"/>
      <c r="J149" s="15"/>
      <c r="K149" s="15"/>
      <c r="L149" s="15"/>
      <c r="M149" s="15"/>
      <c r="N149" s="6"/>
      <c r="O149" s="7"/>
      <c r="P149" s="7"/>
      <c r="Q149" s="7"/>
      <c r="R149" s="7"/>
    </row>
    <row r="150" spans="1:18" ht="15.75">
      <c r="A150" s="82"/>
      <c r="B150" s="55" t="s">
        <v>106</v>
      </c>
      <c r="C150" s="83"/>
      <c r="D150" s="83"/>
      <c r="E150" s="83"/>
      <c r="F150" s="83"/>
      <c r="G150" s="84"/>
      <c r="H150" s="84"/>
      <c r="I150" s="84"/>
      <c r="J150" s="84">
        <v>36433</v>
      </c>
      <c r="K150" s="134"/>
      <c r="L150" s="5"/>
      <c r="M150" s="5"/>
      <c r="N150" s="85"/>
      <c r="O150" s="7"/>
      <c r="P150" s="7"/>
      <c r="Q150" s="7"/>
      <c r="R150" s="7"/>
    </row>
    <row r="151" spans="1:18" ht="15.75">
      <c r="A151" s="86"/>
      <c r="B151" s="87"/>
      <c r="C151" s="88"/>
      <c r="D151" s="88"/>
      <c r="E151" s="88"/>
      <c r="F151" s="88"/>
      <c r="G151" s="89"/>
      <c r="H151" s="89"/>
      <c r="I151" s="89"/>
      <c r="J151" s="89"/>
      <c r="K151" s="10"/>
      <c r="L151" s="10"/>
      <c r="M151" s="10"/>
      <c r="N151" s="85"/>
      <c r="O151" s="7"/>
      <c r="P151" s="7"/>
      <c r="Q151" s="7"/>
      <c r="R151" s="7"/>
    </row>
    <row r="152" spans="1:18" ht="15.75">
      <c r="A152" s="90"/>
      <c r="B152" s="91" t="s">
        <v>107</v>
      </c>
      <c r="C152" s="92"/>
      <c r="D152" s="92"/>
      <c r="E152" s="92"/>
      <c r="F152" s="92"/>
      <c r="G152" s="75"/>
      <c r="H152" s="75"/>
      <c r="I152" s="75"/>
      <c r="J152" s="93">
        <v>0.104</v>
      </c>
      <c r="K152" s="27"/>
      <c r="L152" s="27"/>
      <c r="M152" s="27"/>
      <c r="N152" s="85"/>
      <c r="O152" s="7"/>
      <c r="P152" s="7"/>
      <c r="Q152" s="7"/>
      <c r="R152" s="7"/>
    </row>
    <row r="153" spans="1:18" ht="15.75">
      <c r="A153" s="90"/>
      <c r="B153" s="91" t="s">
        <v>108</v>
      </c>
      <c r="C153" s="92"/>
      <c r="D153" s="92"/>
      <c r="E153" s="92"/>
      <c r="F153" s="92"/>
      <c r="G153" s="75"/>
      <c r="H153" s="75"/>
      <c r="I153" s="75"/>
      <c r="J153" s="46">
        <f>7.76710857142857/100</f>
        <v>0.0776710857142857</v>
      </c>
      <c r="K153" s="27"/>
      <c r="L153" s="27"/>
      <c r="M153" s="27"/>
      <c r="N153" s="85"/>
      <c r="O153" s="7"/>
      <c r="P153" s="7"/>
      <c r="Q153" s="7"/>
      <c r="R153" s="7"/>
    </row>
    <row r="154" spans="1:18" ht="15.75">
      <c r="A154" s="90"/>
      <c r="B154" s="91" t="s">
        <v>109</v>
      </c>
      <c r="C154" s="92"/>
      <c r="D154" s="92"/>
      <c r="E154" s="92"/>
      <c r="F154" s="92"/>
      <c r="G154" s="75"/>
      <c r="H154" s="75"/>
      <c r="I154" s="75"/>
      <c r="J154" s="93">
        <f>J152-J153</f>
        <v>0.026328914285714294</v>
      </c>
      <c r="K154" s="27"/>
      <c r="L154" s="27"/>
      <c r="M154" s="27"/>
      <c r="N154" s="85"/>
      <c r="O154" s="7"/>
      <c r="P154" s="7"/>
      <c r="Q154" s="7"/>
      <c r="R154" s="7"/>
    </row>
    <row r="155" spans="1:18" ht="15.75">
      <c r="A155" s="90"/>
      <c r="B155" s="91" t="s">
        <v>110</v>
      </c>
      <c r="C155" s="92"/>
      <c r="D155" s="92"/>
      <c r="E155" s="92"/>
      <c r="F155" s="92"/>
      <c r="G155" s="75"/>
      <c r="H155" s="75"/>
      <c r="I155" s="75"/>
      <c r="J155" s="93">
        <v>0.0906</v>
      </c>
      <c r="K155" s="27"/>
      <c r="L155" s="27"/>
      <c r="M155" s="27"/>
      <c r="N155" s="85"/>
      <c r="O155" s="7"/>
      <c r="P155" s="7"/>
      <c r="Q155" s="7"/>
      <c r="R155" s="7"/>
    </row>
    <row r="156" spans="1:18" ht="15.75">
      <c r="A156" s="90"/>
      <c r="B156" s="91" t="s">
        <v>111</v>
      </c>
      <c r="C156" s="92"/>
      <c r="D156" s="92"/>
      <c r="E156" s="92"/>
      <c r="F156" s="92"/>
      <c r="G156" s="75"/>
      <c r="H156" s="75"/>
      <c r="I156" s="75"/>
      <c r="J156" s="93">
        <f>L29</f>
        <v>0.054649079177380176</v>
      </c>
      <c r="K156" s="27"/>
      <c r="L156" s="27"/>
      <c r="M156" s="27"/>
      <c r="N156" s="85"/>
      <c r="O156" s="7"/>
      <c r="P156" s="7"/>
      <c r="Q156" s="7"/>
      <c r="R156" s="7"/>
    </row>
    <row r="157" spans="1:18" ht="15.75">
      <c r="A157" s="90"/>
      <c r="B157" s="91" t="s">
        <v>112</v>
      </c>
      <c r="C157" s="92"/>
      <c r="D157" s="92"/>
      <c r="E157" s="92"/>
      <c r="F157" s="92"/>
      <c r="G157" s="75"/>
      <c r="H157" s="75"/>
      <c r="I157" s="75"/>
      <c r="J157" s="93">
        <f>J155-J156</f>
        <v>0.035950920822619824</v>
      </c>
      <c r="K157" s="27"/>
      <c r="L157" s="27"/>
      <c r="M157" s="27"/>
      <c r="N157" s="85"/>
      <c r="O157" s="7"/>
      <c r="P157" s="7"/>
      <c r="Q157" s="7"/>
      <c r="R157" s="7"/>
    </row>
    <row r="158" spans="1:18" ht="15.75">
      <c r="A158" s="90"/>
      <c r="B158" s="91" t="s">
        <v>113</v>
      </c>
      <c r="C158" s="92"/>
      <c r="D158" s="92"/>
      <c r="E158" s="92"/>
      <c r="F158" s="92"/>
      <c r="G158" s="75"/>
      <c r="H158" s="75"/>
      <c r="I158" s="75"/>
      <c r="J158" s="94" t="s">
        <v>184</v>
      </c>
      <c r="K158" s="27"/>
      <c r="L158" s="27"/>
      <c r="M158" s="27"/>
      <c r="N158" s="85"/>
      <c r="O158" s="7"/>
      <c r="P158" s="7"/>
      <c r="Q158" s="7"/>
      <c r="R158" s="7"/>
    </row>
    <row r="159" spans="1:18" ht="15.75">
      <c r="A159" s="90"/>
      <c r="B159" s="91" t="s">
        <v>114</v>
      </c>
      <c r="C159" s="92"/>
      <c r="D159" s="92"/>
      <c r="E159" s="92"/>
      <c r="F159" s="92"/>
      <c r="G159" s="75"/>
      <c r="H159" s="75"/>
      <c r="I159" s="75"/>
      <c r="J159" s="95">
        <v>17.6</v>
      </c>
      <c r="K159" s="27" t="s">
        <v>189</v>
      </c>
      <c r="L159" s="27"/>
      <c r="M159" s="27"/>
      <c r="N159" s="85"/>
      <c r="O159" s="7"/>
      <c r="P159" s="7"/>
      <c r="Q159" s="7"/>
      <c r="R159" s="7"/>
    </row>
    <row r="160" spans="1:18" ht="15.75">
      <c r="A160" s="90"/>
      <c r="B160" s="91" t="s">
        <v>115</v>
      </c>
      <c r="C160" s="92"/>
      <c r="D160" s="92"/>
      <c r="E160" s="92"/>
      <c r="F160" s="92"/>
      <c r="G160" s="75"/>
      <c r="H160" s="75"/>
      <c r="I160" s="75"/>
      <c r="J160" s="95">
        <v>16</v>
      </c>
      <c r="K160" s="27" t="s">
        <v>189</v>
      </c>
      <c r="L160" s="27"/>
      <c r="M160" s="27"/>
      <c r="N160" s="85"/>
      <c r="O160" s="7"/>
      <c r="P160" s="7"/>
      <c r="Q160" s="7"/>
      <c r="R160" s="7"/>
    </row>
    <row r="161" spans="1:18" ht="15.75">
      <c r="A161" s="90"/>
      <c r="B161" s="91" t="s">
        <v>116</v>
      </c>
      <c r="C161" s="92"/>
      <c r="D161" s="92"/>
      <c r="E161" s="92"/>
      <c r="F161" s="92"/>
      <c r="G161" s="75"/>
      <c r="H161" s="75"/>
      <c r="I161" s="75"/>
      <c r="J161" s="93">
        <f>F53/D53*4</f>
        <v>0.22005656875569282</v>
      </c>
      <c r="K161" s="27"/>
      <c r="L161" s="27"/>
      <c r="M161" s="27"/>
      <c r="N161" s="85"/>
      <c r="O161" s="7"/>
      <c r="P161" s="7"/>
      <c r="Q161" s="7"/>
      <c r="R161" s="7"/>
    </row>
    <row r="162" spans="1:18" ht="15.75">
      <c r="A162" s="90"/>
      <c r="B162" s="91"/>
      <c r="C162" s="91"/>
      <c r="D162" s="91"/>
      <c r="E162" s="91"/>
      <c r="F162" s="91"/>
      <c r="G162" s="27"/>
      <c r="H162" s="27"/>
      <c r="I162" s="27"/>
      <c r="J162" s="54"/>
      <c r="K162" s="27"/>
      <c r="L162" s="96"/>
      <c r="M162" s="27"/>
      <c r="N162" s="85"/>
      <c r="O162" s="7"/>
      <c r="P162" s="7"/>
      <c r="Q162" s="7"/>
      <c r="R162" s="7"/>
    </row>
    <row r="163" spans="1:18" ht="15.75">
      <c r="A163" s="97"/>
      <c r="B163" s="17" t="s">
        <v>117</v>
      </c>
      <c r="C163" s="20"/>
      <c r="D163" s="98"/>
      <c r="E163" s="20"/>
      <c r="F163" s="98"/>
      <c r="G163" s="20"/>
      <c r="H163" s="98"/>
      <c r="I163" s="20" t="s">
        <v>171</v>
      </c>
      <c r="J163" s="98" t="s">
        <v>185</v>
      </c>
      <c r="K163" s="18"/>
      <c r="L163" s="18"/>
      <c r="M163" s="18"/>
      <c r="N163" s="85"/>
      <c r="O163" s="7"/>
      <c r="P163" s="7"/>
      <c r="Q163" s="7"/>
      <c r="R163" s="7"/>
    </row>
    <row r="164" spans="1:18" ht="15.75">
      <c r="A164" s="99"/>
      <c r="B164" s="91" t="s">
        <v>118</v>
      </c>
      <c r="C164" s="63"/>
      <c r="D164" s="63"/>
      <c r="E164" s="63"/>
      <c r="F164" s="27"/>
      <c r="G164" s="27"/>
      <c r="H164" s="27"/>
      <c r="I164" s="27">
        <v>408</v>
      </c>
      <c r="J164" s="100">
        <v>29903</v>
      </c>
      <c r="K164" s="27"/>
      <c r="L164" s="96"/>
      <c r="M164" s="101"/>
      <c r="N164" s="85"/>
      <c r="O164" s="7"/>
      <c r="P164" s="7"/>
      <c r="Q164" s="7"/>
      <c r="R164" s="7"/>
    </row>
    <row r="165" spans="1:18" ht="15.75">
      <c r="A165" s="99"/>
      <c r="B165" s="91" t="s">
        <v>119</v>
      </c>
      <c r="C165" s="63"/>
      <c r="D165" s="63"/>
      <c r="E165" s="63"/>
      <c r="F165" s="27"/>
      <c r="G165" s="27"/>
      <c r="H165" s="27"/>
      <c r="I165" s="27">
        <v>25</v>
      </c>
      <c r="J165" s="100">
        <v>1780</v>
      </c>
      <c r="K165" s="27"/>
      <c r="L165" s="96"/>
      <c r="M165" s="101"/>
      <c r="N165" s="85"/>
      <c r="O165" s="7"/>
      <c r="P165" s="7"/>
      <c r="Q165" s="7"/>
      <c r="R165" s="7"/>
    </row>
    <row r="166" spans="1:18" ht="15.75">
      <c r="A166" s="99"/>
      <c r="B166" s="102" t="s">
        <v>120</v>
      </c>
      <c r="C166" s="63"/>
      <c r="D166" s="63"/>
      <c r="E166" s="63"/>
      <c r="F166" s="27"/>
      <c r="G166" s="27"/>
      <c r="H166" s="27"/>
      <c r="I166" s="27">
        <v>1</v>
      </c>
      <c r="J166" s="100">
        <v>70</v>
      </c>
      <c r="K166" s="27"/>
      <c r="L166" s="96"/>
      <c r="M166" s="101"/>
      <c r="N166" s="85"/>
      <c r="O166" s="7"/>
      <c r="P166" s="7"/>
      <c r="Q166" s="7"/>
      <c r="R166" s="7"/>
    </row>
    <row r="167" spans="1:18" ht="15.75">
      <c r="A167" s="99"/>
      <c r="B167" s="102" t="s">
        <v>121</v>
      </c>
      <c r="C167" s="63"/>
      <c r="D167" s="63"/>
      <c r="E167" s="63"/>
      <c r="F167" s="27"/>
      <c r="G167" s="27"/>
      <c r="H167" s="27"/>
      <c r="I167" s="27"/>
      <c r="J167" s="103" t="s">
        <v>186</v>
      </c>
      <c r="K167" s="27"/>
      <c r="L167" s="96"/>
      <c r="M167" s="101"/>
      <c r="N167" s="85"/>
      <c r="O167" s="7"/>
      <c r="P167" s="7"/>
      <c r="Q167" s="7"/>
      <c r="R167" s="7"/>
    </row>
    <row r="168" spans="1:18" ht="15.75">
      <c r="A168" s="104"/>
      <c r="B168" s="102" t="s">
        <v>122</v>
      </c>
      <c r="C168" s="63"/>
      <c r="D168" s="91"/>
      <c r="E168" s="91"/>
      <c r="F168" s="91"/>
      <c r="G168" s="27"/>
      <c r="H168" s="27"/>
      <c r="I168" s="27"/>
      <c r="J168" s="103"/>
      <c r="K168" s="27"/>
      <c r="L168" s="96"/>
      <c r="M168" s="105"/>
      <c r="N168" s="85"/>
      <c r="O168" s="7"/>
      <c r="P168" s="7"/>
      <c r="Q168" s="7"/>
      <c r="R168" s="7"/>
    </row>
    <row r="169" spans="1:18" ht="15.75">
      <c r="A169" s="99"/>
      <c r="B169" s="91" t="s">
        <v>123</v>
      </c>
      <c r="C169" s="63"/>
      <c r="D169" s="63"/>
      <c r="E169" s="63"/>
      <c r="F169" s="63"/>
      <c r="G169" s="27"/>
      <c r="H169" s="27"/>
      <c r="I169" s="27">
        <v>11</v>
      </c>
      <c r="J169" s="100">
        <f>L121</f>
        <v>374</v>
      </c>
      <c r="K169" s="27"/>
      <c r="L169" s="96"/>
      <c r="M169" s="105"/>
      <c r="N169" s="85"/>
      <c r="O169" s="7"/>
      <c r="P169" s="7"/>
      <c r="Q169" s="7"/>
      <c r="R169" s="7"/>
    </row>
    <row r="170" spans="1:18" ht="15.75">
      <c r="A170" s="99"/>
      <c r="B170" s="91" t="s">
        <v>124</v>
      </c>
      <c r="C170" s="63"/>
      <c r="D170" s="63"/>
      <c r="E170" s="63"/>
      <c r="F170" s="63"/>
      <c r="G170" s="27"/>
      <c r="H170" s="27"/>
      <c r="I170" s="27">
        <v>56</v>
      </c>
      <c r="J170" s="100">
        <f>L122</f>
        <v>1232</v>
      </c>
      <c r="K170" s="27"/>
      <c r="L170" s="96"/>
      <c r="M170" s="105"/>
      <c r="N170" s="85"/>
      <c r="O170" s="7"/>
      <c r="P170" s="7"/>
      <c r="Q170" s="7"/>
      <c r="R170" s="7"/>
    </row>
    <row r="171" spans="1:18" ht="15.75">
      <c r="A171" s="104"/>
      <c r="B171" s="102" t="s">
        <v>125</v>
      </c>
      <c r="C171" s="63"/>
      <c r="D171" s="91"/>
      <c r="E171" s="91"/>
      <c r="F171" s="91"/>
      <c r="G171" s="27"/>
      <c r="H171" s="27"/>
      <c r="I171" s="27"/>
      <c r="J171" s="100"/>
      <c r="K171" s="27"/>
      <c r="L171" s="96"/>
      <c r="M171" s="105"/>
      <c r="N171" s="85"/>
      <c r="O171" s="7"/>
      <c r="P171" s="7"/>
      <c r="Q171" s="7"/>
      <c r="R171" s="7"/>
    </row>
    <row r="172" spans="1:18" ht="15.75">
      <c r="A172" s="104"/>
      <c r="B172" s="91" t="s">
        <v>126</v>
      </c>
      <c r="C172" s="63"/>
      <c r="D172" s="91"/>
      <c r="E172" s="91"/>
      <c r="F172" s="91"/>
      <c r="G172" s="27"/>
      <c r="H172" s="27"/>
      <c r="I172" s="27">
        <v>12</v>
      </c>
      <c r="J172" s="100">
        <v>680</v>
      </c>
      <c r="K172" s="27"/>
      <c r="L172" s="96"/>
      <c r="M172" s="105"/>
      <c r="N172" s="85"/>
      <c r="O172" s="7"/>
      <c r="P172" s="7"/>
      <c r="Q172" s="7"/>
      <c r="R172" s="7"/>
    </row>
    <row r="173" spans="1:18" ht="15.75">
      <c r="A173" s="99"/>
      <c r="B173" s="91" t="s">
        <v>127</v>
      </c>
      <c r="C173" s="63"/>
      <c r="D173" s="106"/>
      <c r="E173" s="106"/>
      <c r="F173" s="107"/>
      <c r="G173" s="27"/>
      <c r="H173" s="27"/>
      <c r="I173" s="27"/>
      <c r="J173" s="103">
        <v>28.17</v>
      </c>
      <c r="K173" s="27"/>
      <c r="L173" s="96"/>
      <c r="M173" s="105"/>
      <c r="N173" s="85"/>
      <c r="O173" s="7"/>
      <c r="P173" s="7"/>
      <c r="Q173" s="7"/>
      <c r="R173" s="7"/>
    </row>
    <row r="174" spans="1:18" ht="15.75">
      <c r="A174" s="99"/>
      <c r="B174" s="91" t="s">
        <v>128</v>
      </c>
      <c r="C174" s="63"/>
      <c r="D174" s="106"/>
      <c r="E174" s="106"/>
      <c r="F174" s="107"/>
      <c r="G174" s="27"/>
      <c r="H174" s="27"/>
      <c r="I174" s="27"/>
      <c r="J174" s="103">
        <v>6.75</v>
      </c>
      <c r="K174" s="27"/>
      <c r="L174" s="96"/>
      <c r="M174" s="105"/>
      <c r="N174" s="85"/>
      <c r="O174" s="7"/>
      <c r="P174" s="7"/>
      <c r="Q174" s="7"/>
      <c r="R174" s="7"/>
    </row>
    <row r="175" spans="1:18" ht="15.75">
      <c r="A175" s="99"/>
      <c r="B175" s="91" t="s">
        <v>129</v>
      </c>
      <c r="C175" s="63"/>
      <c r="D175" s="109"/>
      <c r="E175" s="106"/>
      <c r="F175" s="107"/>
      <c r="G175" s="27"/>
      <c r="H175" s="27"/>
      <c r="I175" s="27"/>
      <c r="J175" s="110">
        <v>0.9193</v>
      </c>
      <c r="K175" s="27"/>
      <c r="L175" s="96"/>
      <c r="M175" s="105"/>
      <c r="N175" s="85"/>
      <c r="O175" s="7"/>
      <c r="P175" s="7"/>
      <c r="Q175" s="7"/>
      <c r="R175" s="7"/>
    </row>
    <row r="176" spans="1:18" ht="15.75">
      <c r="A176" s="99"/>
      <c r="B176" s="91"/>
      <c r="C176" s="63"/>
      <c r="D176" s="109"/>
      <c r="E176" s="106"/>
      <c r="F176" s="107"/>
      <c r="G176" s="27"/>
      <c r="H176" s="27"/>
      <c r="I176" s="27"/>
      <c r="J176" s="110"/>
      <c r="K176" s="27"/>
      <c r="L176" s="96"/>
      <c r="M176" s="105"/>
      <c r="N176" s="85"/>
      <c r="O176" s="7"/>
      <c r="P176" s="7"/>
      <c r="Q176" s="7"/>
      <c r="R176" s="7"/>
    </row>
    <row r="177" spans="1:18" ht="15.75">
      <c r="A177" s="8"/>
      <c r="B177" s="17" t="s">
        <v>130</v>
      </c>
      <c r="C177" s="20"/>
      <c r="D177" s="98"/>
      <c r="E177" s="20"/>
      <c r="F177" s="98"/>
      <c r="G177" s="20"/>
      <c r="H177" s="98" t="s">
        <v>171</v>
      </c>
      <c r="I177" s="20" t="s">
        <v>172</v>
      </c>
      <c r="J177" s="98" t="s">
        <v>187</v>
      </c>
      <c r="K177" s="20" t="s">
        <v>172</v>
      </c>
      <c r="L177" s="10"/>
      <c r="M177" s="111"/>
      <c r="N177" s="85"/>
      <c r="O177" s="7"/>
      <c r="P177" s="7"/>
      <c r="Q177" s="7"/>
      <c r="R177" s="7"/>
    </row>
    <row r="178" spans="1:18" ht="15.75">
      <c r="A178" s="26"/>
      <c r="B178" s="63" t="s">
        <v>131</v>
      </c>
      <c r="C178" s="112"/>
      <c r="D178" s="63"/>
      <c r="E178" s="112"/>
      <c r="F178" s="27"/>
      <c r="G178" s="112"/>
      <c r="H178" s="63">
        <f>180+1694</f>
        <v>1874</v>
      </c>
      <c r="I178" s="113">
        <f>H178/H184</f>
        <v>0.6497919556171984</v>
      </c>
      <c r="J178" s="62">
        <f>6170+74797</f>
        <v>80967</v>
      </c>
      <c r="K178" s="113">
        <f>J178/J184</f>
        <v>0.5867854243970315</v>
      </c>
      <c r="L178" s="96"/>
      <c r="M178" s="105"/>
      <c r="N178" s="85"/>
      <c r="O178" s="7"/>
      <c r="P178" s="7"/>
      <c r="Q178" s="7"/>
      <c r="R178" s="7"/>
    </row>
    <row r="179" spans="1:18" ht="15.75">
      <c r="A179" s="26"/>
      <c r="B179" s="63" t="s">
        <v>132</v>
      </c>
      <c r="C179" s="112"/>
      <c r="D179" s="63"/>
      <c r="E179" s="112"/>
      <c r="F179" s="27"/>
      <c r="G179" s="114"/>
      <c r="H179" s="63">
        <f>48+18</f>
        <v>66</v>
      </c>
      <c r="I179" s="112">
        <f>H179/H184</f>
        <v>0.02288488210818308</v>
      </c>
      <c r="J179" s="62">
        <f>1725+618</f>
        <v>2343</v>
      </c>
      <c r="K179" s="113">
        <f>J179/J184</f>
        <v>0.016980229591836735</v>
      </c>
      <c r="L179" s="96"/>
      <c r="M179" s="105"/>
      <c r="N179" s="85"/>
      <c r="O179" s="7"/>
      <c r="P179" s="7"/>
      <c r="Q179" s="7"/>
      <c r="R179" s="7"/>
    </row>
    <row r="180" spans="1:18" ht="15.75">
      <c r="A180" s="26"/>
      <c r="B180" s="63" t="s">
        <v>133</v>
      </c>
      <c r="C180" s="112"/>
      <c r="D180" s="63"/>
      <c r="E180" s="112"/>
      <c r="F180" s="27"/>
      <c r="G180" s="114"/>
      <c r="H180" s="63">
        <f>34+12</f>
        <v>46</v>
      </c>
      <c r="I180" s="112">
        <f>H180/H184</f>
        <v>0.0159500693481276</v>
      </c>
      <c r="J180" s="62">
        <f>1415+566</f>
        <v>1981</v>
      </c>
      <c r="K180" s="113">
        <f>J180/J184</f>
        <v>0.014356737012987012</v>
      </c>
      <c r="L180" s="96"/>
      <c r="M180" s="105"/>
      <c r="N180" s="85"/>
      <c r="O180" s="7"/>
      <c r="P180" s="7"/>
      <c r="Q180" s="7"/>
      <c r="R180" s="7"/>
    </row>
    <row r="181" spans="1:18" ht="15.75">
      <c r="A181" s="26"/>
      <c r="B181" s="63" t="s">
        <v>134</v>
      </c>
      <c r="C181" s="112"/>
      <c r="D181" s="63"/>
      <c r="E181" s="112"/>
      <c r="F181" s="27"/>
      <c r="G181" s="114"/>
      <c r="H181" s="63">
        <f>30+853+4+11</f>
        <v>898</v>
      </c>
      <c r="I181" s="112">
        <f>H181/H184</f>
        <v>0.31137309292649096</v>
      </c>
      <c r="J181" s="62">
        <f>1204+41513+740+359+320+1671-1669-4</f>
        <v>44134</v>
      </c>
      <c r="K181" s="113">
        <f>J181/J184</f>
        <v>0.3198486781076067</v>
      </c>
      <c r="L181" s="96"/>
      <c r="M181" s="105"/>
      <c r="N181" s="85"/>
      <c r="O181" s="7"/>
      <c r="P181" s="7"/>
      <c r="Q181" s="7"/>
      <c r="R181" s="7"/>
    </row>
    <row r="182" spans="1:18" ht="15.75">
      <c r="A182" s="26"/>
      <c r="B182" s="30"/>
      <c r="C182" s="112"/>
      <c r="D182" s="63"/>
      <c r="E182" s="112"/>
      <c r="F182" s="27"/>
      <c r="G182" s="114"/>
      <c r="H182" s="63"/>
      <c r="I182" s="112"/>
      <c r="J182" s="62"/>
      <c r="K182" s="113"/>
      <c r="L182" s="96"/>
      <c r="M182" s="105"/>
      <c r="N182" s="85"/>
      <c r="O182" s="7"/>
      <c r="P182" s="7"/>
      <c r="Q182" s="7"/>
      <c r="R182" s="7"/>
    </row>
    <row r="183" spans="1:18" ht="15.75">
      <c r="A183" s="26"/>
      <c r="B183" s="63" t="s">
        <v>135</v>
      </c>
      <c r="C183" s="115"/>
      <c r="D183" s="101"/>
      <c r="E183" s="115"/>
      <c r="F183" s="27"/>
      <c r="G183" s="115"/>
      <c r="H183" s="101"/>
      <c r="I183" s="115"/>
      <c r="J183" s="62">
        <v>8559</v>
      </c>
      <c r="K183" s="113">
        <f>J183/J184</f>
        <v>0.062028930890538035</v>
      </c>
      <c r="L183" s="96"/>
      <c r="M183" s="105"/>
      <c r="N183" s="85"/>
      <c r="O183" s="7"/>
      <c r="P183" s="7"/>
      <c r="Q183" s="7"/>
      <c r="R183" s="7"/>
    </row>
    <row r="184" spans="1:18" ht="15.75">
      <c r="A184" s="26"/>
      <c r="B184" s="27"/>
      <c r="C184" s="27"/>
      <c r="D184" s="27"/>
      <c r="E184" s="27"/>
      <c r="F184" s="27"/>
      <c r="G184" s="27"/>
      <c r="H184" s="38">
        <f>SUM(H178:H182)</f>
        <v>2884</v>
      </c>
      <c r="I184" s="116">
        <f>SUM(I178:I183)</f>
        <v>1</v>
      </c>
      <c r="J184" s="62">
        <f>SUM(J178:J183)</f>
        <v>137984</v>
      </c>
      <c r="K184" s="116">
        <f>SUM(K178:K183)</f>
        <v>1</v>
      </c>
      <c r="L184" s="27"/>
      <c r="M184" s="27"/>
      <c r="N184" s="117"/>
      <c r="O184" s="118"/>
      <c r="P184" s="118"/>
      <c r="Q184" s="118"/>
      <c r="R184" s="118"/>
    </row>
    <row r="185" spans="1:18" ht="15.75">
      <c r="A185" s="26"/>
      <c r="B185" s="27"/>
      <c r="C185" s="27"/>
      <c r="D185" s="27"/>
      <c r="E185" s="27"/>
      <c r="F185" s="27"/>
      <c r="G185" s="27"/>
      <c r="H185" s="38"/>
      <c r="I185" s="116"/>
      <c r="J185" s="62"/>
      <c r="K185" s="116"/>
      <c r="L185" s="27"/>
      <c r="M185" s="27"/>
      <c r="N185" s="117"/>
      <c r="O185" s="118"/>
      <c r="P185" s="118"/>
      <c r="Q185" s="118"/>
      <c r="R185" s="118"/>
    </row>
    <row r="186" spans="1:18" ht="15.75">
      <c r="A186" s="26"/>
      <c r="B186" s="27"/>
      <c r="C186" s="27"/>
      <c r="D186" s="27"/>
      <c r="E186" s="27"/>
      <c r="F186" s="27"/>
      <c r="G186" s="27"/>
      <c r="H186" s="38"/>
      <c r="I186" s="116"/>
      <c r="J186" s="62"/>
      <c r="K186" s="116"/>
      <c r="L186" s="27"/>
      <c r="M186" s="27"/>
      <c r="N186" s="117"/>
      <c r="O186" s="118"/>
      <c r="P186" s="118"/>
      <c r="Q186" s="118"/>
      <c r="R186" s="118"/>
    </row>
    <row r="187" spans="1:18" ht="15.75">
      <c r="A187" s="124"/>
      <c r="B187" s="17" t="s">
        <v>136</v>
      </c>
      <c r="C187" s="122"/>
      <c r="D187" s="20" t="s">
        <v>151</v>
      </c>
      <c r="E187" s="18"/>
      <c r="F187" s="17" t="s">
        <v>161</v>
      </c>
      <c r="G187" s="123"/>
      <c r="H187" s="123"/>
      <c r="I187" s="123"/>
      <c r="J187" s="123"/>
      <c r="K187" s="123"/>
      <c r="L187" s="15"/>
      <c r="M187" s="15"/>
      <c r="N187" s="117"/>
      <c r="O187" s="118"/>
      <c r="P187" s="118"/>
      <c r="Q187" s="118"/>
      <c r="R187" s="118"/>
    </row>
    <row r="188" spans="1:18" ht="15.75">
      <c r="A188" s="124"/>
      <c r="B188" s="15"/>
      <c r="C188" s="15"/>
      <c r="D188" s="10"/>
      <c r="E188" s="10"/>
      <c r="F188" s="10"/>
      <c r="G188" s="15"/>
      <c r="H188" s="15"/>
      <c r="I188" s="15"/>
      <c r="J188" s="15"/>
      <c r="K188" s="15"/>
      <c r="L188" s="15"/>
      <c r="M188" s="15"/>
      <c r="N188" s="117"/>
      <c r="O188" s="118"/>
      <c r="P188" s="118"/>
      <c r="Q188" s="118"/>
      <c r="R188" s="118"/>
    </row>
    <row r="189" spans="1:18" ht="15.75">
      <c r="A189" s="124"/>
      <c r="B189" s="16" t="s">
        <v>137</v>
      </c>
      <c r="C189" s="125"/>
      <c r="D189" s="126" t="s">
        <v>152</v>
      </c>
      <c r="E189" s="16"/>
      <c r="F189" s="16" t="s">
        <v>162</v>
      </c>
      <c r="G189" s="125"/>
      <c r="H189" s="125"/>
      <c r="I189" s="15"/>
      <c r="J189" s="15"/>
      <c r="K189" s="15"/>
      <c r="L189" s="15"/>
      <c r="M189" s="15"/>
      <c r="N189" s="117"/>
      <c r="O189" s="118"/>
      <c r="P189" s="118"/>
      <c r="Q189" s="118"/>
      <c r="R189" s="118"/>
    </row>
    <row r="190" spans="1:18" ht="15.75">
      <c r="A190" s="124"/>
      <c r="B190" s="16" t="s">
        <v>138</v>
      </c>
      <c r="C190" s="125"/>
      <c r="D190" s="126" t="s">
        <v>153</v>
      </c>
      <c r="E190" s="16"/>
      <c r="F190" s="16" t="s">
        <v>163</v>
      </c>
      <c r="G190" s="125"/>
      <c r="H190" s="125"/>
      <c r="I190" s="15"/>
      <c r="J190" s="15"/>
      <c r="K190" s="15"/>
      <c r="L190" s="15"/>
      <c r="M190" s="15"/>
      <c r="N190" s="117"/>
      <c r="O190" s="118"/>
      <c r="P190" s="118"/>
      <c r="Q190" s="118"/>
      <c r="R190" s="118"/>
    </row>
    <row r="191" spans="1:18" ht="15">
      <c r="A191" s="124"/>
      <c r="B191" s="15"/>
      <c r="C191" s="15"/>
      <c r="D191" s="15"/>
      <c r="E191" s="15"/>
      <c r="F191" s="15"/>
      <c r="G191" s="15"/>
      <c r="H191" s="15"/>
      <c r="I191" s="15"/>
      <c r="J191" s="15"/>
      <c r="K191" s="15"/>
      <c r="L191" s="15"/>
      <c r="M191" s="15"/>
      <c r="N191" s="117"/>
      <c r="O191" s="118"/>
      <c r="P191" s="118"/>
      <c r="Q191" s="118"/>
      <c r="R191" s="118"/>
    </row>
    <row r="192" spans="1:18" ht="15">
      <c r="A192" s="124"/>
      <c r="B192" s="15"/>
      <c r="C192" s="15"/>
      <c r="D192" s="15"/>
      <c r="E192" s="15"/>
      <c r="F192" s="15"/>
      <c r="G192" s="15"/>
      <c r="H192" s="15"/>
      <c r="I192" s="15"/>
      <c r="J192" s="15"/>
      <c r="K192" s="15"/>
      <c r="L192" s="15"/>
      <c r="M192" s="15"/>
      <c r="N192" s="117"/>
      <c r="O192" s="118"/>
      <c r="P192" s="118"/>
      <c r="Q192" s="118"/>
      <c r="R192" s="118"/>
    </row>
    <row r="193" spans="1:18" ht="15">
      <c r="A193" s="127"/>
      <c r="B193" s="127"/>
      <c r="C193" s="127"/>
      <c r="D193" s="127"/>
      <c r="E193" s="127"/>
      <c r="F193" s="127"/>
      <c r="G193" s="127"/>
      <c r="H193" s="127"/>
      <c r="I193" s="127"/>
      <c r="J193" s="127"/>
      <c r="K193" s="127"/>
      <c r="L193" s="127"/>
      <c r="M193" s="127"/>
      <c r="N193" s="128"/>
      <c r="O193" s="7"/>
      <c r="P193" s="7"/>
      <c r="Q193" s="7"/>
      <c r="R193" s="7"/>
    </row>
    <row r="194" spans="1:18" ht="15">
      <c r="A194" s="7"/>
      <c r="B194" s="7"/>
      <c r="C194" s="7"/>
      <c r="D194" s="7"/>
      <c r="E194" s="7"/>
      <c r="F194" s="7"/>
      <c r="G194" s="7"/>
      <c r="H194" s="7"/>
      <c r="I194" s="7"/>
      <c r="J194" s="7"/>
      <c r="K194" s="7"/>
      <c r="L194" s="7"/>
      <c r="M194" s="7"/>
      <c r="N194" s="128"/>
      <c r="O194" s="7"/>
      <c r="P194" s="7"/>
      <c r="Q194" s="7"/>
      <c r="R194" s="7"/>
    </row>
    <row r="195" spans="1:18" ht="15">
      <c r="A195" s="7"/>
      <c r="B195" s="7"/>
      <c r="C195" s="7"/>
      <c r="D195" s="7"/>
      <c r="E195" s="7"/>
      <c r="F195" s="7"/>
      <c r="G195" s="7"/>
      <c r="H195" s="7"/>
      <c r="I195" s="7"/>
      <c r="J195" s="7"/>
      <c r="K195" s="7"/>
      <c r="L195" s="7"/>
      <c r="M195" s="7"/>
      <c r="N195" s="128"/>
      <c r="O195" s="7"/>
      <c r="P195" s="7"/>
      <c r="Q195" s="7"/>
      <c r="R195" s="7"/>
    </row>
    <row r="196" spans="1:18" ht="15.75">
      <c r="A196" s="7"/>
      <c r="B196" s="7"/>
      <c r="C196" s="7"/>
      <c r="D196" s="7"/>
      <c r="E196" s="7"/>
      <c r="F196" s="7"/>
      <c r="G196" s="7"/>
      <c r="H196" s="7"/>
      <c r="I196" s="7"/>
      <c r="J196" s="7"/>
      <c r="K196" s="7"/>
      <c r="L196" s="7"/>
      <c r="M196" s="129"/>
      <c r="N196" s="7"/>
      <c r="O196" s="7"/>
      <c r="P196" s="7"/>
      <c r="Q196" s="7"/>
      <c r="R196" s="7"/>
    </row>
    <row r="197" spans="1:18" ht="15">
      <c r="A197" s="7"/>
      <c r="B197" s="7"/>
      <c r="C197" s="7"/>
      <c r="D197" s="7"/>
      <c r="E197" s="7"/>
      <c r="F197" s="7"/>
      <c r="G197" s="7"/>
      <c r="H197" s="7"/>
      <c r="I197" s="7"/>
      <c r="J197" s="7"/>
      <c r="K197" s="7"/>
      <c r="L197" s="7"/>
      <c r="M197" s="7"/>
      <c r="N197" s="7"/>
      <c r="O197" s="7"/>
      <c r="P197" s="7"/>
      <c r="Q197" s="7"/>
      <c r="R197" s="7"/>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3.xml><?xml version="1.0" encoding="utf-8"?>
<worksheet xmlns="http://schemas.openxmlformats.org/spreadsheetml/2006/main" xmlns:r="http://schemas.openxmlformats.org/officeDocument/2006/relationships">
  <dimension ref="A1:Q195"/>
  <sheetViews>
    <sheetView showOutlineSymbols="0" zoomScale="70" zoomScaleNormal="70" workbookViewId="0" topLeftCell="C1">
      <selection activeCell="M10" sqref="M10"/>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1.10546875" style="1" customWidth="1"/>
    <col min="14" max="16384" width="9.6640625" style="1" customWidth="1"/>
  </cols>
  <sheetData>
    <row r="1" spans="1:17" ht="20.25">
      <c r="A1" s="2"/>
      <c r="B1" s="3" t="s">
        <v>0</v>
      </c>
      <c r="C1" s="4"/>
      <c r="D1" s="5"/>
      <c r="E1" s="5"/>
      <c r="F1" s="5"/>
      <c r="G1" s="5"/>
      <c r="H1" s="5"/>
      <c r="I1" s="5"/>
      <c r="J1" s="5"/>
      <c r="K1" s="5"/>
      <c r="L1" s="5"/>
      <c r="M1" s="5"/>
      <c r="N1" s="6"/>
      <c r="O1" s="7"/>
      <c r="P1" s="7"/>
      <c r="Q1" s="7" t="s">
        <v>199</v>
      </c>
    </row>
    <row r="2" spans="1:17" ht="15.75">
      <c r="A2" s="8"/>
      <c r="B2" s="9"/>
      <c r="C2" s="9"/>
      <c r="D2" s="10"/>
      <c r="E2" s="10"/>
      <c r="F2" s="10"/>
      <c r="G2" s="10"/>
      <c r="H2" s="10"/>
      <c r="I2" s="10"/>
      <c r="J2" s="10"/>
      <c r="K2" s="10"/>
      <c r="L2" s="10"/>
      <c r="M2" s="10"/>
      <c r="N2" s="6"/>
      <c r="O2" s="7"/>
      <c r="P2" s="7"/>
      <c r="Q2" s="7" t="s">
        <v>200</v>
      </c>
    </row>
    <row r="3" spans="1:17" ht="15.75">
      <c r="A3" s="11"/>
      <c r="B3" s="12" t="s">
        <v>1</v>
      </c>
      <c r="C3" s="10"/>
      <c r="D3" s="10"/>
      <c r="E3" s="10"/>
      <c r="F3" s="10"/>
      <c r="G3" s="10"/>
      <c r="H3" s="10"/>
      <c r="I3" s="10"/>
      <c r="J3" s="10"/>
      <c r="K3" s="10"/>
      <c r="L3" s="10"/>
      <c r="M3" s="10"/>
      <c r="N3" s="6"/>
      <c r="O3" s="7"/>
      <c r="P3" s="7"/>
      <c r="Q3" s="7" t="s">
        <v>201</v>
      </c>
    </row>
    <row r="4" spans="1:17" ht="15.75">
      <c r="A4" s="8"/>
      <c r="B4" s="9"/>
      <c r="C4" s="9"/>
      <c r="D4" s="10"/>
      <c r="E4" s="10"/>
      <c r="F4" s="10"/>
      <c r="G4" s="10"/>
      <c r="H4" s="10"/>
      <c r="I4" s="10"/>
      <c r="J4" s="10"/>
      <c r="K4" s="10"/>
      <c r="L4" s="10"/>
      <c r="M4" s="10"/>
      <c r="N4" s="6"/>
      <c r="O4" s="7"/>
      <c r="P4" s="7"/>
      <c r="Q4" s="7" t="s">
        <v>200</v>
      </c>
    </row>
    <row r="5" spans="1:17" ht="15.75">
      <c r="A5" s="8"/>
      <c r="B5" s="13" t="s">
        <v>2</v>
      </c>
      <c r="C5" s="14"/>
      <c r="D5" s="10"/>
      <c r="E5" s="10"/>
      <c r="F5" s="10"/>
      <c r="G5" s="10"/>
      <c r="H5" s="10"/>
      <c r="I5" s="10"/>
      <c r="J5" s="10"/>
      <c r="K5" s="10"/>
      <c r="L5" s="10"/>
      <c r="M5" s="10"/>
      <c r="N5" s="6"/>
      <c r="O5" s="7"/>
      <c r="P5" s="7"/>
      <c r="Q5" s="7" t="s">
        <v>202</v>
      </c>
    </row>
    <row r="6" spans="1:17" ht="15.75">
      <c r="A6" s="8"/>
      <c r="B6" s="13" t="s">
        <v>3</v>
      </c>
      <c r="C6" s="14"/>
      <c r="D6" s="10"/>
      <c r="E6" s="10"/>
      <c r="F6" s="10"/>
      <c r="G6" s="10"/>
      <c r="H6" s="10"/>
      <c r="I6" s="10"/>
      <c r="J6" s="10"/>
      <c r="K6" s="10"/>
      <c r="L6" s="10"/>
      <c r="M6" s="10"/>
      <c r="N6" s="6"/>
      <c r="O6" s="7"/>
      <c r="P6" s="7"/>
      <c r="Q6" s="7"/>
    </row>
    <row r="7" spans="1:17" ht="15.75">
      <c r="A7" s="8"/>
      <c r="B7" s="13" t="s">
        <v>4</v>
      </c>
      <c r="C7" s="14"/>
      <c r="D7" s="10"/>
      <c r="E7" s="10"/>
      <c r="F7" s="10"/>
      <c r="G7" s="10"/>
      <c r="H7" s="10"/>
      <c r="I7" s="10"/>
      <c r="J7" s="10"/>
      <c r="K7" s="10"/>
      <c r="L7" s="10"/>
      <c r="M7" s="10"/>
      <c r="N7" s="6"/>
      <c r="O7" s="7"/>
      <c r="P7" s="7"/>
      <c r="Q7" s="7" t="s">
        <v>200</v>
      </c>
    </row>
    <row r="8" spans="1:17" ht="15.75">
      <c r="A8" s="8"/>
      <c r="B8" s="13" t="s">
        <v>5</v>
      </c>
      <c r="C8" s="14"/>
      <c r="D8" s="10"/>
      <c r="E8" s="10"/>
      <c r="F8" s="10"/>
      <c r="G8" s="10"/>
      <c r="H8" s="10"/>
      <c r="I8" s="10"/>
      <c r="J8" s="10"/>
      <c r="K8" s="10"/>
      <c r="L8" s="10"/>
      <c r="M8" s="10"/>
      <c r="N8" s="6"/>
      <c r="O8" s="7"/>
      <c r="P8" s="7"/>
      <c r="Q8" s="7" t="s">
        <v>203</v>
      </c>
    </row>
    <row r="9" spans="1:17" ht="15.75">
      <c r="A9" s="8"/>
      <c r="B9" s="15"/>
      <c r="C9" s="14"/>
      <c r="D9" s="10"/>
      <c r="E9" s="10"/>
      <c r="F9" s="10"/>
      <c r="G9" s="10"/>
      <c r="H9" s="10"/>
      <c r="I9" s="10"/>
      <c r="J9" s="10"/>
      <c r="K9" s="10"/>
      <c r="L9" s="10"/>
      <c r="M9" s="10"/>
      <c r="N9" s="6"/>
      <c r="O9" s="7"/>
      <c r="P9" s="7"/>
      <c r="Q9" s="7" t="s">
        <v>200</v>
      </c>
    </row>
    <row r="10" spans="1:17" ht="15.75">
      <c r="A10" s="8"/>
      <c r="B10" s="13"/>
      <c r="C10" s="14"/>
      <c r="D10" s="16"/>
      <c r="E10" s="16"/>
      <c r="F10" s="10"/>
      <c r="G10" s="10"/>
      <c r="H10" s="10"/>
      <c r="I10" s="10"/>
      <c r="J10" s="10"/>
      <c r="K10" s="10"/>
      <c r="L10" s="10"/>
      <c r="M10" s="10"/>
      <c r="N10" s="6"/>
      <c r="O10" s="7"/>
      <c r="P10" s="7"/>
      <c r="Q10" s="7"/>
    </row>
    <row r="11" spans="1:17" ht="15.75">
      <c r="A11" s="8"/>
      <c r="B11" s="16" t="s">
        <v>6</v>
      </c>
      <c r="C11" s="16"/>
      <c r="D11" s="10"/>
      <c r="E11" s="10"/>
      <c r="F11" s="10"/>
      <c r="G11" s="10"/>
      <c r="H11" s="10"/>
      <c r="I11" s="10"/>
      <c r="J11" s="10"/>
      <c r="K11" s="10"/>
      <c r="L11" s="10"/>
      <c r="M11" s="10"/>
      <c r="N11" s="6"/>
      <c r="O11" s="7"/>
      <c r="P11" s="7"/>
      <c r="Q11" s="7"/>
    </row>
    <row r="12" spans="1:17" ht="15.75">
      <c r="A12" s="8"/>
      <c r="B12" s="16"/>
      <c r="C12" s="16"/>
      <c r="D12" s="10"/>
      <c r="E12" s="10"/>
      <c r="F12" s="10"/>
      <c r="G12" s="10"/>
      <c r="H12" s="10"/>
      <c r="I12" s="10"/>
      <c r="J12" s="10"/>
      <c r="K12" s="10"/>
      <c r="L12" s="10"/>
      <c r="M12" s="10"/>
      <c r="N12" s="6"/>
      <c r="O12" s="7"/>
      <c r="P12" s="7"/>
      <c r="Q12" s="7"/>
    </row>
    <row r="13" spans="1:17" ht="15.75">
      <c r="A13" s="2"/>
      <c r="B13" s="5"/>
      <c r="C13" s="5"/>
      <c r="D13" s="5"/>
      <c r="E13" s="5"/>
      <c r="F13" s="5"/>
      <c r="G13" s="5"/>
      <c r="H13" s="5"/>
      <c r="I13" s="5"/>
      <c r="J13" s="5"/>
      <c r="K13" s="5"/>
      <c r="L13" s="5"/>
      <c r="M13" s="5"/>
      <c r="N13" s="6"/>
      <c r="O13" s="7"/>
      <c r="P13" s="7"/>
      <c r="Q13" s="7"/>
    </row>
    <row r="14" spans="1:17" ht="15.75">
      <c r="A14" s="8"/>
      <c r="B14" s="17" t="s">
        <v>7</v>
      </c>
      <c r="C14" s="17"/>
      <c r="D14" s="18"/>
      <c r="E14" s="18"/>
      <c r="F14" s="18"/>
      <c r="G14" s="18"/>
      <c r="H14" s="18"/>
      <c r="I14" s="18"/>
      <c r="J14" s="18"/>
      <c r="K14" s="18"/>
      <c r="L14" s="19" t="s">
        <v>190</v>
      </c>
      <c r="M14" s="18"/>
      <c r="N14" s="6"/>
      <c r="O14" s="7"/>
      <c r="P14" s="7"/>
      <c r="Q14" s="7"/>
    </row>
    <row r="15" spans="1:17" ht="15.75">
      <c r="A15" s="8"/>
      <c r="B15" s="17" t="s">
        <v>8</v>
      </c>
      <c r="C15" s="17"/>
      <c r="D15" s="18"/>
      <c r="E15" s="18"/>
      <c r="F15" s="18"/>
      <c r="G15" s="18"/>
      <c r="H15" s="18"/>
      <c r="I15" s="18"/>
      <c r="J15" s="18"/>
      <c r="K15" s="18"/>
      <c r="L15" s="20" t="s">
        <v>191</v>
      </c>
      <c r="M15" s="18"/>
      <c r="N15" s="6"/>
      <c r="O15" s="7"/>
      <c r="P15" s="7"/>
      <c r="Q15" s="7"/>
    </row>
    <row r="16" spans="1:17" ht="15.75">
      <c r="A16" s="8"/>
      <c r="B16" s="17" t="s">
        <v>9</v>
      </c>
      <c r="C16" s="17"/>
      <c r="D16" s="18"/>
      <c r="E16" s="18"/>
      <c r="F16" s="18"/>
      <c r="G16" s="18"/>
      <c r="H16" s="18"/>
      <c r="I16" s="18"/>
      <c r="J16" s="18"/>
      <c r="K16" s="18"/>
      <c r="L16" s="130">
        <v>36552</v>
      </c>
      <c r="M16" s="18"/>
      <c r="N16" s="6"/>
      <c r="O16" s="7"/>
      <c r="P16" s="7"/>
      <c r="Q16" s="7"/>
    </row>
    <row r="17" spans="1:17" ht="15.75">
      <c r="A17" s="8"/>
      <c r="B17" s="10"/>
      <c r="C17" s="10"/>
      <c r="D17" s="10"/>
      <c r="E17" s="10"/>
      <c r="F17" s="10"/>
      <c r="G17" s="10"/>
      <c r="H17" s="10"/>
      <c r="I17" s="10"/>
      <c r="J17" s="10"/>
      <c r="K17" s="10"/>
      <c r="L17" s="21"/>
      <c r="M17" s="10"/>
      <c r="N17" s="6"/>
      <c r="O17" s="7"/>
      <c r="P17" s="7"/>
      <c r="Q17" s="7"/>
    </row>
    <row r="18" spans="1:17" ht="15.75">
      <c r="A18" s="8"/>
      <c r="B18" s="22" t="s">
        <v>10</v>
      </c>
      <c r="C18" s="10"/>
      <c r="D18" s="10"/>
      <c r="E18" s="10"/>
      <c r="F18" s="10"/>
      <c r="G18" s="10"/>
      <c r="H18" s="10"/>
      <c r="I18" s="10"/>
      <c r="J18" s="21" t="s">
        <v>173</v>
      </c>
      <c r="K18" s="10"/>
      <c r="L18" s="15"/>
      <c r="M18" s="10"/>
      <c r="N18" s="6"/>
      <c r="O18" s="7"/>
      <c r="P18" s="7"/>
      <c r="Q18" s="7"/>
    </row>
    <row r="19" spans="1:17" ht="15.75">
      <c r="A19" s="8"/>
      <c r="B19" s="10"/>
      <c r="C19" s="10"/>
      <c r="D19" s="10"/>
      <c r="E19" s="10"/>
      <c r="F19" s="10"/>
      <c r="G19" s="10"/>
      <c r="H19" s="10"/>
      <c r="I19" s="10"/>
      <c r="J19" s="10"/>
      <c r="K19" s="10"/>
      <c r="L19" s="23"/>
      <c r="M19" s="10"/>
      <c r="N19" s="6"/>
      <c r="O19" s="7"/>
      <c r="P19" s="7"/>
      <c r="Q19" s="7"/>
    </row>
    <row r="20" spans="1:17" ht="15.75">
      <c r="A20" s="8"/>
      <c r="B20" s="10"/>
      <c r="C20" s="24" t="s">
        <v>139</v>
      </c>
      <c r="D20" s="25" t="s">
        <v>143</v>
      </c>
      <c r="E20" s="25"/>
      <c r="F20" s="25" t="s">
        <v>154</v>
      </c>
      <c r="G20" s="25"/>
      <c r="H20" s="25" t="s">
        <v>164</v>
      </c>
      <c r="I20" s="25"/>
      <c r="J20" s="25" t="s">
        <v>174</v>
      </c>
      <c r="K20" s="15"/>
      <c r="L20" s="15"/>
      <c r="M20" s="10"/>
      <c r="N20" s="6"/>
      <c r="O20" s="7"/>
      <c r="P20" s="7"/>
      <c r="Q20" s="7"/>
    </row>
    <row r="21" spans="1:17" ht="15.75">
      <c r="A21" s="26"/>
      <c r="B21" s="27" t="s">
        <v>11</v>
      </c>
      <c r="C21" s="28" t="s">
        <v>140</v>
      </c>
      <c r="D21" s="29" t="s">
        <v>144</v>
      </c>
      <c r="E21" s="29"/>
      <c r="F21" s="29" t="s">
        <v>144</v>
      </c>
      <c r="G21" s="29"/>
      <c r="H21" s="29" t="s">
        <v>165</v>
      </c>
      <c r="I21" s="29"/>
      <c r="J21" s="29" t="s">
        <v>175</v>
      </c>
      <c r="K21" s="30"/>
      <c r="L21" s="30"/>
      <c r="M21" s="27"/>
      <c r="N21" s="6"/>
      <c r="O21" s="7"/>
      <c r="P21" s="7"/>
      <c r="Q21" s="7"/>
    </row>
    <row r="22" spans="1:17" ht="15.75">
      <c r="A22" s="131"/>
      <c r="B22" s="31" t="s">
        <v>12</v>
      </c>
      <c r="C22" s="31"/>
      <c r="D22" s="32" t="s">
        <v>144</v>
      </c>
      <c r="E22" s="32"/>
      <c r="F22" s="32" t="s">
        <v>144</v>
      </c>
      <c r="G22" s="32"/>
      <c r="H22" s="32" t="s">
        <v>165</v>
      </c>
      <c r="I22" s="32"/>
      <c r="J22" s="32" t="s">
        <v>175</v>
      </c>
      <c r="K22" s="33"/>
      <c r="L22" s="33"/>
      <c r="M22" s="27"/>
      <c r="N22" s="6"/>
      <c r="O22" s="7"/>
      <c r="P22" s="7"/>
      <c r="Q22" s="7"/>
    </row>
    <row r="23" spans="1:17" ht="15.75">
      <c r="A23" s="26"/>
      <c r="B23" s="27" t="s">
        <v>13</v>
      </c>
      <c r="C23" s="27"/>
      <c r="D23" s="34" t="s">
        <v>145</v>
      </c>
      <c r="E23" s="29"/>
      <c r="F23" s="34" t="s">
        <v>155</v>
      </c>
      <c r="G23" s="29"/>
      <c r="H23" s="34" t="s">
        <v>166</v>
      </c>
      <c r="I23" s="29"/>
      <c r="J23" s="34" t="s">
        <v>176</v>
      </c>
      <c r="K23" s="30"/>
      <c r="L23" s="30"/>
      <c r="M23" s="27"/>
      <c r="N23" s="6"/>
      <c r="O23" s="7"/>
      <c r="P23" s="7"/>
      <c r="Q23" s="7"/>
    </row>
    <row r="24" spans="1:17" ht="15.75">
      <c r="A24" s="26"/>
      <c r="B24" s="27"/>
      <c r="C24" s="27"/>
      <c r="D24" s="27"/>
      <c r="E24" s="29"/>
      <c r="F24" s="29"/>
      <c r="G24" s="29"/>
      <c r="H24" s="29"/>
      <c r="I24" s="29"/>
      <c r="J24" s="29"/>
      <c r="K24" s="30"/>
      <c r="L24" s="30"/>
      <c r="M24" s="27"/>
      <c r="N24" s="6"/>
      <c r="O24" s="7"/>
      <c r="P24" s="7"/>
      <c r="Q24" s="7"/>
    </row>
    <row r="25" spans="1:17" ht="15.75">
      <c r="A25" s="26"/>
      <c r="B25" s="27" t="s">
        <v>14</v>
      </c>
      <c r="C25" s="27"/>
      <c r="D25" s="35">
        <v>55000</v>
      </c>
      <c r="E25" s="36"/>
      <c r="F25" s="35">
        <v>77000</v>
      </c>
      <c r="G25" s="35"/>
      <c r="H25" s="35">
        <v>33000</v>
      </c>
      <c r="I25" s="35"/>
      <c r="J25" s="35">
        <v>10000</v>
      </c>
      <c r="K25" s="37"/>
      <c r="L25" s="35">
        <f>J25+H25+F25+D25</f>
        <v>175000</v>
      </c>
      <c r="M25" s="38"/>
      <c r="N25" s="6"/>
      <c r="O25" s="7"/>
      <c r="P25" s="7"/>
      <c r="Q25" s="7"/>
    </row>
    <row r="26" spans="1:17" ht="15.75">
      <c r="A26" s="26"/>
      <c r="B26" s="27" t="s">
        <v>15</v>
      </c>
      <c r="C26" s="132">
        <v>0.169589</v>
      </c>
      <c r="D26" s="35">
        <f>55000*C26</f>
        <v>9327.394999999999</v>
      </c>
      <c r="E26" s="36"/>
      <c r="F26" s="35">
        <v>77000</v>
      </c>
      <c r="G26" s="35"/>
      <c r="H26" s="35">
        <v>33000</v>
      </c>
      <c r="I26" s="35"/>
      <c r="J26" s="35">
        <v>10000</v>
      </c>
      <c r="K26" s="37"/>
      <c r="L26" s="35">
        <f>J26+H26+F26+D26</f>
        <v>129327.395</v>
      </c>
      <c r="M26" s="38"/>
      <c r="N26" s="6"/>
      <c r="O26" s="7"/>
      <c r="P26" s="7"/>
      <c r="Q26" s="7"/>
    </row>
    <row r="27" spans="1:17" ht="15.75">
      <c r="A27" s="131"/>
      <c r="B27" s="31" t="s">
        <v>16</v>
      </c>
      <c r="C27" s="39">
        <v>0.020398</v>
      </c>
      <c r="D27" s="40">
        <f>55000*C27</f>
        <v>1121.8899999999999</v>
      </c>
      <c r="E27" s="41"/>
      <c r="F27" s="40">
        <v>77000</v>
      </c>
      <c r="G27" s="40"/>
      <c r="H27" s="40">
        <v>33000</v>
      </c>
      <c r="I27" s="40"/>
      <c r="J27" s="40">
        <v>10000</v>
      </c>
      <c r="K27" s="42"/>
      <c r="L27" s="40">
        <f>J27+H27+F27+D27</f>
        <v>121121.89</v>
      </c>
      <c r="M27" s="38"/>
      <c r="N27" s="6"/>
      <c r="O27" s="7"/>
      <c r="P27" s="7"/>
      <c r="Q27" s="7"/>
    </row>
    <row r="28" spans="1:17" ht="15.75">
      <c r="A28" s="26"/>
      <c r="B28" s="27" t="s">
        <v>17</v>
      </c>
      <c r="C28" s="27"/>
      <c r="D28" s="34" t="s">
        <v>146</v>
      </c>
      <c r="E28" s="27"/>
      <c r="F28" s="34" t="s">
        <v>156</v>
      </c>
      <c r="G28" s="34"/>
      <c r="H28" s="34" t="s">
        <v>167</v>
      </c>
      <c r="I28" s="34"/>
      <c r="J28" s="34" t="s">
        <v>177</v>
      </c>
      <c r="K28" s="30"/>
      <c r="L28" s="30"/>
      <c r="M28" s="27"/>
      <c r="N28" s="6"/>
      <c r="O28" s="7"/>
      <c r="P28" s="7"/>
      <c r="Q28" s="7"/>
    </row>
    <row r="29" spans="1:17" ht="15.75">
      <c r="A29" s="26"/>
      <c r="B29" s="27" t="s">
        <v>18</v>
      </c>
      <c r="C29" s="27"/>
      <c r="D29" s="45">
        <f>(5.66031)/100</f>
        <v>0.056603099999999996</v>
      </c>
      <c r="E29" s="27"/>
      <c r="F29" s="45">
        <f>(5.74031)/100</f>
        <v>0.0574031</v>
      </c>
      <c r="G29" s="46"/>
      <c r="H29" s="45">
        <f>(5.96031)/100</f>
        <v>0.0596031</v>
      </c>
      <c r="I29" s="46"/>
      <c r="J29" s="45">
        <f>(6.48031)/100</f>
        <v>0.0648031</v>
      </c>
      <c r="K29" s="30"/>
      <c r="L29" s="46">
        <f>SUMPRODUCT(D29:J29,D26:J26)/L26</f>
        <v>0.05847895932586054</v>
      </c>
      <c r="M29" s="27"/>
      <c r="N29" s="6"/>
      <c r="O29" s="7"/>
      <c r="P29" s="7"/>
      <c r="Q29" s="7"/>
    </row>
    <row r="30" spans="1:17" ht="15.75">
      <c r="A30" s="26"/>
      <c r="B30" s="27" t="s">
        <v>19</v>
      </c>
      <c r="C30" s="27"/>
      <c r="D30" s="45">
        <f>(5.28781)/100</f>
        <v>0.052878100000000004</v>
      </c>
      <c r="E30" s="27"/>
      <c r="F30" s="45">
        <f>(5.36781)/100</f>
        <v>0.053678100000000006</v>
      </c>
      <c r="G30" s="46"/>
      <c r="H30" s="45">
        <f>(5.58781)/100</f>
        <v>0.0558781</v>
      </c>
      <c r="I30" s="46"/>
      <c r="J30" s="45">
        <f>(6.10781)/100</f>
        <v>0.061078099999999996</v>
      </c>
      <c r="K30" s="30"/>
      <c r="L30" s="30"/>
      <c r="M30" s="27"/>
      <c r="N30" s="6"/>
      <c r="O30" s="7"/>
      <c r="P30" s="7"/>
      <c r="Q30" s="7"/>
    </row>
    <row r="31" spans="1:17" ht="15.75">
      <c r="A31" s="26"/>
      <c r="B31" s="27" t="s">
        <v>20</v>
      </c>
      <c r="C31" s="27"/>
      <c r="D31" s="34" t="s">
        <v>147</v>
      </c>
      <c r="E31" s="27"/>
      <c r="F31" s="34" t="s">
        <v>157</v>
      </c>
      <c r="G31" s="34"/>
      <c r="H31" s="34" t="s">
        <v>157</v>
      </c>
      <c r="I31" s="34"/>
      <c r="J31" s="34" t="s">
        <v>157</v>
      </c>
      <c r="K31" s="30"/>
      <c r="L31" s="30"/>
      <c r="M31" s="27"/>
      <c r="N31" s="6"/>
      <c r="O31" s="7"/>
      <c r="P31" s="7"/>
      <c r="Q31" s="7"/>
    </row>
    <row r="32" spans="1:17" ht="15.75">
      <c r="A32" s="26"/>
      <c r="B32" s="27" t="s">
        <v>21</v>
      </c>
      <c r="C32" s="27"/>
      <c r="D32" s="34" t="s">
        <v>148</v>
      </c>
      <c r="E32" s="27"/>
      <c r="F32" s="34" t="s">
        <v>158</v>
      </c>
      <c r="G32" s="34"/>
      <c r="H32" s="34" t="s">
        <v>158</v>
      </c>
      <c r="I32" s="34"/>
      <c r="J32" s="34" t="s">
        <v>158</v>
      </c>
      <c r="K32" s="30"/>
      <c r="L32" s="30"/>
      <c r="M32" s="27"/>
      <c r="N32" s="6"/>
      <c r="O32" s="7"/>
      <c r="P32" s="7"/>
      <c r="Q32" s="7"/>
    </row>
    <row r="33" spans="1:17" ht="15.75">
      <c r="A33" s="26"/>
      <c r="B33" s="27" t="s">
        <v>22</v>
      </c>
      <c r="C33" s="27"/>
      <c r="D33" s="34" t="s">
        <v>149</v>
      </c>
      <c r="E33" s="27"/>
      <c r="F33" s="34" t="s">
        <v>159</v>
      </c>
      <c r="G33" s="34"/>
      <c r="H33" s="34" t="s">
        <v>168</v>
      </c>
      <c r="I33" s="34"/>
      <c r="J33" s="34" t="s">
        <v>178</v>
      </c>
      <c r="K33" s="30"/>
      <c r="L33" s="30"/>
      <c r="M33" s="27"/>
      <c r="N33" s="6"/>
      <c r="O33" s="7"/>
      <c r="P33" s="7"/>
      <c r="Q33" s="7"/>
    </row>
    <row r="34" spans="1:17" ht="15.75">
      <c r="A34" s="26"/>
      <c r="B34" s="27"/>
      <c r="C34" s="27"/>
      <c r="D34" s="47"/>
      <c r="E34" s="47"/>
      <c r="F34" s="27"/>
      <c r="G34" s="47"/>
      <c r="H34" s="47"/>
      <c r="I34" s="47"/>
      <c r="J34" s="47"/>
      <c r="K34" s="47"/>
      <c r="L34" s="47"/>
      <c r="M34" s="27"/>
      <c r="N34" s="6"/>
      <c r="O34" s="7"/>
      <c r="P34" s="7"/>
      <c r="Q34" s="7"/>
    </row>
    <row r="35" spans="1:17" ht="15.75">
      <c r="A35" s="26"/>
      <c r="B35" s="27" t="s">
        <v>23</v>
      </c>
      <c r="C35" s="27"/>
      <c r="D35" s="27"/>
      <c r="E35" s="27"/>
      <c r="F35" s="27"/>
      <c r="G35" s="27"/>
      <c r="H35" s="27"/>
      <c r="I35" s="27"/>
      <c r="J35" s="27"/>
      <c r="K35" s="27"/>
      <c r="L35" s="46">
        <f>(H25+J25)/(D25+F25)</f>
        <v>0.32575757575757575</v>
      </c>
      <c r="M35" s="27"/>
      <c r="N35" s="6"/>
      <c r="O35" s="7"/>
      <c r="P35" s="7"/>
      <c r="Q35" s="7"/>
    </row>
    <row r="36" spans="1:17" ht="15.75">
      <c r="A36" s="26"/>
      <c r="B36" s="27" t="s">
        <v>24</v>
      </c>
      <c r="C36" s="133"/>
      <c r="D36" s="27"/>
      <c r="E36" s="27"/>
      <c r="F36" s="27"/>
      <c r="G36" s="27"/>
      <c r="H36" s="27"/>
      <c r="I36" s="27"/>
      <c r="J36" s="27"/>
      <c r="K36" s="27"/>
      <c r="L36" s="46">
        <f>(H27+J27)/(D27+F27)</f>
        <v>0.5504219111954409</v>
      </c>
      <c r="M36" s="27"/>
      <c r="N36" s="6"/>
      <c r="O36" s="7"/>
      <c r="P36" s="7"/>
      <c r="Q36" s="7"/>
    </row>
    <row r="37" spans="1:17" ht="15.75">
      <c r="A37" s="26"/>
      <c r="B37" s="27" t="s">
        <v>25</v>
      </c>
      <c r="C37" s="133"/>
      <c r="D37" s="27"/>
      <c r="E37" s="27"/>
      <c r="F37" s="27"/>
      <c r="G37" s="27"/>
      <c r="H37" s="27"/>
      <c r="I37" s="27"/>
      <c r="J37" s="34" t="s">
        <v>179</v>
      </c>
      <c r="K37" s="34" t="s">
        <v>188</v>
      </c>
      <c r="L37" s="35">
        <v>44500000</v>
      </c>
      <c r="M37" s="27"/>
      <c r="N37" s="6"/>
      <c r="O37" s="7"/>
      <c r="P37" s="7"/>
      <c r="Q37" s="7"/>
    </row>
    <row r="38" spans="1:17" ht="15.75">
      <c r="A38" s="26"/>
      <c r="B38" s="27"/>
      <c r="C38" s="133"/>
      <c r="D38" s="27"/>
      <c r="E38" s="27"/>
      <c r="F38" s="27"/>
      <c r="G38" s="27"/>
      <c r="H38" s="27"/>
      <c r="I38" s="27"/>
      <c r="J38" s="27"/>
      <c r="K38" s="27"/>
      <c r="L38" s="48"/>
      <c r="M38" s="27"/>
      <c r="N38" s="6"/>
      <c r="O38" s="7"/>
      <c r="P38" s="7"/>
      <c r="Q38" s="7"/>
    </row>
    <row r="39" spans="1:17" ht="15.75">
      <c r="A39" s="26"/>
      <c r="B39" s="27" t="s">
        <v>26</v>
      </c>
      <c r="C39" s="133"/>
      <c r="D39" s="27"/>
      <c r="E39" s="27"/>
      <c r="F39" s="27"/>
      <c r="G39" s="27"/>
      <c r="H39" s="27"/>
      <c r="I39" s="27"/>
      <c r="J39" s="34"/>
      <c r="K39" s="34"/>
      <c r="L39" s="34" t="s">
        <v>193</v>
      </c>
      <c r="M39" s="27"/>
      <c r="N39" s="6"/>
      <c r="O39" s="7"/>
      <c r="P39" s="7"/>
      <c r="Q39" s="7"/>
    </row>
    <row r="40" spans="1:17" ht="15.75">
      <c r="A40" s="26"/>
      <c r="B40" s="31" t="s">
        <v>27</v>
      </c>
      <c r="C40" s="31"/>
      <c r="D40" s="31"/>
      <c r="E40" s="31"/>
      <c r="F40" s="31"/>
      <c r="G40" s="31"/>
      <c r="H40" s="31"/>
      <c r="I40" s="31"/>
      <c r="J40" s="49"/>
      <c r="K40" s="49"/>
      <c r="L40" s="50">
        <v>36524</v>
      </c>
      <c r="M40" s="31"/>
      <c r="N40" s="6"/>
      <c r="O40" s="7"/>
      <c r="P40" s="7"/>
      <c r="Q40" s="7"/>
    </row>
    <row r="41" spans="1:17" ht="15.75">
      <c r="A41" s="26"/>
      <c r="B41" s="27" t="s">
        <v>28</v>
      </c>
      <c r="C41" s="27"/>
      <c r="D41" s="27"/>
      <c r="E41" s="27"/>
      <c r="F41" s="27"/>
      <c r="G41" s="27"/>
      <c r="H41" s="27"/>
      <c r="I41" s="27">
        <f>L41-J41+1</f>
        <v>92</v>
      </c>
      <c r="J41" s="51">
        <v>36341</v>
      </c>
      <c r="K41" s="52"/>
      <c r="L41" s="51">
        <v>36432</v>
      </c>
      <c r="M41" s="27"/>
      <c r="N41" s="6"/>
      <c r="O41" s="7"/>
      <c r="P41" s="7"/>
      <c r="Q41" s="7"/>
    </row>
    <row r="42" spans="1:17" ht="15.75">
      <c r="A42" s="26"/>
      <c r="B42" s="27" t="s">
        <v>29</v>
      </c>
      <c r="C42" s="27"/>
      <c r="D42" s="27"/>
      <c r="E42" s="27"/>
      <c r="F42" s="27"/>
      <c r="G42" s="27"/>
      <c r="H42" s="27"/>
      <c r="I42" s="27">
        <f>L42-J42+1</f>
        <v>91</v>
      </c>
      <c r="J42" s="51">
        <v>36433</v>
      </c>
      <c r="K42" s="52"/>
      <c r="L42" s="51">
        <v>36523</v>
      </c>
      <c r="M42" s="27"/>
      <c r="N42" s="6"/>
      <c r="O42" s="7"/>
      <c r="P42" s="7"/>
      <c r="Q42" s="7"/>
    </row>
    <row r="43" spans="1:17" ht="15.75">
      <c r="A43" s="26"/>
      <c r="B43" s="27" t="s">
        <v>30</v>
      </c>
      <c r="C43" s="27"/>
      <c r="D43" s="27"/>
      <c r="E43" s="27"/>
      <c r="F43" s="27"/>
      <c r="G43" s="27"/>
      <c r="H43" s="27"/>
      <c r="I43" s="27"/>
      <c r="J43" s="51"/>
      <c r="K43" s="52"/>
      <c r="L43" s="51" t="s">
        <v>194</v>
      </c>
      <c r="M43" s="27"/>
      <c r="N43" s="6"/>
      <c r="O43" s="7"/>
      <c r="P43" s="7"/>
      <c r="Q43" s="7"/>
    </row>
    <row r="44" spans="1:17" ht="15.75">
      <c r="A44" s="26"/>
      <c r="B44" s="27" t="s">
        <v>31</v>
      </c>
      <c r="C44" s="27"/>
      <c r="D44" s="27"/>
      <c r="E44" s="27"/>
      <c r="F44" s="27"/>
      <c r="G44" s="27"/>
      <c r="H44" s="27"/>
      <c r="I44" s="27"/>
      <c r="J44" s="51"/>
      <c r="K44" s="52"/>
      <c r="L44" s="51">
        <v>36515</v>
      </c>
      <c r="M44" s="27"/>
      <c r="N44" s="6"/>
      <c r="O44" s="7"/>
      <c r="P44" s="7"/>
      <c r="Q44" s="7"/>
    </row>
    <row r="45" spans="1:17" ht="15.75">
      <c r="A45" s="26"/>
      <c r="B45" s="27"/>
      <c r="C45" s="27"/>
      <c r="D45" s="27"/>
      <c r="E45" s="27"/>
      <c r="F45" s="27"/>
      <c r="G45" s="27"/>
      <c r="H45" s="27"/>
      <c r="I45" s="27"/>
      <c r="J45" s="27"/>
      <c r="K45" s="27"/>
      <c r="L45" s="53"/>
      <c r="M45" s="27"/>
      <c r="N45" s="6"/>
      <c r="O45" s="7"/>
      <c r="P45" s="7"/>
      <c r="Q45" s="7"/>
    </row>
    <row r="46" spans="1:17" ht="15.75">
      <c r="A46" s="8"/>
      <c r="B46" s="10"/>
      <c r="C46" s="10"/>
      <c r="D46" s="10"/>
      <c r="E46" s="10"/>
      <c r="F46" s="10"/>
      <c r="G46" s="10"/>
      <c r="H46" s="10"/>
      <c r="I46" s="10"/>
      <c r="J46" s="10"/>
      <c r="K46" s="10"/>
      <c r="L46" s="58"/>
      <c r="M46" s="10"/>
      <c r="N46" s="6"/>
      <c r="O46" s="7"/>
      <c r="P46" s="7"/>
      <c r="Q46" s="7"/>
    </row>
    <row r="47" spans="1:17" ht="15.75">
      <c r="A47" s="2"/>
      <c r="B47" s="55" t="s">
        <v>32</v>
      </c>
      <c r="C47" s="56"/>
      <c r="D47" s="5"/>
      <c r="E47" s="5"/>
      <c r="F47" s="5"/>
      <c r="G47" s="5"/>
      <c r="H47" s="5"/>
      <c r="I47" s="5"/>
      <c r="J47" s="5"/>
      <c r="K47" s="5"/>
      <c r="L47" s="57"/>
      <c r="M47" s="5"/>
      <c r="N47" s="6"/>
      <c r="O47" s="7"/>
      <c r="P47" s="7"/>
      <c r="Q47" s="7"/>
    </row>
    <row r="48" spans="1:17" ht="15.75">
      <c r="A48" s="8"/>
      <c r="B48" s="16"/>
      <c r="C48" s="16"/>
      <c r="D48" s="10"/>
      <c r="E48" s="10"/>
      <c r="F48" s="10"/>
      <c r="G48" s="10"/>
      <c r="H48" s="10"/>
      <c r="I48" s="10"/>
      <c r="J48" s="10"/>
      <c r="K48" s="10"/>
      <c r="L48" s="58"/>
      <c r="M48" s="10"/>
      <c r="N48" s="6"/>
      <c r="O48" s="7"/>
      <c r="P48" s="7"/>
      <c r="Q48" s="7"/>
    </row>
    <row r="49" spans="1:17" ht="63">
      <c r="A49" s="8"/>
      <c r="B49" s="59" t="s">
        <v>33</v>
      </c>
      <c r="C49" s="60" t="s">
        <v>141</v>
      </c>
      <c r="D49" s="60" t="s">
        <v>150</v>
      </c>
      <c r="E49" s="60"/>
      <c r="F49" s="60" t="s">
        <v>160</v>
      </c>
      <c r="G49" s="60"/>
      <c r="H49" s="60" t="s">
        <v>169</v>
      </c>
      <c r="I49" s="60"/>
      <c r="J49" s="60" t="s">
        <v>180</v>
      </c>
      <c r="K49" s="60"/>
      <c r="L49" s="61" t="s">
        <v>195</v>
      </c>
      <c r="M49" s="10"/>
      <c r="N49" s="6"/>
      <c r="O49" s="7"/>
      <c r="P49" s="7"/>
      <c r="Q49" s="7"/>
    </row>
    <row r="50" spans="1:17" ht="15.75">
      <c r="A50" s="26"/>
      <c r="B50" s="27" t="s">
        <v>34</v>
      </c>
      <c r="C50" s="38">
        <v>165784</v>
      </c>
      <c r="D50" s="62">
        <v>129425</v>
      </c>
      <c r="E50" s="38"/>
      <c r="F50" s="38">
        <f>7332+482</f>
        <v>7814</v>
      </c>
      <c r="G50" s="38"/>
      <c r="H50" s="38">
        <v>1</v>
      </c>
      <c r="I50" s="38"/>
      <c r="J50" s="38">
        <v>0</v>
      </c>
      <c r="K50" s="38"/>
      <c r="L50" s="62">
        <f>D50-F50+H50-J50</f>
        <v>121612</v>
      </c>
      <c r="M50" s="27"/>
      <c r="N50" s="6"/>
      <c r="O50" s="7"/>
      <c r="P50" s="7"/>
      <c r="Q50" s="7"/>
    </row>
    <row r="51" spans="1:17" ht="15.75">
      <c r="A51" s="26"/>
      <c r="B51" s="27" t="s">
        <v>35</v>
      </c>
      <c r="C51" s="38">
        <v>19105</v>
      </c>
      <c r="D51" s="62">
        <v>8559</v>
      </c>
      <c r="E51" s="38"/>
      <c r="F51" s="38">
        <v>874</v>
      </c>
      <c r="G51" s="38"/>
      <c r="H51" s="38">
        <v>0</v>
      </c>
      <c r="I51" s="38"/>
      <c r="J51" s="38">
        <v>0</v>
      </c>
      <c r="K51" s="38"/>
      <c r="L51" s="62">
        <f>D51-F51</f>
        <v>7685</v>
      </c>
      <c r="M51" s="27"/>
      <c r="N51" s="6"/>
      <c r="O51" s="7"/>
      <c r="P51" s="7"/>
      <c r="Q51" s="7"/>
    </row>
    <row r="52" spans="1:17" ht="15.75">
      <c r="A52" s="26"/>
      <c r="B52" s="27"/>
      <c r="C52" s="38"/>
      <c r="D52" s="62"/>
      <c r="E52" s="38"/>
      <c r="F52" s="38"/>
      <c r="G52" s="38"/>
      <c r="H52" s="38"/>
      <c r="I52" s="38"/>
      <c r="J52" s="38"/>
      <c r="K52" s="38"/>
      <c r="L52" s="62"/>
      <c r="M52" s="27"/>
      <c r="N52" s="6"/>
      <c r="O52" s="7"/>
      <c r="P52" s="7"/>
      <c r="Q52" s="7"/>
    </row>
    <row r="53" spans="1:17" ht="15.75">
      <c r="A53" s="26"/>
      <c r="B53" s="27" t="s">
        <v>36</v>
      </c>
      <c r="C53" s="38">
        <f>SUM(C50:C52)</f>
        <v>184889</v>
      </c>
      <c r="D53" s="63">
        <v>137984</v>
      </c>
      <c r="E53" s="38"/>
      <c r="F53" s="38">
        <f>SUM(F50:F52)</f>
        <v>8688</v>
      </c>
      <c r="G53" s="38"/>
      <c r="H53" s="38">
        <f>SUM(H50:H52)</f>
        <v>1</v>
      </c>
      <c r="I53" s="38"/>
      <c r="J53" s="38">
        <f>SUM(J50:J52)</f>
        <v>0</v>
      </c>
      <c r="K53" s="38"/>
      <c r="L53" s="63">
        <f>SUM(L50:L52)</f>
        <v>129297</v>
      </c>
      <c r="M53" s="27"/>
      <c r="N53" s="6"/>
      <c r="O53" s="7"/>
      <c r="P53" s="7"/>
      <c r="Q53" s="7"/>
    </row>
    <row r="54" spans="1:17" ht="15.75">
      <c r="A54" s="26"/>
      <c r="B54" s="27"/>
      <c r="C54" s="38"/>
      <c r="D54" s="38"/>
      <c r="E54" s="38"/>
      <c r="F54" s="38"/>
      <c r="G54" s="38"/>
      <c r="H54" s="38"/>
      <c r="I54" s="38"/>
      <c r="J54" s="38"/>
      <c r="K54" s="38"/>
      <c r="L54" s="63"/>
      <c r="M54" s="27"/>
      <c r="N54" s="6"/>
      <c r="O54" s="7"/>
      <c r="P54" s="7"/>
      <c r="Q54" s="7"/>
    </row>
    <row r="55" spans="1:17" ht="15.75">
      <c r="A55" s="8"/>
      <c r="B55" s="12" t="s">
        <v>37</v>
      </c>
      <c r="C55" s="64"/>
      <c r="D55" s="64"/>
      <c r="E55" s="64"/>
      <c r="F55" s="64"/>
      <c r="G55" s="64"/>
      <c r="H55" s="64"/>
      <c r="I55" s="64"/>
      <c r="J55" s="64"/>
      <c r="K55" s="64"/>
      <c r="L55" s="65"/>
      <c r="M55" s="10"/>
      <c r="N55" s="66"/>
      <c r="O55" s="7"/>
      <c r="P55" s="7"/>
      <c r="Q55" s="7"/>
    </row>
    <row r="56" spans="1:17" ht="15.75">
      <c r="A56" s="8"/>
      <c r="B56" s="10"/>
      <c r="C56" s="64"/>
      <c r="D56" s="64"/>
      <c r="E56" s="64"/>
      <c r="F56" s="64"/>
      <c r="G56" s="64"/>
      <c r="H56" s="64"/>
      <c r="I56" s="64"/>
      <c r="J56" s="64"/>
      <c r="K56" s="64"/>
      <c r="L56" s="65"/>
      <c r="M56" s="10"/>
      <c r="N56" s="6"/>
      <c r="O56" s="7"/>
      <c r="P56" s="7"/>
      <c r="Q56" s="7"/>
    </row>
    <row r="57" spans="1:17" ht="15.75">
      <c r="A57" s="26"/>
      <c r="B57" s="27" t="s">
        <v>34</v>
      </c>
      <c r="C57" s="38"/>
      <c r="D57" s="38"/>
      <c r="E57" s="38"/>
      <c r="F57" s="38"/>
      <c r="G57" s="38"/>
      <c r="H57" s="38"/>
      <c r="I57" s="38"/>
      <c r="J57" s="38"/>
      <c r="K57" s="38"/>
      <c r="L57" s="63"/>
      <c r="M57" s="27"/>
      <c r="N57" s="6"/>
      <c r="O57" s="7"/>
      <c r="P57" s="7"/>
      <c r="Q57" s="7"/>
    </row>
    <row r="58" spans="1:17" ht="15.75">
      <c r="A58" s="26"/>
      <c r="B58" s="27" t="s">
        <v>35</v>
      </c>
      <c r="C58" s="38"/>
      <c r="D58" s="38"/>
      <c r="E58" s="38"/>
      <c r="F58" s="38"/>
      <c r="G58" s="38"/>
      <c r="H58" s="38"/>
      <c r="I58" s="38"/>
      <c r="J58" s="38"/>
      <c r="K58" s="38"/>
      <c r="L58" s="63"/>
      <c r="M58" s="27"/>
      <c r="N58" s="6"/>
      <c r="O58" s="7"/>
      <c r="P58" s="7"/>
      <c r="Q58" s="7"/>
    </row>
    <row r="59" spans="1:17" ht="15.75">
      <c r="A59" s="26"/>
      <c r="B59" s="27"/>
      <c r="C59" s="38"/>
      <c r="D59" s="38"/>
      <c r="E59" s="38"/>
      <c r="F59" s="38"/>
      <c r="G59" s="38"/>
      <c r="H59" s="38"/>
      <c r="I59" s="38"/>
      <c r="J59" s="38"/>
      <c r="K59" s="38"/>
      <c r="L59" s="63"/>
      <c r="M59" s="27"/>
      <c r="N59" s="6"/>
      <c r="O59" s="7"/>
      <c r="P59" s="7"/>
      <c r="Q59" s="7"/>
    </row>
    <row r="60" spans="1:17" ht="15.75">
      <c r="A60" s="26"/>
      <c r="B60" s="27" t="s">
        <v>36</v>
      </c>
      <c r="C60" s="38"/>
      <c r="D60" s="38"/>
      <c r="E60" s="38"/>
      <c r="F60" s="38"/>
      <c r="G60" s="38"/>
      <c r="H60" s="38"/>
      <c r="I60" s="38"/>
      <c r="J60" s="38"/>
      <c r="K60" s="38"/>
      <c r="L60" s="38"/>
      <c r="M60" s="27"/>
      <c r="N60" s="66"/>
      <c r="O60" s="7"/>
      <c r="P60" s="7"/>
      <c r="Q60" s="7"/>
    </row>
    <row r="61" spans="1:17" ht="15.75">
      <c r="A61" s="26"/>
      <c r="B61" s="27"/>
      <c r="C61" s="38"/>
      <c r="D61" s="38"/>
      <c r="E61" s="38"/>
      <c r="F61" s="38"/>
      <c r="G61" s="38"/>
      <c r="H61" s="38"/>
      <c r="I61" s="38"/>
      <c r="J61" s="38"/>
      <c r="K61" s="38"/>
      <c r="L61" s="38"/>
      <c r="M61" s="27"/>
      <c r="N61" s="6"/>
      <c r="O61" s="7"/>
      <c r="P61" s="7"/>
      <c r="Q61" s="7"/>
    </row>
    <row r="62" spans="1:17" ht="15.75">
      <c r="A62" s="26"/>
      <c r="B62" s="27" t="s">
        <v>38</v>
      </c>
      <c r="C62" s="38">
        <v>-9889</v>
      </c>
      <c r="D62" s="62">
        <v>-9889</v>
      </c>
      <c r="E62" s="38"/>
      <c r="F62" s="38"/>
      <c r="G62" s="38"/>
      <c r="H62" s="38"/>
      <c r="I62" s="38"/>
      <c r="J62" s="38"/>
      <c r="K62" s="38"/>
      <c r="L62" s="62">
        <f>D62-F62+H62-J62</f>
        <v>-9889</v>
      </c>
      <c r="M62" s="27"/>
      <c r="N62" s="6"/>
      <c r="O62" s="7"/>
      <c r="P62" s="7"/>
      <c r="Q62" s="7"/>
    </row>
    <row r="63" spans="1:17" ht="15.75">
      <c r="A63" s="26"/>
      <c r="B63" s="27" t="s">
        <v>39</v>
      </c>
      <c r="C63" s="38">
        <v>0</v>
      </c>
      <c r="D63" s="63">
        <v>0</v>
      </c>
      <c r="E63" s="38"/>
      <c r="F63" s="38"/>
      <c r="G63" s="38"/>
      <c r="H63" s="38"/>
      <c r="I63" s="38"/>
      <c r="J63" s="38"/>
      <c r="K63" s="38"/>
      <c r="L63" s="63">
        <v>0</v>
      </c>
      <c r="M63" s="27"/>
      <c r="N63" s="6"/>
      <c r="O63" s="7"/>
      <c r="P63" s="7"/>
      <c r="Q63" s="7"/>
    </row>
    <row r="64" spans="1:17" ht="15.75">
      <c r="A64" s="26"/>
      <c r="B64" s="27" t="s">
        <v>40</v>
      </c>
      <c r="C64" s="38">
        <v>0</v>
      </c>
      <c r="D64" s="63">
        <v>1232</v>
      </c>
      <c r="E64" s="38"/>
      <c r="F64" s="38"/>
      <c r="G64" s="38"/>
      <c r="H64" s="38"/>
      <c r="I64" s="38"/>
      <c r="J64" s="38"/>
      <c r="K64" s="38"/>
      <c r="L64" s="63">
        <v>1714</v>
      </c>
      <c r="M64" s="27"/>
      <c r="N64" s="6"/>
      <c r="O64" s="7"/>
      <c r="P64" s="7"/>
      <c r="Q64" s="7"/>
    </row>
    <row r="65" spans="1:17" ht="15.75">
      <c r="A65" s="26"/>
      <c r="B65" s="27" t="s">
        <v>41</v>
      </c>
      <c r="C65" s="63">
        <f>SUM(C53:C64)</f>
        <v>175000</v>
      </c>
      <c r="D65" s="63">
        <f>SUM(D53:D64)</f>
        <v>129327</v>
      </c>
      <c r="E65" s="38"/>
      <c r="F65" s="63"/>
      <c r="G65" s="38"/>
      <c r="H65" s="63"/>
      <c r="I65" s="38"/>
      <c r="J65" s="63"/>
      <c r="K65" s="38"/>
      <c r="L65" s="63">
        <f>SUM(L53:L64)</f>
        <v>121122</v>
      </c>
      <c r="M65" s="27"/>
      <c r="N65" s="6"/>
      <c r="O65" s="7"/>
      <c r="P65" s="7"/>
      <c r="Q65" s="7"/>
    </row>
    <row r="66" spans="1:17" ht="15.75">
      <c r="A66" s="26"/>
      <c r="B66" s="27"/>
      <c r="C66" s="38"/>
      <c r="D66" s="38"/>
      <c r="E66" s="38"/>
      <c r="F66" s="38"/>
      <c r="G66" s="38"/>
      <c r="H66" s="38"/>
      <c r="I66" s="38"/>
      <c r="J66" s="38"/>
      <c r="K66" s="38"/>
      <c r="L66" s="63"/>
      <c r="M66" s="27"/>
      <c r="N66" s="6"/>
      <c r="O66" s="7"/>
      <c r="P66" s="7"/>
      <c r="Q66" s="7"/>
    </row>
    <row r="67" spans="1:17" ht="15.75">
      <c r="A67" s="8"/>
      <c r="B67" s="10"/>
      <c r="C67" s="10"/>
      <c r="D67" s="10"/>
      <c r="E67" s="10"/>
      <c r="F67" s="10"/>
      <c r="G67" s="10"/>
      <c r="H67" s="10"/>
      <c r="I67" s="10"/>
      <c r="J67" s="10"/>
      <c r="K67" s="10"/>
      <c r="L67" s="10"/>
      <c r="M67" s="10"/>
      <c r="N67" s="6"/>
      <c r="O67" s="7"/>
      <c r="P67" s="7"/>
      <c r="Q67" s="7"/>
    </row>
    <row r="68" spans="1:17" ht="15.75">
      <c r="A68" s="8"/>
      <c r="B68" s="67" t="s">
        <v>42</v>
      </c>
      <c r="C68" s="17"/>
      <c r="D68" s="17"/>
      <c r="E68" s="17"/>
      <c r="F68" s="17"/>
      <c r="G68" s="17"/>
      <c r="H68" s="17"/>
      <c r="I68" s="20"/>
      <c r="J68" s="20" t="s">
        <v>181</v>
      </c>
      <c r="K68" s="20"/>
      <c r="L68" s="20" t="s">
        <v>196</v>
      </c>
      <c r="M68" s="10"/>
      <c r="N68" s="6"/>
      <c r="O68" s="7"/>
      <c r="P68" s="7"/>
      <c r="Q68" s="7"/>
    </row>
    <row r="69" spans="1:17" ht="15.75">
      <c r="A69" s="26"/>
      <c r="B69" s="27" t="s">
        <v>43</v>
      </c>
      <c r="C69" s="27"/>
      <c r="D69" s="27"/>
      <c r="E69" s="27"/>
      <c r="F69" s="27"/>
      <c r="G69" s="27"/>
      <c r="H69" s="27"/>
      <c r="I69" s="27"/>
      <c r="J69" s="38">
        <v>0</v>
      </c>
      <c r="K69" s="27"/>
      <c r="L69" s="62">
        <v>0</v>
      </c>
      <c r="M69" s="27"/>
      <c r="N69" s="6"/>
      <c r="O69" s="7"/>
      <c r="P69" s="7"/>
      <c r="Q69" s="7"/>
    </row>
    <row r="70" spans="1:17" ht="15.75">
      <c r="A70" s="26"/>
      <c r="B70" s="27" t="s">
        <v>44</v>
      </c>
      <c r="C70" s="47" t="s">
        <v>142</v>
      </c>
      <c r="D70" s="68">
        <v>36515</v>
      </c>
      <c r="E70" s="27"/>
      <c r="F70" s="27"/>
      <c r="G70" s="27"/>
      <c r="H70" s="27"/>
      <c r="I70" s="27"/>
      <c r="J70" s="38">
        <v>7333</v>
      </c>
      <c r="K70" s="27"/>
      <c r="L70" s="62"/>
      <c r="M70" s="27"/>
      <c r="N70" s="6"/>
      <c r="O70" s="7"/>
      <c r="P70" s="7"/>
      <c r="Q70" s="7"/>
    </row>
    <row r="71" spans="1:17" ht="15.75">
      <c r="A71" s="26"/>
      <c r="B71" s="27" t="s">
        <v>45</v>
      </c>
      <c r="C71" s="27"/>
      <c r="D71" s="27"/>
      <c r="E71" s="27"/>
      <c r="F71" s="27"/>
      <c r="G71" s="27"/>
      <c r="H71" s="27"/>
      <c r="I71" s="27"/>
      <c r="J71" s="38"/>
      <c r="K71" s="27"/>
      <c r="L71" s="62">
        <v>3850</v>
      </c>
      <c r="M71" s="27"/>
      <c r="N71" s="6"/>
      <c r="O71" s="7"/>
      <c r="P71" s="7"/>
      <c r="Q71" s="7"/>
    </row>
    <row r="72" spans="1:17" ht="15.75">
      <c r="A72" s="26"/>
      <c r="B72" s="27" t="s">
        <v>46</v>
      </c>
      <c r="C72" s="27"/>
      <c r="D72" s="27"/>
      <c r="E72" s="27"/>
      <c r="F72" s="27"/>
      <c r="G72" s="27"/>
      <c r="H72" s="27"/>
      <c r="I72" s="27"/>
      <c r="J72" s="38"/>
      <c r="K72" s="27"/>
      <c r="L72" s="62"/>
      <c r="M72" s="27"/>
      <c r="N72" s="6"/>
      <c r="O72" s="7"/>
      <c r="P72" s="7"/>
      <c r="Q72" s="7"/>
    </row>
    <row r="73" spans="1:17" ht="15.75">
      <c r="A73" s="26"/>
      <c r="B73" s="27" t="s">
        <v>47</v>
      </c>
      <c r="C73" s="27"/>
      <c r="D73" s="27"/>
      <c r="E73" s="27"/>
      <c r="F73" s="27"/>
      <c r="G73" s="27"/>
      <c r="H73" s="27"/>
      <c r="I73" s="27"/>
      <c r="J73" s="38">
        <f>SUM(J69:J72)</f>
        <v>7333</v>
      </c>
      <c r="K73" s="27"/>
      <c r="L73" s="63">
        <f>SUM(L69:L72)</f>
        <v>3850</v>
      </c>
      <c r="M73" s="27"/>
      <c r="N73" s="6"/>
      <c r="O73" s="7"/>
      <c r="P73" s="7"/>
      <c r="Q73" s="7"/>
    </row>
    <row r="74" spans="1:17" ht="15.75">
      <c r="A74" s="26"/>
      <c r="B74" s="27" t="s">
        <v>48</v>
      </c>
      <c r="C74" s="27"/>
      <c r="D74" s="27"/>
      <c r="E74" s="27"/>
      <c r="F74" s="27"/>
      <c r="G74" s="27"/>
      <c r="H74" s="27"/>
      <c r="I74" s="27"/>
      <c r="J74" s="38">
        <v>874</v>
      </c>
      <c r="K74" s="27"/>
      <c r="L74" s="62">
        <v>-874</v>
      </c>
      <c r="M74" s="27"/>
      <c r="N74" s="6"/>
      <c r="O74" s="7"/>
      <c r="P74" s="7"/>
      <c r="Q74" s="7"/>
    </row>
    <row r="75" spans="1:17" ht="15.75">
      <c r="A75" s="26"/>
      <c r="B75" s="27" t="s">
        <v>49</v>
      </c>
      <c r="C75" s="27"/>
      <c r="D75" s="27"/>
      <c r="E75" s="27"/>
      <c r="F75" s="27"/>
      <c r="G75" s="27"/>
      <c r="H75" s="27"/>
      <c r="I75" s="27"/>
      <c r="J75" s="38">
        <f>J73+J74</f>
        <v>8207</v>
      </c>
      <c r="K75" s="27"/>
      <c r="L75" s="63">
        <f>L73+L74</f>
        <v>2976</v>
      </c>
      <c r="M75" s="27"/>
      <c r="N75" s="6"/>
      <c r="O75" s="7"/>
      <c r="P75" s="7"/>
      <c r="Q75" s="7"/>
    </row>
    <row r="76" spans="1:17" ht="15.75">
      <c r="A76" s="26"/>
      <c r="B76" s="69" t="s">
        <v>50</v>
      </c>
      <c r="C76" s="70"/>
      <c r="D76" s="27"/>
      <c r="E76" s="27"/>
      <c r="F76" s="27"/>
      <c r="G76" s="27"/>
      <c r="H76" s="27"/>
      <c r="I76" s="27"/>
      <c r="J76" s="38"/>
      <c r="K76" s="27"/>
      <c r="L76" s="62"/>
      <c r="M76" s="27"/>
      <c r="N76" s="6"/>
      <c r="O76" s="7"/>
      <c r="P76" s="7"/>
      <c r="Q76" s="7"/>
    </row>
    <row r="77" spans="1:17" ht="15.75">
      <c r="A77" s="26">
        <v>1</v>
      </c>
      <c r="B77" s="27" t="s">
        <v>51</v>
      </c>
      <c r="C77" s="27"/>
      <c r="D77" s="27"/>
      <c r="E77" s="27"/>
      <c r="F77" s="27"/>
      <c r="G77" s="27"/>
      <c r="H77" s="27"/>
      <c r="I77" s="27"/>
      <c r="J77" s="27"/>
      <c r="K77" s="27"/>
      <c r="L77" s="62">
        <v>0</v>
      </c>
      <c r="M77" s="27"/>
      <c r="N77" s="6"/>
      <c r="O77" s="7"/>
      <c r="P77" s="7"/>
      <c r="Q77" s="7"/>
    </row>
    <row r="78" spans="1:17" ht="15.75">
      <c r="A78" s="26">
        <v>2</v>
      </c>
      <c r="B78" s="27" t="s">
        <v>52</v>
      </c>
      <c r="C78" s="27"/>
      <c r="D78" s="27"/>
      <c r="E78" s="27"/>
      <c r="F78" s="27"/>
      <c r="G78" s="27"/>
      <c r="H78" s="27"/>
      <c r="I78" s="27"/>
      <c r="J78" s="27"/>
      <c r="K78" s="27"/>
      <c r="L78" s="62">
        <v>-4</v>
      </c>
      <c r="M78" s="27"/>
      <c r="N78" s="6"/>
      <c r="O78" s="7"/>
      <c r="P78" s="7"/>
      <c r="Q78" s="7"/>
    </row>
    <row r="79" spans="1:17" ht="15.75">
      <c r="A79" s="26">
        <v>3</v>
      </c>
      <c r="B79" s="27" t="s">
        <v>53</v>
      </c>
      <c r="C79" s="27"/>
      <c r="D79" s="27"/>
      <c r="E79" s="27"/>
      <c r="F79" s="27"/>
      <c r="G79" s="27"/>
      <c r="H79" s="27"/>
      <c r="I79" s="27"/>
      <c r="J79" s="27"/>
      <c r="K79" s="27"/>
      <c r="L79" s="62">
        <f>-184-7</f>
        <v>-191</v>
      </c>
      <c r="M79" s="27"/>
      <c r="N79" s="6"/>
      <c r="O79" s="7"/>
      <c r="P79" s="7"/>
      <c r="Q79" s="7"/>
    </row>
    <row r="80" spans="1:17" ht="15.75">
      <c r="A80" s="26">
        <v>4</v>
      </c>
      <c r="B80" s="27" t="s">
        <v>54</v>
      </c>
      <c r="C80" s="27"/>
      <c r="D80" s="27"/>
      <c r="E80" s="27"/>
      <c r="F80" s="27"/>
      <c r="G80" s="27"/>
      <c r="H80" s="27"/>
      <c r="I80" s="27"/>
      <c r="J80" s="27"/>
      <c r="K80" s="27"/>
      <c r="L80" s="62">
        <v>-79</v>
      </c>
      <c r="M80" s="27"/>
      <c r="N80" s="6"/>
      <c r="O80" s="7"/>
      <c r="P80" s="7"/>
      <c r="Q80" s="7"/>
    </row>
    <row r="81" spans="1:17" ht="15.75">
      <c r="A81" s="26">
        <v>5</v>
      </c>
      <c r="B81" s="27" t="s">
        <v>55</v>
      </c>
      <c r="C81" s="27"/>
      <c r="D81" s="27"/>
      <c r="E81" s="27"/>
      <c r="F81" s="27"/>
      <c r="G81" s="27"/>
      <c r="H81" s="27"/>
      <c r="I81" s="27"/>
      <c r="J81" s="27"/>
      <c r="K81" s="27"/>
      <c r="L81" s="62">
        <v>-1233</v>
      </c>
      <c r="M81" s="27"/>
      <c r="N81" s="6"/>
      <c r="O81" s="7"/>
      <c r="P81" s="7"/>
      <c r="Q81" s="7"/>
    </row>
    <row r="82" spans="1:17" ht="15.75">
      <c r="A82" s="26">
        <v>6</v>
      </c>
      <c r="B82" s="27" t="s">
        <v>56</v>
      </c>
      <c r="C82" s="27"/>
      <c r="D82" s="27"/>
      <c r="E82" s="27"/>
      <c r="F82" s="27"/>
      <c r="G82" s="27"/>
      <c r="H82" s="27"/>
      <c r="I82" s="27"/>
      <c r="J82" s="27"/>
      <c r="K82" s="27"/>
      <c r="L82" s="62">
        <v>-3</v>
      </c>
      <c r="M82" s="27"/>
      <c r="N82" s="6"/>
      <c r="O82" s="7"/>
      <c r="P82" s="7"/>
      <c r="Q82" s="7"/>
    </row>
    <row r="83" spans="1:17" ht="15.75">
      <c r="A83" s="26">
        <v>7</v>
      </c>
      <c r="B83" s="27" t="s">
        <v>57</v>
      </c>
      <c r="C83" s="27"/>
      <c r="D83" s="27"/>
      <c r="E83" s="27"/>
      <c r="F83" s="27"/>
      <c r="G83" s="27"/>
      <c r="H83" s="27"/>
      <c r="I83" s="27"/>
      <c r="J83" s="27"/>
      <c r="K83" s="27"/>
      <c r="L83" s="62">
        <v>-490</v>
      </c>
      <c r="M83" s="27"/>
      <c r="N83" s="6"/>
      <c r="O83" s="7"/>
      <c r="P83" s="7"/>
      <c r="Q83" s="7"/>
    </row>
    <row r="84" spans="1:17" ht="15.75">
      <c r="A84" s="26">
        <v>8</v>
      </c>
      <c r="B84" s="27" t="s">
        <v>58</v>
      </c>
      <c r="C84" s="27"/>
      <c r="D84" s="27"/>
      <c r="E84" s="27"/>
      <c r="F84" s="27"/>
      <c r="G84" s="27"/>
      <c r="H84" s="27"/>
      <c r="I84" s="27"/>
      <c r="J84" s="27"/>
      <c r="K84" s="27"/>
      <c r="L84" s="62">
        <v>-162</v>
      </c>
      <c r="M84" s="27"/>
      <c r="N84" s="6"/>
      <c r="O84" s="7"/>
      <c r="P84" s="7"/>
      <c r="Q84" s="7"/>
    </row>
    <row r="85" spans="1:17" ht="15.75">
      <c r="A85" s="26">
        <v>9</v>
      </c>
      <c r="B85" s="27" t="s">
        <v>59</v>
      </c>
      <c r="C85" s="27"/>
      <c r="D85" s="27"/>
      <c r="E85" s="27"/>
      <c r="F85" s="27"/>
      <c r="G85" s="27"/>
      <c r="H85" s="27"/>
      <c r="I85" s="27"/>
      <c r="J85" s="27"/>
      <c r="K85" s="27"/>
      <c r="L85" s="62">
        <v>0</v>
      </c>
      <c r="M85" s="27"/>
      <c r="N85" s="6"/>
      <c r="O85" s="7"/>
      <c r="P85" s="7"/>
      <c r="Q85" s="7"/>
    </row>
    <row r="86" spans="1:17" ht="15.75">
      <c r="A86" s="26">
        <v>10</v>
      </c>
      <c r="B86" s="27" t="s">
        <v>60</v>
      </c>
      <c r="C86" s="27"/>
      <c r="D86" s="27"/>
      <c r="E86" s="27"/>
      <c r="F86" s="27"/>
      <c r="G86" s="27"/>
      <c r="H86" s="27"/>
      <c r="I86" s="27"/>
      <c r="J86" s="27"/>
      <c r="K86" s="27"/>
      <c r="L86" s="62">
        <v>-531</v>
      </c>
      <c r="M86" s="27"/>
      <c r="N86" s="6"/>
      <c r="O86" s="7"/>
      <c r="P86" s="7"/>
      <c r="Q86" s="7"/>
    </row>
    <row r="87" spans="1:17" ht="15.75">
      <c r="A87" s="26">
        <v>11</v>
      </c>
      <c r="B87" s="27" t="s">
        <v>61</v>
      </c>
      <c r="C87" s="27"/>
      <c r="D87" s="27"/>
      <c r="E87" s="27"/>
      <c r="F87" s="27"/>
      <c r="G87" s="27"/>
      <c r="H87" s="27"/>
      <c r="I87" s="27"/>
      <c r="J87" s="27"/>
      <c r="K87" s="27"/>
      <c r="L87" s="62">
        <v>-283</v>
      </c>
      <c r="M87" s="27"/>
      <c r="N87" s="6"/>
      <c r="O87" s="7"/>
      <c r="P87" s="7"/>
      <c r="Q87" s="7"/>
    </row>
    <row r="88" spans="1:17" ht="15.75">
      <c r="A88" s="26">
        <v>12</v>
      </c>
      <c r="B88" s="27" t="s">
        <v>62</v>
      </c>
      <c r="C88" s="27"/>
      <c r="D88" s="27"/>
      <c r="E88" s="27"/>
      <c r="F88" s="27"/>
      <c r="G88" s="27"/>
      <c r="H88" s="27"/>
      <c r="I88" s="27"/>
      <c r="J88" s="27"/>
      <c r="K88" s="27"/>
      <c r="L88" s="62">
        <v>0</v>
      </c>
      <c r="M88" s="27"/>
      <c r="N88" s="6"/>
      <c r="O88" s="7"/>
      <c r="P88" s="7"/>
      <c r="Q88" s="7"/>
    </row>
    <row r="89" spans="1:17" ht="15.75">
      <c r="A89" s="26">
        <v>13</v>
      </c>
      <c r="B89" s="27" t="s">
        <v>63</v>
      </c>
      <c r="C89" s="27"/>
      <c r="D89" s="27"/>
      <c r="E89" s="27"/>
      <c r="F89" s="27"/>
      <c r="G89" s="27"/>
      <c r="H89" s="27"/>
      <c r="I89" s="27"/>
      <c r="J89" s="27"/>
      <c r="K89" s="27"/>
      <c r="L89" s="62">
        <f>L75+SUM(L78:L88)</f>
        <v>0</v>
      </c>
      <c r="M89" s="27"/>
      <c r="N89" s="6"/>
      <c r="O89" s="7"/>
      <c r="P89" s="7"/>
      <c r="Q89" s="7"/>
    </row>
    <row r="90" spans="1:17" ht="15.75">
      <c r="A90" s="26"/>
      <c r="B90" s="69" t="s">
        <v>64</v>
      </c>
      <c r="C90" s="70"/>
      <c r="D90" s="27"/>
      <c r="E90" s="27"/>
      <c r="F90" s="27"/>
      <c r="G90" s="27"/>
      <c r="H90" s="27"/>
      <c r="I90" s="27"/>
      <c r="J90" s="27"/>
      <c r="K90" s="27"/>
      <c r="L90" s="71"/>
      <c r="M90" s="27"/>
      <c r="N90" s="6"/>
      <c r="O90" s="7"/>
      <c r="P90" s="7"/>
      <c r="Q90" s="7"/>
    </row>
    <row r="91" spans="1:17" ht="15.75">
      <c r="A91" s="26"/>
      <c r="B91" s="27" t="s">
        <v>65</v>
      </c>
      <c r="C91" s="70"/>
      <c r="D91" s="27"/>
      <c r="E91" s="27"/>
      <c r="F91" s="27"/>
      <c r="G91" s="27"/>
      <c r="H91" s="27"/>
      <c r="I91" s="38"/>
      <c r="J91" s="38">
        <v>-1</v>
      </c>
      <c r="K91" s="38"/>
      <c r="L91" s="62"/>
      <c r="M91" s="27"/>
      <c r="N91" s="6"/>
      <c r="O91" s="7"/>
      <c r="P91" s="7"/>
      <c r="Q91" s="7"/>
    </row>
    <row r="92" spans="1:17" ht="15.75">
      <c r="A92" s="26"/>
      <c r="B92" s="27" t="s">
        <v>66</v>
      </c>
      <c r="C92" s="27"/>
      <c r="D92" s="27"/>
      <c r="E92" s="27"/>
      <c r="F92" s="27"/>
      <c r="G92" s="27"/>
      <c r="H92" s="27"/>
      <c r="I92" s="38"/>
      <c r="J92" s="38">
        <v>0</v>
      </c>
      <c r="K92" s="38"/>
      <c r="L92" s="62"/>
      <c r="M92" s="27"/>
      <c r="N92" s="6"/>
      <c r="O92" s="7"/>
      <c r="P92" s="7"/>
      <c r="Q92" s="7"/>
    </row>
    <row r="93" spans="1:17" ht="15.75">
      <c r="A93" s="26"/>
      <c r="B93" s="27" t="s">
        <v>67</v>
      </c>
      <c r="C93" s="27"/>
      <c r="D93" s="27"/>
      <c r="E93" s="27"/>
      <c r="F93" s="27"/>
      <c r="G93" s="27"/>
      <c r="H93" s="27"/>
      <c r="I93" s="27"/>
      <c r="J93" s="38"/>
      <c r="K93" s="38"/>
      <c r="L93" s="62"/>
      <c r="M93" s="27"/>
      <c r="N93" s="6"/>
      <c r="O93" s="7"/>
      <c r="P93" s="7"/>
      <c r="Q93" s="7"/>
    </row>
    <row r="94" spans="1:17" ht="15.75">
      <c r="A94" s="26"/>
      <c r="B94" s="27" t="s">
        <v>68</v>
      </c>
      <c r="C94" s="27"/>
      <c r="D94" s="27"/>
      <c r="E94" s="27"/>
      <c r="F94" s="27"/>
      <c r="G94" s="27"/>
      <c r="H94" s="27"/>
      <c r="I94" s="27"/>
      <c r="J94" s="38">
        <v>-8206</v>
      </c>
      <c r="K94" s="38"/>
      <c r="L94" s="62"/>
      <c r="M94" s="27"/>
      <c r="N94" s="6"/>
      <c r="O94" s="7"/>
      <c r="P94" s="7"/>
      <c r="Q94" s="7"/>
    </row>
    <row r="95" spans="1:17" ht="15.75">
      <c r="A95" s="26"/>
      <c r="B95" s="27" t="s">
        <v>69</v>
      </c>
      <c r="C95" s="27"/>
      <c r="D95" s="27"/>
      <c r="E95" s="27"/>
      <c r="F95" s="27"/>
      <c r="G95" s="27"/>
      <c r="H95" s="27"/>
      <c r="I95" s="27"/>
      <c r="J95" s="38">
        <v>0</v>
      </c>
      <c r="K95" s="38"/>
      <c r="L95" s="62"/>
      <c r="M95" s="27"/>
      <c r="N95" s="6"/>
      <c r="O95" s="7"/>
      <c r="P95" s="7"/>
      <c r="Q95" s="7"/>
    </row>
    <row r="96" spans="1:17" ht="15.75">
      <c r="A96" s="26"/>
      <c r="B96" s="27" t="s">
        <v>70</v>
      </c>
      <c r="C96" s="27"/>
      <c r="D96" s="27"/>
      <c r="E96" s="27"/>
      <c r="F96" s="27"/>
      <c r="G96" s="27"/>
      <c r="H96" s="27"/>
      <c r="I96" s="27"/>
      <c r="J96" s="38">
        <f>SUM(J76:J95)</f>
        <v>-8207</v>
      </c>
      <c r="K96" s="38"/>
      <c r="L96" s="38">
        <f>SUM(L76:L95)</f>
        <v>-2976</v>
      </c>
      <c r="M96" s="27"/>
      <c r="N96" s="6"/>
      <c r="O96" s="7"/>
      <c r="P96" s="7"/>
      <c r="Q96" s="7"/>
    </row>
    <row r="97" spans="1:17" ht="15.75">
      <c r="A97" s="26"/>
      <c r="B97" s="27" t="s">
        <v>71</v>
      </c>
      <c r="C97" s="27"/>
      <c r="D97" s="27"/>
      <c r="E97" s="27"/>
      <c r="F97" s="27"/>
      <c r="G97" s="27"/>
      <c r="H97" s="27"/>
      <c r="I97" s="27"/>
      <c r="J97" s="38">
        <f>J75+J96</f>
        <v>0</v>
      </c>
      <c r="K97" s="38"/>
      <c r="L97" s="38">
        <f>L75+L96</f>
        <v>0</v>
      </c>
      <c r="M97" s="27"/>
      <c r="N97" s="6"/>
      <c r="O97" s="7"/>
      <c r="P97" s="7"/>
      <c r="Q97" s="7"/>
    </row>
    <row r="98" spans="1:17" ht="15.75">
      <c r="A98" s="26"/>
      <c r="B98" s="27"/>
      <c r="C98" s="27"/>
      <c r="D98" s="27"/>
      <c r="E98" s="27"/>
      <c r="F98" s="27"/>
      <c r="G98" s="27"/>
      <c r="H98" s="27"/>
      <c r="I98" s="27"/>
      <c r="J98" s="38"/>
      <c r="K98" s="38"/>
      <c r="L98" s="38"/>
      <c r="M98" s="27"/>
      <c r="N98" s="6"/>
      <c r="O98" s="7"/>
      <c r="P98" s="7"/>
      <c r="Q98" s="7"/>
    </row>
    <row r="99" spans="1:17" ht="15.75">
      <c r="A99" s="8"/>
      <c r="B99" s="10"/>
      <c r="C99" s="10"/>
      <c r="D99" s="10"/>
      <c r="E99" s="10"/>
      <c r="F99" s="10"/>
      <c r="G99" s="10"/>
      <c r="H99" s="10"/>
      <c r="I99" s="10"/>
      <c r="J99" s="10"/>
      <c r="K99" s="10"/>
      <c r="L99" s="58"/>
      <c r="M99" s="10"/>
      <c r="N99" s="6"/>
      <c r="O99" s="7"/>
      <c r="P99" s="7"/>
      <c r="Q99" s="7"/>
    </row>
    <row r="100" spans="1:17" ht="15.75">
      <c r="A100" s="8"/>
      <c r="B100" s="10"/>
      <c r="C100" s="10"/>
      <c r="D100" s="10"/>
      <c r="E100" s="10"/>
      <c r="F100" s="10"/>
      <c r="G100" s="10"/>
      <c r="H100" s="10"/>
      <c r="I100" s="10"/>
      <c r="J100" s="10"/>
      <c r="K100" s="10"/>
      <c r="L100" s="58"/>
      <c r="M100" s="10"/>
      <c r="N100" s="6"/>
      <c r="O100" s="7"/>
      <c r="P100" s="7"/>
      <c r="Q100" s="7"/>
    </row>
    <row r="101" spans="1:17" ht="15.75">
      <c r="A101" s="2"/>
      <c r="B101" s="55" t="s">
        <v>72</v>
      </c>
      <c r="C101" s="56"/>
      <c r="D101" s="5"/>
      <c r="E101" s="5"/>
      <c r="F101" s="5"/>
      <c r="G101" s="5"/>
      <c r="H101" s="5"/>
      <c r="I101" s="5"/>
      <c r="J101" s="5"/>
      <c r="K101" s="5"/>
      <c r="L101" s="57"/>
      <c r="M101" s="5"/>
      <c r="N101" s="6"/>
      <c r="O101" s="7"/>
      <c r="P101" s="7"/>
      <c r="Q101" s="7"/>
    </row>
    <row r="102" spans="1:17" ht="15.75">
      <c r="A102" s="8"/>
      <c r="B102" s="22"/>
      <c r="C102" s="16"/>
      <c r="D102" s="10"/>
      <c r="E102" s="10"/>
      <c r="F102" s="10"/>
      <c r="G102" s="10"/>
      <c r="H102" s="10"/>
      <c r="I102" s="10"/>
      <c r="J102" s="10"/>
      <c r="K102" s="10"/>
      <c r="L102" s="58"/>
      <c r="M102" s="10"/>
      <c r="N102" s="6"/>
      <c r="O102" s="7"/>
      <c r="P102" s="7"/>
      <c r="Q102" s="7"/>
    </row>
    <row r="103" spans="1:17" ht="15.75">
      <c r="A103" s="8"/>
      <c r="B103" s="72" t="s">
        <v>73</v>
      </c>
      <c r="C103" s="16"/>
      <c r="D103" s="10"/>
      <c r="E103" s="10"/>
      <c r="F103" s="10"/>
      <c r="G103" s="10"/>
      <c r="H103" s="10"/>
      <c r="I103" s="10"/>
      <c r="J103" s="10"/>
      <c r="K103" s="10"/>
      <c r="L103" s="58"/>
      <c r="M103" s="10"/>
      <c r="N103" s="6"/>
      <c r="O103" s="7"/>
      <c r="P103" s="7"/>
      <c r="Q103" s="7"/>
    </row>
    <row r="104" spans="1:17" ht="15.75">
      <c r="A104" s="26"/>
      <c r="B104" s="27" t="s">
        <v>74</v>
      </c>
      <c r="C104" s="27"/>
      <c r="D104" s="27"/>
      <c r="E104" s="27"/>
      <c r="F104" s="27"/>
      <c r="G104" s="27"/>
      <c r="H104" s="27"/>
      <c r="I104" s="27"/>
      <c r="J104" s="27"/>
      <c r="K104" s="27"/>
      <c r="L104" s="62">
        <v>3698</v>
      </c>
      <c r="M104" s="27"/>
      <c r="N104" s="6"/>
      <c r="O104" s="7"/>
      <c r="P104" s="7"/>
      <c r="Q104" s="7"/>
    </row>
    <row r="105" spans="1:17" ht="15.75">
      <c r="A105" s="26"/>
      <c r="B105" s="27" t="s">
        <v>75</v>
      </c>
      <c r="C105" s="27"/>
      <c r="D105" s="27"/>
      <c r="E105" s="27"/>
      <c r="F105" s="27"/>
      <c r="G105" s="27"/>
      <c r="H105" s="27"/>
      <c r="I105" s="27"/>
      <c r="J105" s="27"/>
      <c r="K105" s="27"/>
      <c r="L105" s="62">
        <v>3167</v>
      </c>
      <c r="M105" s="27"/>
      <c r="N105" s="6"/>
      <c r="O105" s="7"/>
      <c r="P105" s="7"/>
      <c r="Q105" s="7"/>
    </row>
    <row r="106" spans="1:17" ht="15.75">
      <c r="A106" s="26"/>
      <c r="B106" s="27" t="s">
        <v>76</v>
      </c>
      <c r="C106" s="27"/>
      <c r="D106" s="27"/>
      <c r="E106" s="27"/>
      <c r="F106" s="27"/>
      <c r="G106" s="27"/>
      <c r="H106" s="27"/>
      <c r="I106" s="27"/>
      <c r="J106" s="27"/>
      <c r="K106" s="27"/>
      <c r="L106" s="62">
        <f>-L86</f>
        <v>531</v>
      </c>
      <c r="M106" s="27"/>
      <c r="N106" s="6"/>
      <c r="O106" s="7"/>
      <c r="P106" s="7"/>
      <c r="Q106" s="7"/>
    </row>
    <row r="107" spans="1:17" ht="15.75">
      <c r="A107" s="26"/>
      <c r="B107" s="27" t="s">
        <v>77</v>
      </c>
      <c r="C107" s="27"/>
      <c r="D107" s="27"/>
      <c r="E107" s="27"/>
      <c r="F107" s="27"/>
      <c r="G107" s="27"/>
      <c r="H107" s="27"/>
      <c r="I107" s="27"/>
      <c r="J107" s="27"/>
      <c r="K107" s="27"/>
      <c r="L107" s="62">
        <v>0</v>
      </c>
      <c r="M107" s="27"/>
      <c r="N107" s="6"/>
      <c r="O107" s="7"/>
      <c r="P107" s="7"/>
      <c r="Q107" s="7"/>
    </row>
    <row r="108" spans="1:17" ht="15.75">
      <c r="A108" s="26"/>
      <c r="B108" s="27" t="s">
        <v>78</v>
      </c>
      <c r="C108" s="27"/>
      <c r="D108" s="27"/>
      <c r="E108" s="27"/>
      <c r="F108" s="27"/>
      <c r="G108" s="27"/>
      <c r="H108" s="27"/>
      <c r="I108" s="27"/>
      <c r="J108" s="27"/>
      <c r="K108" s="27"/>
      <c r="L108" s="62">
        <v>0</v>
      </c>
      <c r="M108" s="27"/>
      <c r="N108" s="6"/>
      <c r="O108" s="7"/>
      <c r="P108" s="7"/>
      <c r="Q108" s="7"/>
    </row>
    <row r="109" spans="1:17" ht="15.75">
      <c r="A109" s="26"/>
      <c r="B109" s="27" t="s">
        <v>55</v>
      </c>
      <c r="C109" s="27"/>
      <c r="D109" s="27"/>
      <c r="E109" s="27"/>
      <c r="F109" s="27"/>
      <c r="G109" s="27"/>
      <c r="H109" s="27"/>
      <c r="I109" s="27"/>
      <c r="J109" s="27"/>
      <c r="K109" s="27"/>
      <c r="L109" s="62">
        <v>0</v>
      </c>
      <c r="M109" s="27"/>
      <c r="N109" s="6"/>
      <c r="O109" s="7"/>
      <c r="P109" s="7"/>
      <c r="Q109" s="7"/>
    </row>
    <row r="110" spans="1:17" ht="15.75">
      <c r="A110" s="26"/>
      <c r="B110" s="27" t="s">
        <v>57</v>
      </c>
      <c r="C110" s="27"/>
      <c r="D110" s="27"/>
      <c r="E110" s="27"/>
      <c r="F110" s="27"/>
      <c r="G110" s="27"/>
      <c r="H110" s="27"/>
      <c r="I110" s="27"/>
      <c r="J110" s="27"/>
      <c r="K110" s="27"/>
      <c r="L110" s="62">
        <v>0</v>
      </c>
      <c r="M110" s="27"/>
      <c r="N110" s="6"/>
      <c r="O110" s="7"/>
      <c r="P110" s="7"/>
      <c r="Q110" s="7"/>
    </row>
    <row r="111" spans="1:17" ht="15.75">
      <c r="A111" s="26"/>
      <c r="B111" s="27" t="s">
        <v>79</v>
      </c>
      <c r="C111" s="27"/>
      <c r="D111" s="27"/>
      <c r="E111" s="27"/>
      <c r="F111" s="27"/>
      <c r="G111" s="27"/>
      <c r="H111" s="27"/>
      <c r="I111" s="27"/>
      <c r="J111" s="27"/>
      <c r="K111" s="27"/>
      <c r="L111" s="62">
        <f>SUM(L105:L109)</f>
        <v>3698</v>
      </c>
      <c r="M111" s="27"/>
      <c r="N111" s="6"/>
      <c r="O111" s="7"/>
      <c r="P111" s="7"/>
      <c r="Q111" s="7"/>
    </row>
    <row r="112" spans="1:17" ht="15.75">
      <c r="A112" s="26"/>
      <c r="B112" s="27"/>
      <c r="C112" s="27"/>
      <c r="D112" s="27"/>
      <c r="E112" s="27"/>
      <c r="F112" s="27"/>
      <c r="G112" s="27"/>
      <c r="H112" s="27"/>
      <c r="I112" s="27"/>
      <c r="J112" s="27"/>
      <c r="K112" s="27"/>
      <c r="L112" s="54"/>
      <c r="M112" s="27"/>
      <c r="N112" s="6"/>
      <c r="O112" s="7"/>
      <c r="P112" s="7"/>
      <c r="Q112" s="7"/>
    </row>
    <row r="113" spans="1:17" ht="15.75">
      <c r="A113" s="8"/>
      <c r="B113" s="72" t="s">
        <v>39</v>
      </c>
      <c r="C113" s="10"/>
      <c r="D113" s="10"/>
      <c r="E113" s="10"/>
      <c r="F113" s="10"/>
      <c r="G113" s="10"/>
      <c r="H113" s="10"/>
      <c r="I113" s="10"/>
      <c r="J113" s="10"/>
      <c r="K113" s="10"/>
      <c r="L113" s="58"/>
      <c r="M113" s="10"/>
      <c r="N113" s="6"/>
      <c r="O113" s="7"/>
      <c r="P113" s="7"/>
      <c r="Q113" s="7"/>
    </row>
    <row r="114" spans="1:17" ht="15.75">
      <c r="A114" s="26"/>
      <c r="B114" s="27" t="s">
        <v>80</v>
      </c>
      <c r="C114" s="27"/>
      <c r="D114" s="73"/>
      <c r="E114" s="27"/>
      <c r="F114" s="27"/>
      <c r="G114" s="27"/>
      <c r="H114" s="27"/>
      <c r="I114" s="27"/>
      <c r="J114" s="27"/>
      <c r="K114" s="27"/>
      <c r="L114" s="62">
        <f>1848891.08/1000</f>
        <v>1848.89108</v>
      </c>
      <c r="M114" s="27"/>
      <c r="N114" s="6"/>
      <c r="O114" s="7"/>
      <c r="P114" s="7"/>
      <c r="Q114" s="7"/>
    </row>
    <row r="115" spans="1:17" ht="15.75">
      <c r="A115" s="26"/>
      <c r="B115" s="27" t="s">
        <v>81</v>
      </c>
      <c r="C115" s="30"/>
      <c r="D115" s="30"/>
      <c r="E115" s="30"/>
      <c r="F115" s="30"/>
      <c r="G115" s="30"/>
      <c r="H115" s="30"/>
      <c r="I115" s="30"/>
      <c r="J115" s="30"/>
      <c r="K115" s="30"/>
      <c r="L115" s="63">
        <v>0</v>
      </c>
      <c r="M115" s="27"/>
      <c r="N115" s="6"/>
      <c r="O115" s="7"/>
      <c r="P115" s="7"/>
      <c r="Q115" s="7"/>
    </row>
    <row r="116" spans="1:17" ht="15.75">
      <c r="A116" s="26"/>
      <c r="B116" s="27" t="s">
        <v>82</v>
      </c>
      <c r="C116" s="27"/>
      <c r="D116" s="27"/>
      <c r="E116" s="27"/>
      <c r="F116" s="27"/>
      <c r="G116" s="27"/>
      <c r="H116" s="27"/>
      <c r="I116" s="27"/>
      <c r="J116" s="27"/>
      <c r="K116" s="27"/>
      <c r="L116" s="62">
        <v>0</v>
      </c>
      <c r="M116" s="27"/>
      <c r="N116" s="6"/>
      <c r="O116" s="7"/>
      <c r="P116" s="7"/>
      <c r="Q116" s="7"/>
    </row>
    <row r="117" spans="1:17" ht="15.75">
      <c r="A117" s="26"/>
      <c r="B117" s="27" t="s">
        <v>83</v>
      </c>
      <c r="C117" s="27"/>
      <c r="D117" s="27"/>
      <c r="E117" s="27"/>
      <c r="F117" s="27"/>
      <c r="G117" s="27"/>
      <c r="H117" s="27"/>
      <c r="I117" s="27"/>
      <c r="J117" s="27"/>
      <c r="K117" s="27"/>
      <c r="L117" s="62">
        <f>L114-L115-L116</f>
        <v>1848.89108</v>
      </c>
      <c r="M117" s="27"/>
      <c r="N117" s="6"/>
      <c r="O117" s="7"/>
      <c r="P117" s="7"/>
      <c r="Q117" s="7"/>
    </row>
    <row r="118" spans="1:17" ht="15.75">
      <c r="A118" s="26"/>
      <c r="B118" s="27"/>
      <c r="C118" s="27"/>
      <c r="D118" s="27"/>
      <c r="E118" s="27"/>
      <c r="F118" s="27"/>
      <c r="G118" s="27"/>
      <c r="H118" s="27"/>
      <c r="I118" s="27"/>
      <c r="J118" s="27"/>
      <c r="K118" s="27"/>
      <c r="L118" s="54"/>
      <c r="M118" s="27"/>
      <c r="N118" s="6"/>
      <c r="O118" s="7"/>
      <c r="P118" s="7"/>
      <c r="Q118" s="7"/>
    </row>
    <row r="119" spans="1:17" ht="15.75">
      <c r="A119" s="8"/>
      <c r="B119" s="72" t="s">
        <v>84</v>
      </c>
      <c r="C119" s="16"/>
      <c r="D119" s="10"/>
      <c r="E119" s="10"/>
      <c r="F119" s="10"/>
      <c r="G119" s="10"/>
      <c r="H119" s="10"/>
      <c r="I119" s="10"/>
      <c r="J119" s="10"/>
      <c r="K119" s="10"/>
      <c r="L119" s="74"/>
      <c r="M119" s="10"/>
      <c r="N119" s="6"/>
      <c r="O119" s="7"/>
      <c r="P119" s="7"/>
      <c r="Q119" s="7"/>
    </row>
    <row r="120" spans="1:17" ht="15.75">
      <c r="A120" s="26"/>
      <c r="B120" s="27" t="s">
        <v>85</v>
      </c>
      <c r="C120" s="27"/>
      <c r="D120" s="27"/>
      <c r="E120" s="27"/>
      <c r="F120" s="27"/>
      <c r="G120" s="27"/>
      <c r="H120" s="27"/>
      <c r="I120" s="27"/>
      <c r="J120" s="27"/>
      <c r="K120" s="27"/>
      <c r="L120" s="62">
        <v>1232</v>
      </c>
      <c r="M120" s="27"/>
      <c r="N120" s="6"/>
      <c r="O120" s="7"/>
      <c r="P120" s="7"/>
      <c r="Q120" s="7"/>
    </row>
    <row r="121" spans="1:17" ht="15.75">
      <c r="A121" s="26"/>
      <c r="B121" s="27" t="s">
        <v>86</v>
      </c>
      <c r="C121" s="27"/>
      <c r="D121" s="27"/>
      <c r="E121" s="27"/>
      <c r="F121" s="27"/>
      <c r="G121" s="27"/>
      <c r="H121" s="27"/>
      <c r="I121" s="27"/>
      <c r="J121" s="27"/>
      <c r="K121" s="27"/>
      <c r="L121" s="62">
        <v>482</v>
      </c>
      <c r="M121" s="27"/>
      <c r="N121" s="6"/>
      <c r="O121" s="7"/>
      <c r="P121" s="7"/>
      <c r="Q121" s="7"/>
    </row>
    <row r="122" spans="1:17" ht="15.75">
      <c r="A122" s="26"/>
      <c r="B122" s="27" t="s">
        <v>87</v>
      </c>
      <c r="C122" s="27"/>
      <c r="D122" s="27"/>
      <c r="E122" s="27"/>
      <c r="F122" s="27"/>
      <c r="G122" s="27"/>
      <c r="H122" s="27"/>
      <c r="I122" s="27"/>
      <c r="J122" s="27"/>
      <c r="K122" s="27"/>
      <c r="L122" s="62">
        <f>L121+L120</f>
        <v>1714</v>
      </c>
      <c r="M122" s="27"/>
      <c r="N122" s="6"/>
      <c r="O122" s="7"/>
      <c r="P122" s="7"/>
      <c r="Q122" s="7"/>
    </row>
    <row r="123" spans="1:17" ht="15.75">
      <c r="A123" s="26"/>
      <c r="B123" s="27" t="s">
        <v>88</v>
      </c>
      <c r="C123" s="27"/>
      <c r="D123" s="27"/>
      <c r="E123" s="27"/>
      <c r="F123" s="27"/>
      <c r="G123" s="27"/>
      <c r="H123" s="75"/>
      <c r="I123" s="27"/>
      <c r="J123" s="27"/>
      <c r="K123" s="27"/>
      <c r="L123" s="62">
        <f>L87</f>
        <v>-283</v>
      </c>
      <c r="M123" s="27"/>
      <c r="N123" s="6"/>
      <c r="O123" s="7"/>
      <c r="P123" s="7"/>
      <c r="Q123" s="7"/>
    </row>
    <row r="124" spans="1:17" ht="15.75">
      <c r="A124" s="26"/>
      <c r="B124" s="27" t="s">
        <v>89</v>
      </c>
      <c r="C124" s="27"/>
      <c r="D124" s="27"/>
      <c r="E124" s="27"/>
      <c r="F124" s="27"/>
      <c r="G124" s="27"/>
      <c r="H124" s="27"/>
      <c r="I124" s="27"/>
      <c r="J124" s="27"/>
      <c r="K124" s="27"/>
      <c r="L124" s="62">
        <f>L122+L123</f>
        <v>1431</v>
      </c>
      <c r="M124" s="27"/>
      <c r="N124" s="6"/>
      <c r="O124" s="7"/>
      <c r="P124" s="7"/>
      <c r="Q124" s="7"/>
    </row>
    <row r="125" spans="1:17" ht="15.75">
      <c r="A125" s="26"/>
      <c r="B125" s="27"/>
      <c r="C125" s="27"/>
      <c r="D125" s="27"/>
      <c r="E125" s="27"/>
      <c r="F125" s="27"/>
      <c r="G125" s="27"/>
      <c r="H125" s="27"/>
      <c r="I125" s="27"/>
      <c r="J125" s="27"/>
      <c r="K125" s="27"/>
      <c r="L125" s="54"/>
      <c r="M125" s="27"/>
      <c r="N125" s="6"/>
      <c r="O125" s="7"/>
      <c r="P125" s="7"/>
      <c r="Q125" s="7"/>
    </row>
    <row r="126" spans="1:17" ht="15.75">
      <c r="A126" s="2"/>
      <c r="B126" s="5"/>
      <c r="C126" s="5"/>
      <c r="D126" s="5"/>
      <c r="E126" s="5"/>
      <c r="F126" s="5"/>
      <c r="G126" s="5"/>
      <c r="H126" s="5"/>
      <c r="I126" s="5"/>
      <c r="J126" s="5"/>
      <c r="K126" s="5"/>
      <c r="L126" s="57"/>
      <c r="M126" s="5"/>
      <c r="N126" s="6"/>
      <c r="O126" s="7"/>
      <c r="P126" s="7"/>
      <c r="Q126" s="7"/>
    </row>
    <row r="127" spans="1:17" ht="15.75">
      <c r="A127" s="8"/>
      <c r="B127" s="72" t="s">
        <v>90</v>
      </c>
      <c r="C127" s="16"/>
      <c r="D127" s="10"/>
      <c r="E127" s="10"/>
      <c r="F127" s="10"/>
      <c r="G127" s="10"/>
      <c r="H127" s="10"/>
      <c r="I127" s="10"/>
      <c r="J127" s="10"/>
      <c r="K127" s="10"/>
      <c r="L127" s="58"/>
      <c r="M127" s="10"/>
      <c r="N127" s="6"/>
      <c r="O127" s="7"/>
      <c r="P127" s="7"/>
      <c r="Q127" s="7"/>
    </row>
    <row r="128" spans="1:17" ht="15.75">
      <c r="A128" s="8"/>
      <c r="B128" s="22"/>
      <c r="C128" s="16"/>
      <c r="D128" s="10"/>
      <c r="E128" s="10"/>
      <c r="F128" s="10"/>
      <c r="G128" s="10"/>
      <c r="H128" s="10"/>
      <c r="I128" s="10"/>
      <c r="J128" s="10"/>
      <c r="K128" s="10"/>
      <c r="L128" s="58"/>
      <c r="M128" s="10"/>
      <c r="N128" s="6"/>
      <c r="O128" s="7"/>
      <c r="P128" s="7"/>
      <c r="Q128" s="7"/>
    </row>
    <row r="129" spans="1:17" ht="15.75">
      <c r="A129" s="26"/>
      <c r="B129" s="27" t="s">
        <v>91</v>
      </c>
      <c r="C129" s="76"/>
      <c r="D129" s="27"/>
      <c r="E129" s="27"/>
      <c r="F129" s="27"/>
      <c r="G129" s="27"/>
      <c r="H129" s="27"/>
      <c r="I129" s="27"/>
      <c r="J129" s="27"/>
      <c r="K129" s="27"/>
      <c r="L129" s="62">
        <f>L53</f>
        <v>129297</v>
      </c>
      <c r="M129" s="27"/>
      <c r="N129" s="6"/>
      <c r="O129" s="7"/>
      <c r="P129" s="7"/>
      <c r="Q129" s="7"/>
    </row>
    <row r="130" spans="1:17" ht="15.75">
      <c r="A130" s="26"/>
      <c r="B130" s="27" t="s">
        <v>92</v>
      </c>
      <c r="C130" s="76"/>
      <c r="D130" s="27"/>
      <c r="E130" s="27"/>
      <c r="F130" s="27"/>
      <c r="G130" s="27"/>
      <c r="H130" s="27"/>
      <c r="I130" s="27"/>
      <c r="J130" s="27"/>
      <c r="K130" s="27"/>
      <c r="L130" s="62">
        <f>L65</f>
        <v>121122</v>
      </c>
      <c r="M130" s="27"/>
      <c r="N130" s="6"/>
      <c r="O130" s="7"/>
      <c r="P130" s="7"/>
      <c r="Q130" s="7"/>
    </row>
    <row r="131" spans="1:17" ht="15.75">
      <c r="A131" s="26"/>
      <c r="B131" s="27"/>
      <c r="C131" s="27"/>
      <c r="D131" s="27"/>
      <c r="E131" s="27"/>
      <c r="F131" s="27"/>
      <c r="G131" s="27"/>
      <c r="H131" s="27"/>
      <c r="I131" s="27"/>
      <c r="J131" s="27"/>
      <c r="K131" s="27"/>
      <c r="L131" s="54"/>
      <c r="M131" s="27"/>
      <c r="N131" s="6"/>
      <c r="O131" s="7"/>
      <c r="P131" s="7"/>
      <c r="Q131" s="7"/>
    </row>
    <row r="132" spans="1:17" ht="15.75">
      <c r="A132" s="2"/>
      <c r="B132" s="5"/>
      <c r="C132" s="5"/>
      <c r="D132" s="5"/>
      <c r="E132" s="5"/>
      <c r="F132" s="5"/>
      <c r="G132" s="5"/>
      <c r="H132" s="5"/>
      <c r="I132" s="5"/>
      <c r="J132" s="5"/>
      <c r="K132" s="5"/>
      <c r="L132" s="57"/>
      <c r="M132" s="5"/>
      <c r="N132" s="6"/>
      <c r="O132" s="7"/>
      <c r="P132" s="7"/>
      <c r="Q132" s="7"/>
    </row>
    <row r="133" spans="1:17" ht="15.75">
      <c r="A133" s="8"/>
      <c r="B133" s="72" t="s">
        <v>93</v>
      </c>
      <c r="C133" s="12"/>
      <c r="D133" s="12"/>
      <c r="E133" s="12"/>
      <c r="F133" s="12"/>
      <c r="G133" s="12"/>
      <c r="H133" s="77" t="s">
        <v>170</v>
      </c>
      <c r="I133" s="77"/>
      <c r="J133" s="77" t="s">
        <v>182</v>
      </c>
      <c r="K133" s="12"/>
      <c r="L133" s="78" t="s">
        <v>197</v>
      </c>
      <c r="M133" s="12"/>
      <c r="N133" s="6"/>
      <c r="O133" s="7"/>
      <c r="P133" s="7"/>
      <c r="Q133" s="7"/>
    </row>
    <row r="134" spans="1:17" ht="15.75">
      <c r="A134" s="26"/>
      <c r="B134" s="27" t="s">
        <v>94</v>
      </c>
      <c r="C134" s="27"/>
      <c r="D134" s="27"/>
      <c r="E134" s="27"/>
      <c r="F134" s="27"/>
      <c r="G134" s="27"/>
      <c r="H134" s="62">
        <v>31500</v>
      </c>
      <c r="I134" s="27"/>
      <c r="J134" s="47" t="s">
        <v>183</v>
      </c>
      <c r="K134" s="27"/>
      <c r="L134" s="62"/>
      <c r="M134" s="27"/>
      <c r="N134" s="6"/>
      <c r="O134" s="7"/>
      <c r="P134" s="7"/>
      <c r="Q134" s="7"/>
    </row>
    <row r="135" spans="1:17" ht="15.75">
      <c r="A135" s="26"/>
      <c r="B135" s="27" t="s">
        <v>95</v>
      </c>
      <c r="C135" s="27"/>
      <c r="D135" s="27"/>
      <c r="E135" s="27"/>
      <c r="F135" s="27"/>
      <c r="G135" s="27"/>
      <c r="H135" s="62">
        <v>111</v>
      </c>
      <c r="I135" s="27"/>
      <c r="J135" s="27">
        <v>21</v>
      </c>
      <c r="K135" s="27"/>
      <c r="L135" s="62">
        <f>J135+H135</f>
        <v>132</v>
      </c>
      <c r="M135" s="27"/>
      <c r="N135" s="6"/>
      <c r="O135" s="7"/>
      <c r="P135" s="7"/>
      <c r="Q135" s="7"/>
    </row>
    <row r="136" spans="1:17" ht="15.75">
      <c r="A136" s="26"/>
      <c r="B136" s="27" t="s">
        <v>96</v>
      </c>
      <c r="C136" s="27"/>
      <c r="D136" s="27"/>
      <c r="E136" s="27"/>
      <c r="F136" s="27"/>
      <c r="G136" s="27"/>
      <c r="H136" s="62">
        <v>0</v>
      </c>
      <c r="I136" s="27"/>
      <c r="J136" s="38">
        <v>1</v>
      </c>
      <c r="K136" s="27"/>
      <c r="L136" s="62">
        <f>J136+H136</f>
        <v>1</v>
      </c>
      <c r="M136" s="27"/>
      <c r="N136" s="6"/>
      <c r="O136" s="7"/>
      <c r="P136" s="7"/>
      <c r="Q136" s="7"/>
    </row>
    <row r="137" spans="1:17" ht="15.75">
      <c r="A137" s="26"/>
      <c r="B137" s="27" t="s">
        <v>97</v>
      </c>
      <c r="C137" s="27"/>
      <c r="D137" s="27"/>
      <c r="E137" s="27"/>
      <c r="F137" s="27"/>
      <c r="G137" s="27"/>
      <c r="H137" s="62">
        <f>H136+H135</f>
        <v>111</v>
      </c>
      <c r="I137" s="27"/>
      <c r="J137" s="62">
        <f>J136+J135</f>
        <v>22</v>
      </c>
      <c r="K137" s="27"/>
      <c r="L137" s="62">
        <f>J137+H137</f>
        <v>133</v>
      </c>
      <c r="M137" s="27"/>
      <c r="N137" s="6"/>
      <c r="O137" s="7"/>
      <c r="P137" s="7"/>
      <c r="Q137" s="7"/>
    </row>
    <row r="138" spans="1:17" ht="15.75">
      <c r="A138" s="26"/>
      <c r="B138" s="27" t="s">
        <v>98</v>
      </c>
      <c r="C138" s="27"/>
      <c r="D138" s="27"/>
      <c r="E138" s="27"/>
      <c r="F138" s="27"/>
      <c r="G138" s="27"/>
      <c r="H138" s="62">
        <f>H134-H137</f>
        <v>31389</v>
      </c>
      <c r="I138" s="27"/>
      <c r="J138" s="47" t="s">
        <v>183</v>
      </c>
      <c r="K138" s="27"/>
      <c r="L138" s="62"/>
      <c r="M138" s="27"/>
      <c r="N138" s="6"/>
      <c r="O138" s="7"/>
      <c r="P138" s="7"/>
      <c r="Q138" s="7"/>
    </row>
    <row r="139" spans="1:17" ht="15.75">
      <c r="A139" s="26"/>
      <c r="B139" s="27"/>
      <c r="C139" s="27"/>
      <c r="D139" s="27"/>
      <c r="E139" s="27"/>
      <c r="F139" s="27"/>
      <c r="G139" s="27"/>
      <c r="H139" s="27"/>
      <c r="I139" s="27"/>
      <c r="J139" s="27"/>
      <c r="K139" s="27"/>
      <c r="L139" s="54"/>
      <c r="M139" s="27"/>
      <c r="N139" s="6"/>
      <c r="O139" s="7"/>
      <c r="P139" s="7"/>
      <c r="Q139" s="7"/>
    </row>
    <row r="140" spans="1:17" ht="15.75">
      <c r="A140" s="2"/>
      <c r="B140" s="5"/>
      <c r="C140" s="5"/>
      <c r="D140" s="5"/>
      <c r="E140" s="5"/>
      <c r="F140" s="5"/>
      <c r="G140" s="5"/>
      <c r="H140" s="5"/>
      <c r="I140" s="5"/>
      <c r="J140" s="5"/>
      <c r="K140" s="5"/>
      <c r="L140" s="57"/>
      <c r="M140" s="5"/>
      <c r="N140" s="6"/>
      <c r="O140" s="7"/>
      <c r="P140" s="7"/>
      <c r="Q140" s="7"/>
    </row>
    <row r="141" spans="1:17" ht="15.75">
      <c r="A141" s="8"/>
      <c r="B141" s="72" t="s">
        <v>99</v>
      </c>
      <c r="C141" s="16"/>
      <c r="D141" s="10"/>
      <c r="E141" s="10"/>
      <c r="F141" s="10"/>
      <c r="G141" s="10"/>
      <c r="H141" s="10"/>
      <c r="I141" s="10"/>
      <c r="J141" s="10"/>
      <c r="K141" s="10"/>
      <c r="L141" s="79"/>
      <c r="M141" s="10"/>
      <c r="N141" s="6"/>
      <c r="O141" s="7"/>
      <c r="P141" s="7"/>
      <c r="Q141" s="7"/>
    </row>
    <row r="142" spans="1:17" ht="15.75">
      <c r="A142" s="26"/>
      <c r="B142" s="27" t="s">
        <v>100</v>
      </c>
      <c r="C142" s="27"/>
      <c r="D142" s="27"/>
      <c r="E142" s="27"/>
      <c r="F142" s="27"/>
      <c r="G142" s="27"/>
      <c r="H142" s="27"/>
      <c r="I142" s="27"/>
      <c r="J142" s="27"/>
      <c r="K142" s="27"/>
      <c r="L142" s="71">
        <f>SUM(L75:L80)/-L81</f>
        <v>2.191403081914031</v>
      </c>
      <c r="M142" s="27" t="s">
        <v>198</v>
      </c>
      <c r="N142" s="6"/>
      <c r="O142" s="7"/>
      <c r="P142" s="7"/>
      <c r="Q142" s="7"/>
    </row>
    <row r="143" spans="1:17" ht="15.75">
      <c r="A143" s="26"/>
      <c r="B143" s="27" t="s">
        <v>101</v>
      </c>
      <c r="C143" s="27"/>
      <c r="D143" s="27"/>
      <c r="E143" s="27"/>
      <c r="F143" s="27"/>
      <c r="G143" s="27"/>
      <c r="H143" s="27"/>
      <c r="I143" s="27"/>
      <c r="J143" s="27"/>
      <c r="K143" s="27"/>
      <c r="L143" s="80">
        <v>1.42</v>
      </c>
      <c r="M143" s="27" t="s">
        <v>198</v>
      </c>
      <c r="N143" s="6"/>
      <c r="O143" s="7"/>
      <c r="P143" s="7"/>
      <c r="Q143" s="7"/>
    </row>
    <row r="144" spans="1:17" ht="15.75">
      <c r="A144" s="26"/>
      <c r="B144" s="27" t="s">
        <v>102</v>
      </c>
      <c r="C144" s="27"/>
      <c r="D144" s="27"/>
      <c r="E144" s="27"/>
      <c r="F144" s="27"/>
      <c r="G144" s="27"/>
      <c r="H144" s="27"/>
      <c r="I144" s="27"/>
      <c r="J144" s="27"/>
      <c r="K144" s="27"/>
      <c r="L144" s="71">
        <f>SUM(L75:L82)/-L83</f>
        <v>2.9918367346938775</v>
      </c>
      <c r="M144" s="27" t="s">
        <v>198</v>
      </c>
      <c r="N144" s="6"/>
      <c r="O144" s="7"/>
      <c r="P144" s="7"/>
      <c r="Q144" s="7"/>
    </row>
    <row r="145" spans="1:17" ht="15.75">
      <c r="A145" s="26"/>
      <c r="B145" s="27" t="s">
        <v>103</v>
      </c>
      <c r="C145" s="27"/>
      <c r="D145" s="27"/>
      <c r="E145" s="27"/>
      <c r="F145" s="27"/>
      <c r="G145" s="27"/>
      <c r="H145" s="27"/>
      <c r="I145" s="27"/>
      <c r="J145" s="27"/>
      <c r="K145" s="27"/>
      <c r="L145" s="81">
        <v>1.39</v>
      </c>
      <c r="M145" s="27" t="s">
        <v>198</v>
      </c>
      <c r="N145" s="6"/>
      <c r="O145" s="7"/>
      <c r="P145" s="7"/>
      <c r="Q145" s="7"/>
    </row>
    <row r="146" spans="1:17" ht="15.75">
      <c r="A146" s="26"/>
      <c r="B146" s="27" t="s">
        <v>104</v>
      </c>
      <c r="C146" s="27"/>
      <c r="D146" s="27"/>
      <c r="E146" s="27"/>
      <c r="F146" s="27"/>
      <c r="G146" s="27"/>
      <c r="H146" s="27"/>
      <c r="I146" s="27"/>
      <c r="J146" s="27"/>
      <c r="K146" s="27"/>
      <c r="L146" s="71">
        <f>SUM(L75:L83)/-L84</f>
        <v>6.0246913580246915</v>
      </c>
      <c r="M146" s="27" t="s">
        <v>198</v>
      </c>
      <c r="N146" s="6"/>
      <c r="O146" s="7"/>
      <c r="P146" s="7"/>
      <c r="Q146" s="7"/>
    </row>
    <row r="147" spans="1:17" ht="15.75">
      <c r="A147" s="26"/>
      <c r="B147" s="27" t="s">
        <v>105</v>
      </c>
      <c r="C147" s="27"/>
      <c r="D147" s="27"/>
      <c r="E147" s="27"/>
      <c r="F147" s="27"/>
      <c r="G147" s="27"/>
      <c r="H147" s="27"/>
      <c r="I147" s="27"/>
      <c r="J147" s="27"/>
      <c r="K147" s="27"/>
      <c r="L147" s="81">
        <v>1.2</v>
      </c>
      <c r="M147" s="27" t="s">
        <v>198</v>
      </c>
      <c r="N147" s="6"/>
      <c r="O147" s="7"/>
      <c r="P147" s="7"/>
      <c r="Q147" s="7"/>
    </row>
    <row r="148" spans="1:17" ht="15.75">
      <c r="A148" s="26"/>
      <c r="B148" s="27"/>
      <c r="C148" s="27"/>
      <c r="D148" s="27"/>
      <c r="E148" s="27"/>
      <c r="F148" s="27"/>
      <c r="G148" s="27"/>
      <c r="H148" s="27"/>
      <c r="I148" s="27"/>
      <c r="J148" s="27"/>
      <c r="K148" s="27"/>
      <c r="L148" s="27"/>
      <c r="M148" s="27"/>
      <c r="N148" s="6"/>
      <c r="O148" s="7"/>
      <c r="P148" s="7"/>
      <c r="Q148" s="7"/>
    </row>
    <row r="149" spans="1:17" ht="15.75">
      <c r="A149" s="2"/>
      <c r="B149" s="135"/>
      <c r="C149" s="135"/>
      <c r="D149" s="135"/>
      <c r="E149" s="135"/>
      <c r="F149" s="135"/>
      <c r="G149" s="135"/>
      <c r="H149" s="135"/>
      <c r="I149" s="135"/>
      <c r="J149" s="135"/>
      <c r="K149" s="135"/>
      <c r="L149" s="135"/>
      <c r="M149" s="135"/>
      <c r="N149" s="6"/>
      <c r="O149" s="7"/>
      <c r="P149" s="7"/>
      <c r="Q149" s="7"/>
    </row>
    <row r="150" spans="1:17" ht="15.75">
      <c r="A150" s="86"/>
      <c r="B150" s="67" t="s">
        <v>106</v>
      </c>
      <c r="C150" s="136"/>
      <c r="D150" s="136"/>
      <c r="E150" s="136"/>
      <c r="F150" s="136"/>
      <c r="G150" s="130"/>
      <c r="H150" s="130"/>
      <c r="I150" s="130"/>
      <c r="J150" s="130">
        <v>36525</v>
      </c>
      <c r="K150" s="18"/>
      <c r="L150" s="18"/>
      <c r="M150" s="10"/>
      <c r="N150" s="85"/>
      <c r="O150" s="7"/>
      <c r="P150" s="7"/>
      <c r="Q150" s="7"/>
    </row>
    <row r="151" spans="1:17" ht="15.75">
      <c r="A151" s="86"/>
      <c r="B151" s="87"/>
      <c r="C151" s="88"/>
      <c r="D151" s="88"/>
      <c r="E151" s="88"/>
      <c r="F151" s="88"/>
      <c r="G151" s="89"/>
      <c r="H151" s="89"/>
      <c r="I151" s="89"/>
      <c r="J151" s="89"/>
      <c r="K151" s="10"/>
      <c r="L151" s="10"/>
      <c r="M151" s="10"/>
      <c r="N151" s="85"/>
      <c r="O151" s="7"/>
      <c r="P151" s="7"/>
      <c r="Q151" s="7"/>
    </row>
    <row r="152" spans="1:17" ht="15.75">
      <c r="A152" s="90"/>
      <c r="B152" s="91" t="s">
        <v>107</v>
      </c>
      <c r="C152" s="92"/>
      <c r="D152" s="92"/>
      <c r="E152" s="92"/>
      <c r="F152" s="92"/>
      <c r="G152" s="75"/>
      <c r="H152" s="75"/>
      <c r="I152" s="75"/>
      <c r="J152" s="93">
        <v>0.104</v>
      </c>
      <c r="K152" s="27"/>
      <c r="L152" s="27"/>
      <c r="M152" s="27"/>
      <c r="N152" s="85"/>
      <c r="O152" s="7"/>
      <c r="P152" s="7"/>
      <c r="Q152" s="7"/>
    </row>
    <row r="153" spans="1:17" ht="15.75">
      <c r="A153" s="90"/>
      <c r="B153" s="91" t="s">
        <v>108</v>
      </c>
      <c r="C153" s="92"/>
      <c r="D153" s="92"/>
      <c r="E153" s="92"/>
      <c r="F153" s="92"/>
      <c r="G153" s="75"/>
      <c r="H153" s="75"/>
      <c r="I153" s="75"/>
      <c r="J153" s="46">
        <f>7.76710857142857/100</f>
        <v>0.0776710857142857</v>
      </c>
      <c r="K153" s="27"/>
      <c r="L153" s="27"/>
      <c r="M153" s="27"/>
      <c r="N153" s="85"/>
      <c r="O153" s="7"/>
      <c r="P153" s="7"/>
      <c r="Q153" s="7"/>
    </row>
    <row r="154" spans="1:17" ht="15.75">
      <c r="A154" s="90"/>
      <c r="B154" s="91" t="s">
        <v>109</v>
      </c>
      <c r="C154" s="92"/>
      <c r="D154" s="92"/>
      <c r="E154" s="92"/>
      <c r="F154" s="92"/>
      <c r="G154" s="75"/>
      <c r="H154" s="75"/>
      <c r="I154" s="75"/>
      <c r="J154" s="93">
        <f>J152-J153</f>
        <v>0.026328914285714294</v>
      </c>
      <c r="K154" s="27"/>
      <c r="L154" s="27"/>
      <c r="M154" s="27"/>
      <c r="N154" s="85"/>
      <c r="O154" s="7"/>
      <c r="P154" s="7"/>
      <c r="Q154" s="7"/>
    </row>
    <row r="155" spans="1:17" ht="15.75">
      <c r="A155" s="90"/>
      <c r="B155" s="91" t="s">
        <v>110</v>
      </c>
      <c r="C155" s="92"/>
      <c r="D155" s="92"/>
      <c r="E155" s="92"/>
      <c r="F155" s="92"/>
      <c r="G155" s="75"/>
      <c r="H155" s="75"/>
      <c r="I155" s="75"/>
      <c r="J155" s="93">
        <v>0.08961</v>
      </c>
      <c r="K155" s="27"/>
      <c r="L155" s="27"/>
      <c r="M155" s="27"/>
      <c r="N155" s="85"/>
      <c r="O155" s="7"/>
      <c r="P155" s="7"/>
      <c r="Q155" s="7"/>
    </row>
    <row r="156" spans="1:17" ht="15.75">
      <c r="A156" s="90"/>
      <c r="B156" s="91" t="s">
        <v>111</v>
      </c>
      <c r="C156" s="92"/>
      <c r="D156" s="92"/>
      <c r="E156" s="92"/>
      <c r="F156" s="92"/>
      <c r="G156" s="75"/>
      <c r="H156" s="75"/>
      <c r="I156" s="75"/>
      <c r="J156" s="93">
        <f>L29</f>
        <v>0.05847895932586054</v>
      </c>
      <c r="K156" s="27"/>
      <c r="L156" s="27"/>
      <c r="M156" s="27"/>
      <c r="N156" s="85"/>
      <c r="O156" s="7"/>
      <c r="P156" s="7"/>
      <c r="Q156" s="7"/>
    </row>
    <row r="157" spans="1:17" ht="15.75">
      <c r="A157" s="90"/>
      <c r="B157" s="91" t="s">
        <v>112</v>
      </c>
      <c r="C157" s="92"/>
      <c r="D157" s="92"/>
      <c r="E157" s="92"/>
      <c r="F157" s="92"/>
      <c r="G157" s="75"/>
      <c r="H157" s="75"/>
      <c r="I157" s="75"/>
      <c r="J157" s="93">
        <f>J155-J156</f>
        <v>0.031131040674139458</v>
      </c>
      <c r="K157" s="27"/>
      <c r="L157" s="27"/>
      <c r="M157" s="27"/>
      <c r="N157" s="85"/>
      <c r="O157" s="7"/>
      <c r="P157" s="7"/>
      <c r="Q157" s="7"/>
    </row>
    <row r="158" spans="1:17" ht="15.75">
      <c r="A158" s="90"/>
      <c r="B158" s="91" t="s">
        <v>113</v>
      </c>
      <c r="C158" s="92"/>
      <c r="D158" s="92"/>
      <c r="E158" s="92"/>
      <c r="F158" s="92"/>
      <c r="G158" s="75"/>
      <c r="H158" s="75"/>
      <c r="I158" s="75"/>
      <c r="J158" s="94" t="s">
        <v>184</v>
      </c>
      <c r="K158" s="27"/>
      <c r="L158" s="27"/>
      <c r="M158" s="27"/>
      <c r="N158" s="85"/>
      <c r="O158" s="7"/>
      <c r="P158" s="7"/>
      <c r="Q158" s="7"/>
    </row>
    <row r="159" spans="1:17" ht="15.75">
      <c r="A159" s="90"/>
      <c r="B159" s="91" t="s">
        <v>114</v>
      </c>
      <c r="C159" s="92"/>
      <c r="D159" s="92"/>
      <c r="E159" s="92"/>
      <c r="F159" s="92"/>
      <c r="G159" s="75"/>
      <c r="H159" s="75"/>
      <c r="I159" s="75"/>
      <c r="J159" s="95">
        <v>17.6</v>
      </c>
      <c r="K159" s="27" t="s">
        <v>189</v>
      </c>
      <c r="L159" s="27"/>
      <c r="M159" s="27"/>
      <c r="N159" s="85"/>
      <c r="O159" s="7"/>
      <c r="P159" s="7"/>
      <c r="Q159" s="7"/>
    </row>
    <row r="160" spans="1:17" ht="15.75">
      <c r="A160" s="90"/>
      <c r="B160" s="91" t="s">
        <v>115</v>
      </c>
      <c r="C160" s="92"/>
      <c r="D160" s="92"/>
      <c r="E160" s="92"/>
      <c r="F160" s="92"/>
      <c r="G160" s="75"/>
      <c r="H160" s="75"/>
      <c r="I160" s="75"/>
      <c r="J160" s="95">
        <v>16</v>
      </c>
      <c r="K160" s="27" t="s">
        <v>189</v>
      </c>
      <c r="L160" s="27"/>
      <c r="M160" s="27"/>
      <c r="N160" s="85"/>
      <c r="O160" s="7"/>
      <c r="P160" s="7"/>
      <c r="Q160" s="7"/>
    </row>
    <row r="161" spans="1:17" ht="15.75">
      <c r="A161" s="90"/>
      <c r="B161" s="91" t="s">
        <v>116</v>
      </c>
      <c r="C161" s="92"/>
      <c r="D161" s="92"/>
      <c r="E161" s="92"/>
      <c r="F161" s="92"/>
      <c r="G161" s="75"/>
      <c r="H161" s="75"/>
      <c r="I161" s="75"/>
      <c r="J161" s="93">
        <f>F53/D53*4</f>
        <v>0.25185528756957326</v>
      </c>
      <c r="K161" s="27"/>
      <c r="L161" s="27"/>
      <c r="M161" s="27"/>
      <c r="N161" s="85"/>
      <c r="O161" s="7"/>
      <c r="P161" s="7"/>
      <c r="Q161" s="7"/>
    </row>
    <row r="162" spans="1:17" ht="15.75">
      <c r="A162" s="90"/>
      <c r="B162" s="91"/>
      <c r="C162" s="91"/>
      <c r="D162" s="91"/>
      <c r="E162" s="91"/>
      <c r="F162" s="91"/>
      <c r="G162" s="27"/>
      <c r="H162" s="27"/>
      <c r="I162" s="27"/>
      <c r="J162" s="54"/>
      <c r="K162" s="27"/>
      <c r="L162" s="96"/>
      <c r="M162" s="27"/>
      <c r="N162" s="85"/>
      <c r="O162" s="7"/>
      <c r="P162" s="7"/>
      <c r="Q162" s="7"/>
    </row>
    <row r="163" spans="1:17" ht="15.75">
      <c r="A163" s="97"/>
      <c r="B163" s="17" t="s">
        <v>117</v>
      </c>
      <c r="C163" s="20"/>
      <c r="D163" s="98"/>
      <c r="E163" s="20"/>
      <c r="F163" s="98"/>
      <c r="G163" s="20"/>
      <c r="H163" s="98"/>
      <c r="I163" s="20" t="s">
        <v>171</v>
      </c>
      <c r="J163" s="98" t="s">
        <v>185</v>
      </c>
      <c r="K163" s="18"/>
      <c r="L163" s="10"/>
      <c r="M163" s="10"/>
      <c r="N163" s="85"/>
      <c r="O163" s="7"/>
      <c r="P163" s="7"/>
      <c r="Q163" s="7"/>
    </row>
    <row r="164" spans="1:17" ht="15.75">
      <c r="A164" s="99"/>
      <c r="B164" s="91" t="s">
        <v>118</v>
      </c>
      <c r="C164" s="63"/>
      <c r="D164" s="63"/>
      <c r="E164" s="63"/>
      <c r="F164" s="27"/>
      <c r="G164" s="27"/>
      <c r="H164" s="27"/>
      <c r="I164" s="27">
        <v>363</v>
      </c>
      <c r="J164" s="100">
        <v>26043</v>
      </c>
      <c r="K164" s="27"/>
      <c r="L164" s="96"/>
      <c r="M164" s="101"/>
      <c r="N164" s="85"/>
      <c r="O164" s="7"/>
      <c r="P164" s="7"/>
      <c r="Q164" s="7"/>
    </row>
    <row r="165" spans="1:17" ht="15.75">
      <c r="A165" s="99"/>
      <c r="B165" s="91" t="s">
        <v>119</v>
      </c>
      <c r="C165" s="63"/>
      <c r="D165" s="63"/>
      <c r="E165" s="63"/>
      <c r="F165" s="27"/>
      <c r="G165" s="27"/>
      <c r="H165" s="27"/>
      <c r="I165" s="27">
        <v>31</v>
      </c>
      <c r="J165" s="100">
        <v>2485</v>
      </c>
      <c r="K165" s="27"/>
      <c r="L165" s="96"/>
      <c r="M165" s="101"/>
      <c r="N165" s="85"/>
      <c r="O165" s="7"/>
      <c r="P165" s="7"/>
      <c r="Q165" s="7"/>
    </row>
    <row r="166" spans="1:17" ht="15.75">
      <c r="A166" s="99"/>
      <c r="B166" s="102" t="s">
        <v>120</v>
      </c>
      <c r="C166" s="63"/>
      <c r="D166" s="63"/>
      <c r="E166" s="63"/>
      <c r="F166" s="27"/>
      <c r="G166" s="27"/>
      <c r="H166" s="27"/>
      <c r="I166" s="27">
        <v>1</v>
      </c>
      <c r="J166" s="100">
        <v>70</v>
      </c>
      <c r="K166" s="27"/>
      <c r="L166" s="96"/>
      <c r="M166" s="101"/>
      <c r="N166" s="85"/>
      <c r="O166" s="7"/>
      <c r="P166" s="7"/>
      <c r="Q166" s="7"/>
    </row>
    <row r="167" spans="1:17" ht="15.75">
      <c r="A167" s="99"/>
      <c r="B167" s="102" t="s">
        <v>121</v>
      </c>
      <c r="C167" s="63"/>
      <c r="D167" s="63"/>
      <c r="E167" s="63"/>
      <c r="F167" s="27"/>
      <c r="G167" s="27"/>
      <c r="H167" s="27"/>
      <c r="I167" s="27"/>
      <c r="J167" s="103" t="s">
        <v>186</v>
      </c>
      <c r="K167" s="27"/>
      <c r="L167" s="96"/>
      <c r="M167" s="101"/>
      <c r="N167" s="85"/>
      <c r="O167" s="7"/>
      <c r="P167" s="7"/>
      <c r="Q167" s="7"/>
    </row>
    <row r="168" spans="1:17" ht="15.75">
      <c r="A168" s="104"/>
      <c r="B168" s="102" t="s">
        <v>122</v>
      </c>
      <c r="C168" s="63"/>
      <c r="D168" s="91"/>
      <c r="E168" s="91"/>
      <c r="F168" s="91"/>
      <c r="G168" s="27"/>
      <c r="H168" s="27"/>
      <c r="I168" s="27"/>
      <c r="J168" s="103"/>
      <c r="K168" s="27"/>
      <c r="L168" s="96"/>
      <c r="M168" s="105"/>
      <c r="N168" s="85"/>
      <c r="O168" s="7"/>
      <c r="P168" s="7"/>
      <c r="Q168" s="7"/>
    </row>
    <row r="169" spans="1:17" ht="15.75">
      <c r="A169" s="99"/>
      <c r="B169" s="91" t="s">
        <v>123</v>
      </c>
      <c r="C169" s="63"/>
      <c r="D169" s="63"/>
      <c r="E169" s="63"/>
      <c r="F169" s="63"/>
      <c r="G169" s="27"/>
      <c r="H169" s="27"/>
      <c r="I169" s="27">
        <v>16</v>
      </c>
      <c r="J169" s="100">
        <f>L121</f>
        <v>482</v>
      </c>
      <c r="K169" s="27"/>
      <c r="L169" s="96"/>
      <c r="M169" s="105"/>
      <c r="N169" s="85"/>
      <c r="O169" s="7"/>
      <c r="P169" s="7"/>
      <c r="Q169" s="7"/>
    </row>
    <row r="170" spans="1:17" ht="15.75">
      <c r="A170" s="99"/>
      <c r="B170" s="91" t="s">
        <v>124</v>
      </c>
      <c r="C170" s="63"/>
      <c r="D170" s="63"/>
      <c r="E170" s="63"/>
      <c r="F170" s="63"/>
      <c r="G170" s="27"/>
      <c r="H170" s="27"/>
      <c r="I170" s="27">
        <v>72</v>
      </c>
      <c r="J170" s="100">
        <f>L122</f>
        <v>1714</v>
      </c>
      <c r="K170" s="27"/>
      <c r="L170" s="96"/>
      <c r="M170" s="105"/>
      <c r="N170" s="85"/>
      <c r="O170" s="7"/>
      <c r="P170" s="7"/>
      <c r="Q170" s="7"/>
    </row>
    <row r="171" spans="1:17" ht="15.75">
      <c r="A171" s="104"/>
      <c r="B171" s="102" t="s">
        <v>125</v>
      </c>
      <c r="C171" s="63"/>
      <c r="D171" s="91"/>
      <c r="E171" s="91"/>
      <c r="F171" s="91"/>
      <c r="G171" s="27"/>
      <c r="H171" s="27"/>
      <c r="I171" s="27"/>
      <c r="J171" s="100"/>
      <c r="K171" s="27"/>
      <c r="L171" s="96"/>
      <c r="M171" s="105"/>
      <c r="N171" s="85"/>
      <c r="O171" s="7"/>
      <c r="P171" s="7"/>
      <c r="Q171" s="7"/>
    </row>
    <row r="172" spans="1:17" ht="15.75">
      <c r="A172" s="104"/>
      <c r="B172" s="91" t="s">
        <v>126</v>
      </c>
      <c r="C172" s="63"/>
      <c r="D172" s="91"/>
      <c r="E172" s="91"/>
      <c r="F172" s="91"/>
      <c r="G172" s="27"/>
      <c r="H172" s="27"/>
      <c r="I172" s="27">
        <v>13</v>
      </c>
      <c r="J172" s="100">
        <v>883</v>
      </c>
      <c r="K172" s="27"/>
      <c r="L172" s="96"/>
      <c r="M172" s="105"/>
      <c r="N172" s="85"/>
      <c r="O172" s="7"/>
      <c r="P172" s="7"/>
      <c r="Q172" s="7"/>
    </row>
    <row r="173" spans="1:17" ht="15.75">
      <c r="A173" s="99"/>
      <c r="B173" s="91" t="s">
        <v>127</v>
      </c>
      <c r="C173" s="63"/>
      <c r="D173" s="106"/>
      <c r="E173" s="106"/>
      <c r="F173" s="107"/>
      <c r="G173" s="27"/>
      <c r="H173" s="27"/>
      <c r="I173" s="27"/>
      <c r="J173" s="103">
        <v>26.96</v>
      </c>
      <c r="K173" s="27"/>
      <c r="L173" s="96"/>
      <c r="M173" s="105"/>
      <c r="N173" s="85"/>
      <c r="O173" s="7"/>
      <c r="P173" s="7"/>
      <c r="Q173" s="7"/>
    </row>
    <row r="174" spans="1:17" ht="15.75">
      <c r="A174" s="99"/>
      <c r="B174" s="91" t="s">
        <v>128</v>
      </c>
      <c r="C174" s="63"/>
      <c r="D174" s="106"/>
      <c r="E174" s="106"/>
      <c r="F174" s="107"/>
      <c r="G174" s="27"/>
      <c r="H174" s="27"/>
      <c r="I174" s="27"/>
      <c r="J174" s="103">
        <v>6</v>
      </c>
      <c r="K174" s="27"/>
      <c r="L174" s="96"/>
      <c r="M174" s="105"/>
      <c r="N174" s="85"/>
      <c r="O174" s="7"/>
      <c r="P174" s="7"/>
      <c r="Q174" s="7"/>
    </row>
    <row r="175" spans="1:17" ht="15.75">
      <c r="A175" s="99"/>
      <c r="B175" s="91" t="s">
        <v>129</v>
      </c>
      <c r="C175" s="63"/>
      <c r="D175" s="109"/>
      <c r="E175" s="106"/>
      <c r="F175" s="107"/>
      <c r="G175" s="27"/>
      <c r="H175" s="27"/>
      <c r="I175" s="27"/>
      <c r="J175" s="110">
        <v>1.0343</v>
      </c>
      <c r="K175" s="27"/>
      <c r="L175" s="96"/>
      <c r="M175" s="105"/>
      <c r="N175" s="85"/>
      <c r="O175" s="7"/>
      <c r="P175" s="7"/>
      <c r="Q175" s="7"/>
    </row>
    <row r="176" spans="1:17" ht="15.75">
      <c r="A176" s="99"/>
      <c r="B176" s="91"/>
      <c r="C176" s="63"/>
      <c r="D176" s="109"/>
      <c r="E176" s="106"/>
      <c r="F176" s="107"/>
      <c r="G176" s="27"/>
      <c r="H176" s="27"/>
      <c r="I176" s="27"/>
      <c r="J176" s="110"/>
      <c r="K176" s="27"/>
      <c r="L176" s="96"/>
      <c r="M176" s="105"/>
      <c r="N176" s="85"/>
      <c r="O176" s="7"/>
      <c r="P176" s="7"/>
      <c r="Q176" s="7"/>
    </row>
    <row r="177" spans="1:17" ht="15.75">
      <c r="A177" s="8"/>
      <c r="B177" s="17" t="s">
        <v>130</v>
      </c>
      <c r="C177" s="20"/>
      <c r="D177" s="98"/>
      <c r="E177" s="20"/>
      <c r="F177" s="98"/>
      <c r="G177" s="20"/>
      <c r="H177" s="98" t="s">
        <v>171</v>
      </c>
      <c r="I177" s="20" t="s">
        <v>172</v>
      </c>
      <c r="J177" s="98" t="s">
        <v>187</v>
      </c>
      <c r="K177" s="20" t="s">
        <v>172</v>
      </c>
      <c r="L177" s="10"/>
      <c r="M177" s="111"/>
      <c r="N177" s="85"/>
      <c r="O177" s="7"/>
      <c r="P177" s="7"/>
      <c r="Q177" s="7"/>
    </row>
    <row r="178" spans="1:17" ht="15.75">
      <c r="A178" s="26"/>
      <c r="B178" s="63" t="s">
        <v>131</v>
      </c>
      <c r="C178" s="112"/>
      <c r="D178" s="63"/>
      <c r="E178" s="112"/>
      <c r="F178" s="27"/>
      <c r="G178" s="112"/>
      <c r="H178" s="63">
        <f>178+1577</f>
        <v>1755</v>
      </c>
      <c r="I178" s="113">
        <f>H178/H184</f>
        <v>0.6526589810338416</v>
      </c>
      <c r="J178" s="62">
        <f>5941+70157</f>
        <v>76098</v>
      </c>
      <c r="K178" s="113">
        <f>J178/J184</f>
        <v>0.5885519385600594</v>
      </c>
      <c r="L178" s="96"/>
      <c r="M178" s="105"/>
      <c r="N178" s="85"/>
      <c r="O178" s="7"/>
      <c r="P178" s="7"/>
      <c r="Q178" s="7"/>
    </row>
    <row r="179" spans="1:17" ht="15.75">
      <c r="A179" s="26"/>
      <c r="B179" s="63" t="s">
        <v>132</v>
      </c>
      <c r="C179" s="112"/>
      <c r="D179" s="63"/>
      <c r="E179" s="112"/>
      <c r="F179" s="27"/>
      <c r="G179" s="114"/>
      <c r="H179" s="63">
        <f>46+29</f>
        <v>75</v>
      </c>
      <c r="I179" s="112">
        <f>H179/H184</f>
        <v>0.027891409445890667</v>
      </c>
      <c r="J179" s="62">
        <f>1887+1081</f>
        <v>2968</v>
      </c>
      <c r="K179" s="113">
        <f>J179/J184</f>
        <v>0.02295490227924855</v>
      </c>
      <c r="L179" s="96"/>
      <c r="M179" s="105"/>
      <c r="N179" s="85"/>
      <c r="O179" s="7"/>
      <c r="P179" s="7"/>
      <c r="Q179" s="7"/>
    </row>
    <row r="180" spans="1:17" ht="15.75">
      <c r="A180" s="26"/>
      <c r="B180" s="63" t="s">
        <v>133</v>
      </c>
      <c r="C180" s="112"/>
      <c r="D180" s="63"/>
      <c r="E180" s="112"/>
      <c r="F180" s="27"/>
      <c r="G180" s="114"/>
      <c r="H180" s="63">
        <f>33+11</f>
        <v>44</v>
      </c>
      <c r="I180" s="112">
        <f>H180/H184</f>
        <v>0.016362960208255856</v>
      </c>
      <c r="J180" s="62">
        <f>1339+444</f>
        <v>1783</v>
      </c>
      <c r="K180" s="113">
        <f>J180/J184</f>
        <v>0.01378995645683968</v>
      </c>
      <c r="L180" s="96"/>
      <c r="M180" s="105"/>
      <c r="N180" s="85"/>
      <c r="O180" s="7"/>
      <c r="P180" s="7"/>
      <c r="Q180" s="7"/>
    </row>
    <row r="181" spans="1:17" ht="15.75">
      <c r="A181" s="26"/>
      <c r="B181" s="63" t="s">
        <v>134</v>
      </c>
      <c r="C181" s="112"/>
      <c r="D181" s="63"/>
      <c r="E181" s="112"/>
      <c r="F181" s="27"/>
      <c r="G181" s="114"/>
      <c r="H181" s="63">
        <f>19+778+5+13</f>
        <v>815</v>
      </c>
      <c r="I181" s="112">
        <f>H181/H184</f>
        <v>0.3030866493120119</v>
      </c>
      <c r="J181" s="62">
        <f>772+38094+845+269+442+2044-1703</f>
        <v>40763</v>
      </c>
      <c r="K181" s="113">
        <f>J181/J184</f>
        <v>0.3152664021593695</v>
      </c>
      <c r="L181" s="96"/>
      <c r="M181" s="105"/>
      <c r="N181" s="85"/>
      <c r="O181" s="7"/>
      <c r="P181" s="7"/>
      <c r="Q181" s="7"/>
    </row>
    <row r="182" spans="1:17" ht="15.75">
      <c r="A182" s="26"/>
      <c r="B182" s="30"/>
      <c r="C182" s="112"/>
      <c r="D182" s="63"/>
      <c r="E182" s="112"/>
      <c r="F182" s="27"/>
      <c r="G182" s="114"/>
      <c r="H182" s="63"/>
      <c r="I182" s="112"/>
      <c r="J182" s="62"/>
      <c r="K182" s="113"/>
      <c r="L182" s="96"/>
      <c r="M182" s="105"/>
      <c r="N182" s="85"/>
      <c r="O182" s="7"/>
      <c r="P182" s="7"/>
      <c r="Q182" s="7"/>
    </row>
    <row r="183" spans="1:17" ht="15.75">
      <c r="A183" s="26"/>
      <c r="B183" s="63" t="s">
        <v>135</v>
      </c>
      <c r="C183" s="115"/>
      <c r="D183" s="101"/>
      <c r="E183" s="115"/>
      <c r="F183" s="27"/>
      <c r="G183" s="115"/>
      <c r="H183" s="101"/>
      <c r="I183" s="115"/>
      <c r="J183" s="62">
        <f>L51</f>
        <v>7685</v>
      </c>
      <c r="K183" s="113">
        <f>J183/J184</f>
        <v>0.05943680054448286</v>
      </c>
      <c r="L183" s="96"/>
      <c r="M183" s="105"/>
      <c r="N183" s="85"/>
      <c r="O183" s="7"/>
      <c r="P183" s="7"/>
      <c r="Q183" s="7"/>
    </row>
    <row r="184" spans="1:17" ht="15.75">
      <c r="A184" s="26"/>
      <c r="B184" s="27"/>
      <c r="C184" s="27"/>
      <c r="D184" s="27"/>
      <c r="E184" s="27"/>
      <c r="F184" s="27"/>
      <c r="G184" s="27"/>
      <c r="H184" s="38">
        <f>SUM(H178:H182)</f>
        <v>2689</v>
      </c>
      <c r="I184" s="116">
        <f>SUM(I178:I183)</f>
        <v>1</v>
      </c>
      <c r="J184" s="62">
        <f>SUM(J178:J183)</f>
        <v>129297</v>
      </c>
      <c r="K184" s="116">
        <f>SUM(K178:K183)</f>
        <v>1</v>
      </c>
      <c r="L184" s="27"/>
      <c r="M184" s="27"/>
      <c r="N184" s="117"/>
      <c r="O184" s="118"/>
      <c r="P184" s="118"/>
      <c r="Q184" s="118"/>
    </row>
    <row r="185" spans="1:17" ht="15.75">
      <c r="A185" s="26"/>
      <c r="B185" s="27"/>
      <c r="C185" s="27"/>
      <c r="D185" s="27"/>
      <c r="E185" s="27"/>
      <c r="F185" s="27"/>
      <c r="G185" s="27"/>
      <c r="H185" s="38"/>
      <c r="I185" s="116"/>
      <c r="J185" s="62"/>
      <c r="K185" s="116"/>
      <c r="L185" s="27"/>
      <c r="M185" s="27"/>
      <c r="N185" s="117"/>
      <c r="O185" s="118"/>
      <c r="P185" s="118"/>
      <c r="Q185" s="118"/>
    </row>
    <row r="186" spans="1:17" ht="15.75">
      <c r="A186" s="8"/>
      <c r="B186" s="10"/>
      <c r="C186" s="10"/>
      <c r="D186" s="10"/>
      <c r="E186" s="10"/>
      <c r="F186" s="10"/>
      <c r="G186" s="10"/>
      <c r="H186" s="64"/>
      <c r="I186" s="119"/>
      <c r="J186" s="120"/>
      <c r="K186" s="119"/>
      <c r="L186" s="10"/>
      <c r="M186" s="10"/>
      <c r="N186" s="117"/>
      <c r="O186" s="118"/>
      <c r="P186" s="118"/>
      <c r="Q186" s="118"/>
    </row>
    <row r="187" spans="1:17" ht="15.75">
      <c r="A187" s="124"/>
      <c r="B187" s="17" t="s">
        <v>136</v>
      </c>
      <c r="C187" s="122"/>
      <c r="D187" s="20" t="s">
        <v>151</v>
      </c>
      <c r="E187" s="18"/>
      <c r="F187" s="17" t="s">
        <v>161</v>
      </c>
      <c r="G187" s="15"/>
      <c r="H187" s="15"/>
      <c r="I187" s="15"/>
      <c r="J187" s="15"/>
      <c r="K187" s="15"/>
      <c r="L187" s="15"/>
      <c r="M187" s="15"/>
      <c r="N187" s="117"/>
      <c r="O187" s="118"/>
      <c r="P187" s="118"/>
      <c r="Q187" s="118"/>
    </row>
    <row r="188" spans="1:17" ht="15.75">
      <c r="A188" s="124"/>
      <c r="B188" s="15"/>
      <c r="C188" s="15"/>
      <c r="D188" s="10"/>
      <c r="E188" s="10"/>
      <c r="F188" s="10"/>
      <c r="G188" s="15"/>
      <c r="H188" s="15"/>
      <c r="I188" s="15"/>
      <c r="J188" s="15"/>
      <c r="K188" s="15"/>
      <c r="L188" s="15"/>
      <c r="M188" s="15"/>
      <c r="N188" s="117"/>
      <c r="O188" s="118"/>
      <c r="P188" s="118"/>
      <c r="Q188" s="118"/>
    </row>
    <row r="189" spans="1:17" ht="15.75">
      <c r="A189" s="124"/>
      <c r="B189" s="16" t="s">
        <v>137</v>
      </c>
      <c r="C189" s="125"/>
      <c r="D189" s="126" t="s">
        <v>152</v>
      </c>
      <c r="E189" s="16"/>
      <c r="F189" s="16" t="s">
        <v>162</v>
      </c>
      <c r="G189" s="125"/>
      <c r="H189" s="125"/>
      <c r="I189" s="125"/>
      <c r="J189" s="125"/>
      <c r="K189" s="125"/>
      <c r="L189" s="125"/>
      <c r="M189" s="15"/>
      <c r="N189" s="117"/>
      <c r="O189" s="118"/>
      <c r="P189" s="118"/>
      <c r="Q189" s="118"/>
    </row>
    <row r="190" spans="1:17" ht="15.75">
      <c r="A190" s="124"/>
      <c r="B190" s="16" t="s">
        <v>138</v>
      </c>
      <c r="C190" s="125"/>
      <c r="D190" s="126" t="s">
        <v>153</v>
      </c>
      <c r="E190" s="16"/>
      <c r="F190" s="16" t="s">
        <v>163</v>
      </c>
      <c r="G190" s="125"/>
      <c r="H190" s="125"/>
      <c r="I190" s="125"/>
      <c r="J190" s="125"/>
      <c r="K190" s="125"/>
      <c r="L190" s="125"/>
      <c r="M190" s="15"/>
      <c r="N190" s="117"/>
      <c r="O190" s="118"/>
      <c r="P190" s="118"/>
      <c r="Q190" s="118"/>
    </row>
    <row r="191" spans="1:17" ht="15">
      <c r="A191" s="124"/>
      <c r="B191" s="15"/>
      <c r="C191" s="15"/>
      <c r="D191" s="15"/>
      <c r="E191" s="15"/>
      <c r="F191" s="15"/>
      <c r="G191" s="15"/>
      <c r="H191" s="15"/>
      <c r="I191" s="15"/>
      <c r="J191" s="15"/>
      <c r="K191" s="15"/>
      <c r="L191" s="15"/>
      <c r="M191" s="15"/>
      <c r="N191" s="117"/>
      <c r="O191" s="118"/>
      <c r="P191" s="118"/>
      <c r="Q191" s="118"/>
    </row>
    <row r="192" spans="1:17" ht="15">
      <c r="A192" s="124"/>
      <c r="B192" s="15"/>
      <c r="C192" s="15"/>
      <c r="D192" s="15"/>
      <c r="E192" s="15"/>
      <c r="F192" s="15"/>
      <c r="G192" s="15"/>
      <c r="H192" s="15"/>
      <c r="I192" s="15"/>
      <c r="J192" s="15"/>
      <c r="K192" s="15"/>
      <c r="L192" s="15"/>
      <c r="M192" s="15"/>
      <c r="N192" s="117"/>
      <c r="O192" s="118"/>
      <c r="P192" s="118"/>
      <c r="Q192" s="118"/>
    </row>
    <row r="193" spans="1:17" ht="15">
      <c r="A193" s="127"/>
      <c r="B193" s="127"/>
      <c r="C193" s="127"/>
      <c r="D193" s="127"/>
      <c r="E193" s="127"/>
      <c r="F193" s="127"/>
      <c r="G193" s="127"/>
      <c r="H193" s="127"/>
      <c r="I193" s="127"/>
      <c r="J193" s="127"/>
      <c r="K193" s="127"/>
      <c r="L193" s="127"/>
      <c r="M193" s="127"/>
      <c r="N193" s="128"/>
      <c r="O193" s="7"/>
      <c r="P193" s="7"/>
      <c r="Q193" s="7"/>
    </row>
    <row r="194" spans="1:17" ht="15">
      <c r="A194" s="7"/>
      <c r="B194" s="7"/>
      <c r="C194" s="7"/>
      <c r="D194" s="7"/>
      <c r="E194" s="7"/>
      <c r="F194" s="7"/>
      <c r="G194" s="7"/>
      <c r="H194" s="7"/>
      <c r="I194" s="7"/>
      <c r="J194" s="7"/>
      <c r="K194" s="7"/>
      <c r="L194" s="7"/>
      <c r="M194" s="7"/>
      <c r="N194" s="128"/>
      <c r="O194" s="7"/>
      <c r="P194" s="7"/>
      <c r="Q194" s="7"/>
    </row>
    <row r="195" spans="1:17" ht="15">
      <c r="A195" s="7"/>
      <c r="B195" s="7"/>
      <c r="C195" s="7"/>
      <c r="D195" s="7"/>
      <c r="E195" s="7"/>
      <c r="F195" s="7"/>
      <c r="G195" s="7"/>
      <c r="H195" s="7"/>
      <c r="I195" s="7"/>
      <c r="J195" s="7"/>
      <c r="K195" s="7"/>
      <c r="L195" s="7"/>
      <c r="M195" s="7"/>
      <c r="N195" s="128"/>
      <c r="O195" s="7"/>
      <c r="P195" s="7"/>
      <c r="Q195" s="7"/>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4.xml><?xml version="1.0" encoding="utf-8"?>
<worksheet xmlns="http://schemas.openxmlformats.org/spreadsheetml/2006/main" xmlns:r="http://schemas.openxmlformats.org/officeDocument/2006/relationships">
  <dimension ref="A1:N192"/>
  <sheetViews>
    <sheetView showOutlineSymbols="0" zoomScale="70" zoomScaleNormal="70" workbookViewId="0" topLeftCell="C1">
      <selection activeCell="N9" sqref="N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1.10546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8"/>
      <c r="B2" s="9"/>
      <c r="C2" s="9"/>
      <c r="D2" s="10"/>
      <c r="E2" s="10"/>
      <c r="F2" s="10"/>
      <c r="G2" s="10"/>
      <c r="H2" s="10"/>
      <c r="I2" s="10"/>
      <c r="J2" s="10"/>
      <c r="K2" s="10"/>
      <c r="L2" s="10"/>
      <c r="M2" s="10"/>
      <c r="N2" s="6"/>
    </row>
    <row r="3" spans="1:14" ht="15.75">
      <c r="A3" s="11"/>
      <c r="B3" s="12" t="s">
        <v>1</v>
      </c>
      <c r="C3" s="10"/>
      <c r="D3" s="10"/>
      <c r="E3" s="10"/>
      <c r="F3" s="10"/>
      <c r="G3" s="10"/>
      <c r="H3" s="10"/>
      <c r="I3" s="10"/>
      <c r="J3" s="10"/>
      <c r="K3" s="10"/>
      <c r="L3" s="10"/>
      <c r="M3" s="10"/>
      <c r="N3" s="6"/>
    </row>
    <row r="4" spans="1:14" ht="15.75">
      <c r="A4" s="8"/>
      <c r="B4" s="9"/>
      <c r="C4" s="9"/>
      <c r="D4" s="10"/>
      <c r="E4" s="10"/>
      <c r="F4" s="10"/>
      <c r="G4" s="10"/>
      <c r="H4" s="10"/>
      <c r="I4" s="10"/>
      <c r="J4" s="10"/>
      <c r="K4" s="10"/>
      <c r="L4" s="10"/>
      <c r="M4" s="10"/>
      <c r="N4" s="6"/>
    </row>
    <row r="5" spans="1:14" ht="15.75">
      <c r="A5" s="8"/>
      <c r="B5" s="13" t="s">
        <v>2</v>
      </c>
      <c r="C5" s="14"/>
      <c r="D5" s="10"/>
      <c r="E5" s="10"/>
      <c r="F5" s="10"/>
      <c r="G5" s="10"/>
      <c r="H5" s="10"/>
      <c r="I5" s="10"/>
      <c r="J5" s="10"/>
      <c r="K5" s="10"/>
      <c r="L5" s="10"/>
      <c r="M5" s="10"/>
      <c r="N5" s="6"/>
    </row>
    <row r="6" spans="1:14" ht="15.75">
      <c r="A6" s="8"/>
      <c r="B6" s="13" t="s">
        <v>3</v>
      </c>
      <c r="C6" s="14"/>
      <c r="D6" s="10"/>
      <c r="E6" s="10"/>
      <c r="F6" s="10"/>
      <c r="G6" s="10"/>
      <c r="H6" s="10"/>
      <c r="I6" s="10"/>
      <c r="J6" s="10"/>
      <c r="K6" s="10"/>
      <c r="L6" s="10"/>
      <c r="M6" s="10"/>
      <c r="N6" s="6"/>
    </row>
    <row r="7" spans="1:14" ht="15.75">
      <c r="A7" s="8"/>
      <c r="B7" s="13" t="s">
        <v>4</v>
      </c>
      <c r="C7" s="14"/>
      <c r="D7" s="10"/>
      <c r="E7" s="10"/>
      <c r="F7" s="10"/>
      <c r="G7" s="10"/>
      <c r="H7" s="10"/>
      <c r="I7" s="10"/>
      <c r="J7" s="10"/>
      <c r="K7" s="10"/>
      <c r="L7" s="10"/>
      <c r="M7" s="10"/>
      <c r="N7" s="6"/>
    </row>
    <row r="8" spans="1:14" ht="15.75">
      <c r="A8" s="8"/>
      <c r="B8" s="13" t="s">
        <v>5</v>
      </c>
      <c r="C8" s="14"/>
      <c r="D8" s="10"/>
      <c r="E8" s="10"/>
      <c r="F8" s="10"/>
      <c r="G8" s="10"/>
      <c r="H8" s="10"/>
      <c r="I8" s="10"/>
      <c r="J8" s="10"/>
      <c r="K8" s="10"/>
      <c r="L8" s="10"/>
      <c r="M8" s="10"/>
      <c r="N8" s="6"/>
    </row>
    <row r="9" spans="1:14" ht="15.75">
      <c r="A9" s="8"/>
      <c r="B9" s="15"/>
      <c r="C9" s="14"/>
      <c r="D9" s="10"/>
      <c r="E9" s="10"/>
      <c r="F9" s="10"/>
      <c r="G9" s="10"/>
      <c r="H9" s="10"/>
      <c r="I9" s="10"/>
      <c r="J9" s="10"/>
      <c r="K9" s="10"/>
      <c r="L9" s="10"/>
      <c r="M9" s="10"/>
      <c r="N9" s="6"/>
    </row>
    <row r="10" spans="1:14" ht="15.75">
      <c r="A10" s="8"/>
      <c r="B10" s="13"/>
      <c r="C10" s="14"/>
      <c r="D10" s="16"/>
      <c r="E10" s="16"/>
      <c r="F10" s="10"/>
      <c r="G10" s="10"/>
      <c r="H10" s="10"/>
      <c r="I10" s="10"/>
      <c r="J10" s="10"/>
      <c r="K10" s="10"/>
      <c r="L10" s="10"/>
      <c r="M10" s="10"/>
      <c r="N10" s="6"/>
    </row>
    <row r="11" spans="1:14" ht="15.75">
      <c r="A11" s="8"/>
      <c r="B11" s="16" t="s">
        <v>6</v>
      </c>
      <c r="C11" s="16"/>
      <c r="D11" s="10"/>
      <c r="E11" s="10"/>
      <c r="F11" s="10"/>
      <c r="G11" s="10"/>
      <c r="H11" s="10"/>
      <c r="I11" s="10"/>
      <c r="J11" s="10"/>
      <c r="K11" s="10"/>
      <c r="L11" s="10"/>
      <c r="M11" s="10"/>
      <c r="N11" s="6"/>
    </row>
    <row r="12" spans="1:14" ht="15.75">
      <c r="A12" s="8"/>
      <c r="B12" s="16"/>
      <c r="C12" s="16"/>
      <c r="D12" s="10"/>
      <c r="E12" s="10"/>
      <c r="F12" s="10"/>
      <c r="G12" s="10"/>
      <c r="H12" s="10"/>
      <c r="I12" s="10"/>
      <c r="J12" s="10"/>
      <c r="K12" s="10"/>
      <c r="L12" s="10"/>
      <c r="M12" s="10"/>
      <c r="N12" s="6"/>
    </row>
    <row r="13" spans="1:14" ht="15.75">
      <c r="A13" s="2"/>
      <c r="B13" s="5"/>
      <c r="C13" s="5"/>
      <c r="D13" s="5"/>
      <c r="E13" s="5"/>
      <c r="F13" s="5"/>
      <c r="G13" s="5"/>
      <c r="H13" s="5"/>
      <c r="I13" s="5"/>
      <c r="J13" s="5"/>
      <c r="K13" s="5"/>
      <c r="L13" s="5"/>
      <c r="M13" s="5"/>
      <c r="N13" s="6"/>
    </row>
    <row r="14" spans="1:14" ht="15.75">
      <c r="A14" s="8"/>
      <c r="B14" s="17" t="s">
        <v>7</v>
      </c>
      <c r="C14" s="17"/>
      <c r="D14" s="18"/>
      <c r="E14" s="18"/>
      <c r="F14" s="18"/>
      <c r="G14" s="18"/>
      <c r="H14" s="18"/>
      <c r="I14" s="18"/>
      <c r="J14" s="18"/>
      <c r="K14" s="18"/>
      <c r="L14" s="19" t="s">
        <v>190</v>
      </c>
      <c r="M14" s="18"/>
      <c r="N14" s="6"/>
    </row>
    <row r="15" spans="1:14" ht="15.75">
      <c r="A15" s="8"/>
      <c r="B15" s="17" t="s">
        <v>8</v>
      </c>
      <c r="C15" s="17"/>
      <c r="D15" s="18"/>
      <c r="E15" s="18"/>
      <c r="F15" s="18"/>
      <c r="G15" s="18"/>
      <c r="H15" s="18"/>
      <c r="I15" s="18"/>
      <c r="J15" s="18"/>
      <c r="K15" s="18"/>
      <c r="L15" s="20" t="s">
        <v>191</v>
      </c>
      <c r="M15" s="18"/>
      <c r="N15" s="6"/>
    </row>
    <row r="16" spans="1:14" ht="15.75">
      <c r="A16" s="8"/>
      <c r="B16" s="17" t="s">
        <v>9</v>
      </c>
      <c r="C16" s="17"/>
      <c r="D16" s="18"/>
      <c r="E16" s="18"/>
      <c r="F16" s="18"/>
      <c r="G16" s="18"/>
      <c r="H16" s="18"/>
      <c r="I16" s="18"/>
      <c r="J16" s="18"/>
      <c r="K16" s="18"/>
      <c r="L16" s="130">
        <v>36650</v>
      </c>
      <c r="M16" s="18"/>
      <c r="N16" s="6"/>
    </row>
    <row r="17" spans="1:14" ht="15.75">
      <c r="A17" s="8"/>
      <c r="B17" s="10"/>
      <c r="C17" s="10"/>
      <c r="D17" s="10"/>
      <c r="E17" s="10"/>
      <c r="F17" s="10"/>
      <c r="G17" s="10"/>
      <c r="H17" s="10"/>
      <c r="I17" s="10"/>
      <c r="J17" s="10"/>
      <c r="K17" s="10"/>
      <c r="L17" s="21"/>
      <c r="M17" s="10"/>
      <c r="N17" s="6"/>
    </row>
    <row r="18" spans="1:14" ht="15.75">
      <c r="A18" s="8"/>
      <c r="B18" s="22" t="s">
        <v>10</v>
      </c>
      <c r="C18" s="10"/>
      <c r="D18" s="10"/>
      <c r="E18" s="10"/>
      <c r="F18" s="10"/>
      <c r="G18" s="10"/>
      <c r="H18" s="10"/>
      <c r="I18" s="10"/>
      <c r="J18" s="21" t="s">
        <v>173</v>
      </c>
      <c r="K18" s="10"/>
      <c r="L18" s="15"/>
      <c r="M18" s="10"/>
      <c r="N18" s="6"/>
    </row>
    <row r="19" spans="1:14" ht="15.75">
      <c r="A19" s="8"/>
      <c r="B19" s="10"/>
      <c r="C19" s="10"/>
      <c r="D19" s="10"/>
      <c r="E19" s="10"/>
      <c r="F19" s="10"/>
      <c r="G19" s="10"/>
      <c r="H19" s="10"/>
      <c r="I19" s="10"/>
      <c r="J19" s="10"/>
      <c r="K19" s="10"/>
      <c r="L19" s="23"/>
      <c r="M19" s="10"/>
      <c r="N19" s="6"/>
    </row>
    <row r="20" spans="1:14" ht="15.75">
      <c r="A20" s="8"/>
      <c r="B20" s="10"/>
      <c r="C20" s="24" t="s">
        <v>139</v>
      </c>
      <c r="D20" s="25" t="s">
        <v>143</v>
      </c>
      <c r="E20" s="25"/>
      <c r="F20" s="25" t="s">
        <v>154</v>
      </c>
      <c r="G20" s="25"/>
      <c r="H20" s="25" t="s">
        <v>164</v>
      </c>
      <c r="I20" s="25"/>
      <c r="J20" s="25" t="s">
        <v>174</v>
      </c>
      <c r="K20" s="137"/>
      <c r="L20" s="137"/>
      <c r="M20" s="10"/>
      <c r="N20" s="6"/>
    </row>
    <row r="21" spans="1:14" ht="15.75">
      <c r="A21" s="26"/>
      <c r="B21" s="27" t="s">
        <v>11</v>
      </c>
      <c r="C21" s="28" t="s">
        <v>140</v>
      </c>
      <c r="D21" s="29" t="s">
        <v>144</v>
      </c>
      <c r="E21" s="29"/>
      <c r="F21" s="29" t="s">
        <v>144</v>
      </c>
      <c r="G21" s="29"/>
      <c r="H21" s="29" t="s">
        <v>165</v>
      </c>
      <c r="I21" s="29"/>
      <c r="J21" s="29" t="s">
        <v>175</v>
      </c>
      <c r="K21" s="30"/>
      <c r="L21" s="30"/>
      <c r="M21" s="27"/>
      <c r="N21" s="6"/>
    </row>
    <row r="22" spans="1:14" ht="15.75">
      <c r="A22" s="131"/>
      <c r="B22" s="31" t="s">
        <v>12</v>
      </c>
      <c r="C22" s="138" t="s">
        <v>204</v>
      </c>
      <c r="D22" s="32" t="s">
        <v>144</v>
      </c>
      <c r="E22" s="32"/>
      <c r="F22" s="32" t="s">
        <v>144</v>
      </c>
      <c r="G22" s="32"/>
      <c r="H22" s="32" t="s">
        <v>165</v>
      </c>
      <c r="I22" s="32"/>
      <c r="J22" s="32" t="s">
        <v>175</v>
      </c>
      <c r="K22" s="33"/>
      <c r="L22" s="33"/>
      <c r="M22" s="27"/>
      <c r="N22" s="6"/>
    </row>
    <row r="23" spans="1:14" ht="15.75">
      <c r="A23" s="26"/>
      <c r="B23" s="27" t="s">
        <v>13</v>
      </c>
      <c r="C23" s="27"/>
      <c r="D23" s="34" t="s">
        <v>145</v>
      </c>
      <c r="E23" s="29"/>
      <c r="F23" s="34" t="s">
        <v>155</v>
      </c>
      <c r="G23" s="29"/>
      <c r="H23" s="34" t="s">
        <v>166</v>
      </c>
      <c r="I23" s="29"/>
      <c r="J23" s="34" t="s">
        <v>176</v>
      </c>
      <c r="K23" s="30"/>
      <c r="L23" s="30"/>
      <c r="M23" s="27"/>
      <c r="N23" s="6"/>
    </row>
    <row r="24" spans="1:14" ht="15.75">
      <c r="A24" s="26"/>
      <c r="B24" s="27"/>
      <c r="C24" s="27"/>
      <c r="D24" s="27"/>
      <c r="E24" s="29"/>
      <c r="F24" s="29"/>
      <c r="G24" s="29"/>
      <c r="H24" s="29"/>
      <c r="I24" s="29"/>
      <c r="J24" s="29"/>
      <c r="K24" s="30"/>
      <c r="L24" s="30"/>
      <c r="M24" s="27"/>
      <c r="N24" s="6"/>
    </row>
    <row r="25" spans="1:14" ht="15.75">
      <c r="A25" s="26"/>
      <c r="B25" s="27" t="s">
        <v>14</v>
      </c>
      <c r="C25" s="27"/>
      <c r="D25" s="35">
        <v>55000</v>
      </c>
      <c r="E25" s="36"/>
      <c r="F25" s="35">
        <v>77000</v>
      </c>
      <c r="G25" s="35"/>
      <c r="H25" s="35">
        <v>33000</v>
      </c>
      <c r="I25" s="35"/>
      <c r="J25" s="35">
        <v>10000</v>
      </c>
      <c r="K25" s="37"/>
      <c r="L25" s="35">
        <f>J25+H25+F25+D25</f>
        <v>175000</v>
      </c>
      <c r="M25" s="38"/>
      <c r="N25" s="6"/>
    </row>
    <row r="26" spans="1:14" ht="15.75">
      <c r="A26" s="26"/>
      <c r="B26" s="27" t="s">
        <v>15</v>
      </c>
      <c r="C26" s="132">
        <v>0.020398</v>
      </c>
      <c r="D26" s="35">
        <f>55000*C26</f>
        <v>1121.8899999999999</v>
      </c>
      <c r="E26" s="36"/>
      <c r="F26" s="35">
        <v>77000</v>
      </c>
      <c r="G26" s="35"/>
      <c r="H26" s="35">
        <v>33000</v>
      </c>
      <c r="I26" s="35"/>
      <c r="J26" s="35">
        <v>10000</v>
      </c>
      <c r="K26" s="37"/>
      <c r="L26" s="35">
        <f>J26+H26+F26+D26</f>
        <v>121121.89</v>
      </c>
      <c r="M26" s="38"/>
      <c r="N26" s="6"/>
    </row>
    <row r="27" spans="1:14" ht="15.75">
      <c r="A27" s="26"/>
      <c r="B27" s="31" t="s">
        <v>16</v>
      </c>
      <c r="C27" s="39">
        <v>0.929024</v>
      </c>
      <c r="D27" s="40">
        <v>0</v>
      </c>
      <c r="E27" s="41"/>
      <c r="F27" s="40">
        <f>77000*C27</f>
        <v>71534.848</v>
      </c>
      <c r="G27" s="40"/>
      <c r="H27" s="40">
        <v>33000</v>
      </c>
      <c r="I27" s="40"/>
      <c r="J27" s="40">
        <v>10000</v>
      </c>
      <c r="K27" s="42"/>
      <c r="L27" s="40">
        <f>J27+H27+F27+D27</f>
        <v>114534.848</v>
      </c>
      <c r="M27" s="38"/>
      <c r="N27" s="6"/>
    </row>
    <row r="28" spans="1:14" ht="15.75">
      <c r="A28" s="26"/>
      <c r="B28" s="27" t="s">
        <v>17</v>
      </c>
      <c r="C28" s="27"/>
      <c r="D28" s="34" t="s">
        <v>146</v>
      </c>
      <c r="E28" s="27"/>
      <c r="F28" s="34" t="s">
        <v>156</v>
      </c>
      <c r="G28" s="34"/>
      <c r="H28" s="34" t="s">
        <v>167</v>
      </c>
      <c r="I28" s="34"/>
      <c r="J28" s="34" t="s">
        <v>177</v>
      </c>
      <c r="K28" s="30"/>
      <c r="L28" s="30"/>
      <c r="M28" s="27"/>
      <c r="N28" s="6"/>
    </row>
    <row r="29" spans="1:14" ht="15.75">
      <c r="A29" s="26"/>
      <c r="B29" s="27" t="s">
        <v>18</v>
      </c>
      <c r="C29" s="27"/>
      <c r="D29" s="45">
        <v>0.0617844</v>
      </c>
      <c r="E29" s="27"/>
      <c r="F29" s="45">
        <v>0.0625844</v>
      </c>
      <c r="G29" s="46"/>
      <c r="H29" s="45">
        <v>0.0647844</v>
      </c>
      <c r="I29" s="46"/>
      <c r="J29" s="45">
        <v>0.0699844</v>
      </c>
      <c r="K29" s="30"/>
      <c r="L29" s="46">
        <f>SUMPRODUCT(D29:J29,D26:J26)/L26</f>
        <v>0.06378734100430566</v>
      </c>
      <c r="M29" s="27"/>
      <c r="N29" s="6"/>
    </row>
    <row r="30" spans="1:14" ht="15.75">
      <c r="A30" s="26"/>
      <c r="B30" s="27" t="s">
        <v>19</v>
      </c>
      <c r="C30" s="27"/>
      <c r="D30" s="45">
        <f>(5.66031)/100</f>
        <v>0.056603099999999996</v>
      </c>
      <c r="E30" s="27"/>
      <c r="F30" s="45">
        <f>(5.74031)/100</f>
        <v>0.0574031</v>
      </c>
      <c r="G30" s="46"/>
      <c r="H30" s="45">
        <f>(5.96031)/100</f>
        <v>0.0596031</v>
      </c>
      <c r="I30" s="46"/>
      <c r="J30" s="45">
        <f>(6.48031)/100</f>
        <v>0.0648031</v>
      </c>
      <c r="K30" s="30"/>
      <c r="L30" s="30"/>
      <c r="M30" s="27"/>
      <c r="N30" s="6"/>
    </row>
    <row r="31" spans="1:14" ht="15.75">
      <c r="A31" s="26"/>
      <c r="B31" s="27" t="s">
        <v>20</v>
      </c>
      <c r="C31" s="27"/>
      <c r="D31" s="34" t="s">
        <v>147</v>
      </c>
      <c r="E31" s="27"/>
      <c r="F31" s="34" t="s">
        <v>157</v>
      </c>
      <c r="G31" s="34"/>
      <c r="H31" s="34" t="s">
        <v>157</v>
      </c>
      <c r="I31" s="34"/>
      <c r="J31" s="34" t="s">
        <v>157</v>
      </c>
      <c r="K31" s="30"/>
      <c r="L31" s="30"/>
      <c r="M31" s="27"/>
      <c r="N31" s="6"/>
    </row>
    <row r="32" spans="1:14" ht="15.75">
      <c r="A32" s="26"/>
      <c r="B32" s="27" t="s">
        <v>21</v>
      </c>
      <c r="C32" s="27"/>
      <c r="D32" s="34" t="s">
        <v>148</v>
      </c>
      <c r="E32" s="27"/>
      <c r="F32" s="34" t="s">
        <v>158</v>
      </c>
      <c r="G32" s="34"/>
      <c r="H32" s="34" t="s">
        <v>158</v>
      </c>
      <c r="I32" s="34"/>
      <c r="J32" s="34" t="s">
        <v>158</v>
      </c>
      <c r="K32" s="30"/>
      <c r="L32" s="30"/>
      <c r="M32" s="27"/>
      <c r="N32" s="6"/>
    </row>
    <row r="33" spans="1:14" ht="15.75">
      <c r="A33" s="26"/>
      <c r="B33" s="27" t="s">
        <v>22</v>
      </c>
      <c r="C33" s="27"/>
      <c r="D33" s="34" t="s">
        <v>149</v>
      </c>
      <c r="E33" s="27"/>
      <c r="F33" s="34" t="s">
        <v>159</v>
      </c>
      <c r="G33" s="34"/>
      <c r="H33" s="34" t="s">
        <v>168</v>
      </c>
      <c r="I33" s="34"/>
      <c r="J33" s="34" t="s">
        <v>178</v>
      </c>
      <c r="K33" s="30"/>
      <c r="L33" s="30"/>
      <c r="M33" s="27"/>
      <c r="N33" s="6"/>
    </row>
    <row r="34" spans="1:14" ht="15.75">
      <c r="A34" s="26"/>
      <c r="B34" s="27"/>
      <c r="C34" s="27"/>
      <c r="D34" s="47"/>
      <c r="E34" s="47"/>
      <c r="F34" s="27"/>
      <c r="G34" s="47"/>
      <c r="H34" s="47"/>
      <c r="I34" s="47"/>
      <c r="J34" s="47"/>
      <c r="K34" s="47"/>
      <c r="L34" s="47"/>
      <c r="M34" s="27"/>
      <c r="N34" s="6"/>
    </row>
    <row r="35" spans="1:14" ht="15.75">
      <c r="A35" s="26"/>
      <c r="B35" s="27" t="s">
        <v>23</v>
      </c>
      <c r="C35" s="27"/>
      <c r="D35" s="27"/>
      <c r="E35" s="27"/>
      <c r="F35" s="27"/>
      <c r="G35" s="27"/>
      <c r="H35" s="27"/>
      <c r="I35" s="27"/>
      <c r="J35" s="27"/>
      <c r="K35" s="27"/>
      <c r="L35" s="46">
        <f>(H25+J25)/(D25+F25)</f>
        <v>0.32575757575757575</v>
      </c>
      <c r="M35" s="27"/>
      <c r="N35" s="6"/>
    </row>
    <row r="36" spans="1:14" ht="15.75">
      <c r="A36" s="26"/>
      <c r="B36" s="27" t="s">
        <v>24</v>
      </c>
      <c r="C36" s="133"/>
      <c r="D36" s="27"/>
      <c r="E36" s="27"/>
      <c r="F36" s="27"/>
      <c r="G36" s="27"/>
      <c r="H36" s="27"/>
      <c r="I36" s="27"/>
      <c r="J36" s="27"/>
      <c r="K36" s="27"/>
      <c r="L36" s="46">
        <f>(H27+J27)/(D27+F27)</f>
        <v>0.6011056317614598</v>
      </c>
      <c r="M36" s="27"/>
      <c r="N36" s="6"/>
    </row>
    <row r="37" spans="1:14" ht="15.75">
      <c r="A37" s="26"/>
      <c r="B37" s="27" t="s">
        <v>25</v>
      </c>
      <c r="C37" s="133"/>
      <c r="D37" s="27"/>
      <c r="E37" s="27"/>
      <c r="F37" s="27"/>
      <c r="G37" s="27"/>
      <c r="H37" s="27"/>
      <c r="I37" s="27"/>
      <c r="J37" s="34" t="s">
        <v>179</v>
      </c>
      <c r="K37" s="34" t="s">
        <v>188</v>
      </c>
      <c r="L37" s="35">
        <v>44500000</v>
      </c>
      <c r="M37" s="27"/>
      <c r="N37" s="6"/>
    </row>
    <row r="38" spans="1:14" ht="15.75">
      <c r="A38" s="26"/>
      <c r="B38" s="27"/>
      <c r="C38" s="133"/>
      <c r="D38" s="27"/>
      <c r="E38" s="27"/>
      <c r="F38" s="27"/>
      <c r="G38" s="27"/>
      <c r="H38" s="27"/>
      <c r="I38" s="27"/>
      <c r="J38" s="27"/>
      <c r="K38" s="27"/>
      <c r="L38" s="48"/>
      <c r="M38" s="27"/>
      <c r="N38" s="6"/>
    </row>
    <row r="39" spans="1:14" ht="15.75">
      <c r="A39" s="26"/>
      <c r="B39" s="27" t="s">
        <v>26</v>
      </c>
      <c r="C39" s="133"/>
      <c r="D39" s="27"/>
      <c r="E39" s="27"/>
      <c r="F39" s="27"/>
      <c r="G39" s="27"/>
      <c r="H39" s="27"/>
      <c r="I39" s="27"/>
      <c r="J39" s="34"/>
      <c r="K39" s="34"/>
      <c r="L39" s="34" t="s">
        <v>193</v>
      </c>
      <c r="M39" s="27"/>
      <c r="N39" s="6"/>
    </row>
    <row r="40" spans="1:14" ht="15.75">
      <c r="A40" s="131"/>
      <c r="B40" s="31" t="s">
        <v>27</v>
      </c>
      <c r="C40" s="31"/>
      <c r="D40" s="31"/>
      <c r="E40" s="31"/>
      <c r="F40" s="31"/>
      <c r="G40" s="31"/>
      <c r="H40" s="31"/>
      <c r="I40" s="31"/>
      <c r="J40" s="49"/>
      <c r="K40" s="49"/>
      <c r="L40" s="50">
        <v>36616</v>
      </c>
      <c r="M40" s="31"/>
      <c r="N40" s="6"/>
    </row>
    <row r="41" spans="1:14" ht="15.75">
      <c r="A41" s="26"/>
      <c r="B41" s="27" t="s">
        <v>28</v>
      </c>
      <c r="C41" s="27"/>
      <c r="D41" s="27"/>
      <c r="E41" s="27"/>
      <c r="F41" s="27"/>
      <c r="G41" s="27"/>
      <c r="H41" s="27"/>
      <c r="I41" s="27">
        <f>L41-J41+1</f>
        <v>91</v>
      </c>
      <c r="J41" s="51">
        <v>36433</v>
      </c>
      <c r="K41" s="52"/>
      <c r="L41" s="51">
        <v>36523</v>
      </c>
      <c r="M41" s="27"/>
      <c r="N41" s="6"/>
    </row>
    <row r="42" spans="1:14" ht="15.75">
      <c r="A42" s="26"/>
      <c r="B42" s="27" t="s">
        <v>29</v>
      </c>
      <c r="C42" s="27"/>
      <c r="D42" s="27"/>
      <c r="E42" s="27"/>
      <c r="F42" s="27"/>
      <c r="G42" s="27"/>
      <c r="H42" s="27"/>
      <c r="I42" s="27">
        <f>L42-J42+1</f>
        <v>92</v>
      </c>
      <c r="J42" s="51">
        <v>36524</v>
      </c>
      <c r="K42" s="52"/>
      <c r="L42" s="51">
        <v>36615</v>
      </c>
      <c r="M42" s="27"/>
      <c r="N42" s="6"/>
    </row>
    <row r="43" spans="1:14" ht="15.75">
      <c r="A43" s="26"/>
      <c r="B43" s="27" t="s">
        <v>30</v>
      </c>
      <c r="C43" s="27"/>
      <c r="D43" s="27"/>
      <c r="E43" s="27"/>
      <c r="F43" s="27"/>
      <c r="G43" s="27"/>
      <c r="H43" s="27"/>
      <c r="I43" s="27"/>
      <c r="J43" s="51"/>
      <c r="K43" s="52"/>
      <c r="L43" s="51" t="s">
        <v>205</v>
      </c>
      <c r="M43" s="27"/>
      <c r="N43" s="6"/>
    </row>
    <row r="44" spans="1:14" ht="15.75">
      <c r="A44" s="26"/>
      <c r="B44" s="27" t="s">
        <v>31</v>
      </c>
      <c r="C44" s="27"/>
      <c r="D44" s="27"/>
      <c r="E44" s="27"/>
      <c r="F44" s="27"/>
      <c r="G44" s="27"/>
      <c r="H44" s="27"/>
      <c r="I44" s="27"/>
      <c r="J44" s="51"/>
      <c r="K44" s="52"/>
      <c r="L44" s="51">
        <v>36607</v>
      </c>
      <c r="M44" s="27"/>
      <c r="N44" s="6"/>
    </row>
    <row r="45" spans="1:14" ht="15.75">
      <c r="A45" s="26"/>
      <c r="B45" s="27"/>
      <c r="C45" s="27"/>
      <c r="D45" s="27"/>
      <c r="E45" s="27"/>
      <c r="F45" s="27"/>
      <c r="G45" s="27"/>
      <c r="H45" s="27"/>
      <c r="I45" s="27"/>
      <c r="J45" s="27"/>
      <c r="K45" s="27"/>
      <c r="L45" s="53"/>
      <c r="M45" s="27"/>
      <c r="N45" s="6"/>
    </row>
    <row r="46" spans="1:14" ht="15.75">
      <c r="A46" s="8"/>
      <c r="B46" s="10"/>
      <c r="C46" s="10"/>
      <c r="D46" s="10"/>
      <c r="E46" s="10"/>
      <c r="F46" s="10"/>
      <c r="G46" s="10"/>
      <c r="H46" s="10"/>
      <c r="I46" s="10"/>
      <c r="J46" s="10"/>
      <c r="K46" s="10"/>
      <c r="L46" s="58"/>
      <c r="M46" s="10"/>
      <c r="N46" s="6"/>
    </row>
    <row r="47" spans="1:14" ht="15.75">
      <c r="A47" s="2"/>
      <c r="B47" s="55" t="s">
        <v>32</v>
      </c>
      <c r="C47" s="56"/>
      <c r="D47" s="5"/>
      <c r="E47" s="5"/>
      <c r="F47" s="5"/>
      <c r="G47" s="5"/>
      <c r="H47" s="5"/>
      <c r="I47" s="5"/>
      <c r="J47" s="5"/>
      <c r="K47" s="5"/>
      <c r="L47" s="57"/>
      <c r="M47" s="5"/>
      <c r="N47" s="6"/>
    </row>
    <row r="48" spans="1:14" ht="15.75">
      <c r="A48" s="8"/>
      <c r="B48" s="16"/>
      <c r="C48" s="16"/>
      <c r="D48" s="10"/>
      <c r="E48" s="10"/>
      <c r="F48" s="10"/>
      <c r="G48" s="10"/>
      <c r="H48" s="10"/>
      <c r="I48" s="10"/>
      <c r="J48" s="10"/>
      <c r="K48" s="10"/>
      <c r="L48" s="58"/>
      <c r="M48" s="10"/>
      <c r="N48" s="6"/>
    </row>
    <row r="49" spans="1:14" ht="63">
      <c r="A49" s="8"/>
      <c r="B49" s="59" t="s">
        <v>33</v>
      </c>
      <c r="C49" s="60" t="s">
        <v>141</v>
      </c>
      <c r="D49" s="60" t="s">
        <v>150</v>
      </c>
      <c r="E49" s="60"/>
      <c r="F49" s="60" t="s">
        <v>160</v>
      </c>
      <c r="G49" s="60"/>
      <c r="H49" s="60" t="s">
        <v>169</v>
      </c>
      <c r="I49" s="60"/>
      <c r="J49" s="60" t="s">
        <v>180</v>
      </c>
      <c r="K49" s="60"/>
      <c r="L49" s="61" t="s">
        <v>195</v>
      </c>
      <c r="M49" s="12"/>
      <c r="N49" s="6"/>
    </row>
    <row r="50" spans="1:14" ht="15.75">
      <c r="A50" s="26"/>
      <c r="B50" s="27" t="s">
        <v>34</v>
      </c>
      <c r="C50" s="38">
        <v>165784</v>
      </c>
      <c r="D50" s="62">
        <v>121612</v>
      </c>
      <c r="E50" s="38"/>
      <c r="F50" s="38">
        <f>5427+404+1</f>
        <v>5832</v>
      </c>
      <c r="G50" s="38"/>
      <c r="H50" s="38">
        <v>1</v>
      </c>
      <c r="I50" s="38"/>
      <c r="J50" s="38">
        <v>0</v>
      </c>
      <c r="K50" s="38"/>
      <c r="L50" s="62">
        <f>D50-F50+H50-J50</f>
        <v>115781</v>
      </c>
      <c r="M50" s="27"/>
      <c r="N50" s="6"/>
    </row>
    <row r="51" spans="1:14" ht="15.75">
      <c r="A51" s="26"/>
      <c r="B51" s="27" t="s">
        <v>35</v>
      </c>
      <c r="C51" s="38">
        <v>19105</v>
      </c>
      <c r="D51" s="62">
        <v>7685</v>
      </c>
      <c r="E51" s="38"/>
      <c r="F51" s="38">
        <v>877</v>
      </c>
      <c r="G51" s="38"/>
      <c r="H51" s="38">
        <v>0</v>
      </c>
      <c r="I51" s="38"/>
      <c r="J51" s="38">
        <v>0</v>
      </c>
      <c r="K51" s="38"/>
      <c r="L51" s="62">
        <f>D51-F51</f>
        <v>6808</v>
      </c>
      <c r="M51" s="27"/>
      <c r="N51" s="6"/>
    </row>
    <row r="52" spans="1:14" ht="15.75">
      <c r="A52" s="26"/>
      <c r="B52" s="27"/>
      <c r="C52" s="38"/>
      <c r="D52" s="62"/>
      <c r="E52" s="38"/>
      <c r="F52" s="38"/>
      <c r="G52" s="38"/>
      <c r="H52" s="38"/>
      <c r="I52" s="38"/>
      <c r="J52" s="38"/>
      <c r="K52" s="38"/>
      <c r="L52" s="62"/>
      <c r="M52" s="27"/>
      <c r="N52" s="6"/>
    </row>
    <row r="53" spans="1:14" ht="15.75">
      <c r="A53" s="26"/>
      <c r="B53" s="27" t="s">
        <v>36</v>
      </c>
      <c r="C53" s="38">
        <f>SUM(C50:C52)</f>
        <v>184889</v>
      </c>
      <c r="D53" s="63">
        <v>129297</v>
      </c>
      <c r="E53" s="38"/>
      <c r="F53" s="38">
        <f>SUM(F50:F52)</f>
        <v>6709</v>
      </c>
      <c r="G53" s="38"/>
      <c r="H53" s="38">
        <f>SUM(H50:H52)</f>
        <v>1</v>
      </c>
      <c r="I53" s="38"/>
      <c r="J53" s="38">
        <f>SUM(J50:J52)</f>
        <v>0</v>
      </c>
      <c r="K53" s="38"/>
      <c r="L53" s="63">
        <f>SUM(L50:L52)</f>
        <v>122589</v>
      </c>
      <c r="M53" s="27"/>
      <c r="N53" s="6"/>
    </row>
    <row r="54" spans="1:14" ht="15.75">
      <c r="A54" s="26"/>
      <c r="B54" s="27"/>
      <c r="C54" s="38"/>
      <c r="D54" s="38"/>
      <c r="E54" s="38"/>
      <c r="F54" s="38"/>
      <c r="G54" s="38"/>
      <c r="H54" s="38"/>
      <c r="I54" s="38"/>
      <c r="J54" s="38"/>
      <c r="K54" s="38"/>
      <c r="L54" s="63"/>
      <c r="M54" s="27"/>
      <c r="N54" s="6"/>
    </row>
    <row r="55" spans="1:14" ht="15.75">
      <c r="A55" s="8"/>
      <c r="B55" s="12" t="s">
        <v>37</v>
      </c>
      <c r="C55" s="64"/>
      <c r="D55" s="64"/>
      <c r="E55" s="64"/>
      <c r="F55" s="64"/>
      <c r="G55" s="64"/>
      <c r="H55" s="64"/>
      <c r="I55" s="64"/>
      <c r="J55" s="64"/>
      <c r="K55" s="64"/>
      <c r="L55" s="65"/>
      <c r="M55" s="10"/>
      <c r="N55" s="6"/>
    </row>
    <row r="56" spans="1:14" ht="15.75">
      <c r="A56" s="8"/>
      <c r="B56" s="10"/>
      <c r="C56" s="64"/>
      <c r="D56" s="64"/>
      <c r="E56" s="64"/>
      <c r="F56" s="64"/>
      <c r="G56" s="64"/>
      <c r="H56" s="64"/>
      <c r="I56" s="64"/>
      <c r="J56" s="64"/>
      <c r="K56" s="64"/>
      <c r="L56" s="65"/>
      <c r="M56" s="10"/>
      <c r="N56" s="6"/>
    </row>
    <row r="57" spans="1:14" ht="15.75">
      <c r="A57" s="26"/>
      <c r="B57" s="27" t="s">
        <v>34</v>
      </c>
      <c r="C57" s="38"/>
      <c r="D57" s="38"/>
      <c r="E57" s="38"/>
      <c r="F57" s="38"/>
      <c r="G57" s="38"/>
      <c r="H57" s="38"/>
      <c r="I57" s="38"/>
      <c r="J57" s="38"/>
      <c r="K57" s="38"/>
      <c r="L57" s="63"/>
      <c r="M57" s="27"/>
      <c r="N57" s="6"/>
    </row>
    <row r="58" spans="1:14" ht="15.75">
      <c r="A58" s="26"/>
      <c r="B58" s="27" t="s">
        <v>35</v>
      </c>
      <c r="C58" s="38"/>
      <c r="D58" s="38"/>
      <c r="E58" s="38"/>
      <c r="F58" s="38"/>
      <c r="G58" s="38"/>
      <c r="H58" s="38"/>
      <c r="I58" s="38"/>
      <c r="J58" s="38"/>
      <c r="K58" s="38"/>
      <c r="L58" s="63"/>
      <c r="M58" s="27"/>
      <c r="N58" s="6"/>
    </row>
    <row r="59" spans="1:14" ht="15.75">
      <c r="A59" s="26"/>
      <c r="B59" s="27"/>
      <c r="C59" s="38"/>
      <c r="D59" s="38"/>
      <c r="E59" s="38"/>
      <c r="F59" s="38"/>
      <c r="G59" s="38"/>
      <c r="H59" s="38"/>
      <c r="I59" s="38"/>
      <c r="J59" s="38"/>
      <c r="K59" s="38"/>
      <c r="L59" s="63"/>
      <c r="M59" s="27"/>
      <c r="N59" s="6"/>
    </row>
    <row r="60" spans="1:14" ht="15.75">
      <c r="A60" s="26"/>
      <c r="B60" s="27" t="s">
        <v>36</v>
      </c>
      <c r="C60" s="38"/>
      <c r="D60" s="38"/>
      <c r="E60" s="38"/>
      <c r="F60" s="38"/>
      <c r="G60" s="38"/>
      <c r="H60" s="38"/>
      <c r="I60" s="38"/>
      <c r="J60" s="38"/>
      <c r="K60" s="38"/>
      <c r="L60" s="38"/>
      <c r="M60" s="27"/>
      <c r="N60" s="6"/>
    </row>
    <row r="61" spans="1:14" ht="15.75">
      <c r="A61" s="26"/>
      <c r="B61" s="27"/>
      <c r="C61" s="38"/>
      <c r="D61" s="38"/>
      <c r="E61" s="38"/>
      <c r="F61" s="38"/>
      <c r="G61" s="38"/>
      <c r="H61" s="38"/>
      <c r="I61" s="38"/>
      <c r="J61" s="38"/>
      <c r="K61" s="38"/>
      <c r="L61" s="38"/>
      <c r="M61" s="27"/>
      <c r="N61" s="6"/>
    </row>
    <row r="62" spans="1:14" ht="15.75">
      <c r="A62" s="26"/>
      <c r="B62" s="27" t="s">
        <v>38</v>
      </c>
      <c r="C62" s="38">
        <v>-9889</v>
      </c>
      <c r="D62" s="62">
        <v>-9889</v>
      </c>
      <c r="E62" s="38"/>
      <c r="F62" s="38"/>
      <c r="G62" s="38"/>
      <c r="H62" s="38"/>
      <c r="I62" s="38"/>
      <c r="J62" s="38"/>
      <c r="K62" s="38"/>
      <c r="L62" s="62">
        <f>D62-F62+H62-J62</f>
        <v>-9889</v>
      </c>
      <c r="M62" s="27"/>
      <c r="N62" s="6"/>
    </row>
    <row r="63" spans="1:14" ht="15.75">
      <c r="A63" s="26"/>
      <c r="B63" s="27" t="s">
        <v>39</v>
      </c>
      <c r="C63" s="38">
        <v>0</v>
      </c>
      <c r="D63" s="63">
        <v>0</v>
      </c>
      <c r="E63" s="38"/>
      <c r="F63" s="38"/>
      <c r="G63" s="38"/>
      <c r="H63" s="38"/>
      <c r="I63" s="38"/>
      <c r="J63" s="38"/>
      <c r="K63" s="38"/>
      <c r="L63" s="63">
        <v>0</v>
      </c>
      <c r="M63" s="27"/>
      <c r="N63" s="6"/>
    </row>
    <row r="64" spans="1:14" ht="15.75">
      <c r="A64" s="26"/>
      <c r="B64" s="27" t="s">
        <v>40</v>
      </c>
      <c r="C64" s="38">
        <v>0</v>
      </c>
      <c r="D64" s="63">
        <v>1714</v>
      </c>
      <c r="E64" s="38"/>
      <c r="F64" s="38"/>
      <c r="G64" s="38"/>
      <c r="H64" s="38"/>
      <c r="I64" s="38"/>
      <c r="J64" s="38"/>
      <c r="K64" s="38"/>
      <c r="L64" s="63">
        <v>1835</v>
      </c>
      <c r="M64" s="27"/>
      <c r="N64" s="6"/>
    </row>
    <row r="65" spans="1:14" ht="15.75">
      <c r="A65" s="26"/>
      <c r="B65" s="27" t="s">
        <v>41</v>
      </c>
      <c r="C65" s="63">
        <f>SUM(C53:C64)</f>
        <v>175000</v>
      </c>
      <c r="D65" s="63">
        <f>SUM(D53:D64)</f>
        <v>121122</v>
      </c>
      <c r="E65" s="38"/>
      <c r="F65" s="63"/>
      <c r="G65" s="38"/>
      <c r="H65" s="63"/>
      <c r="I65" s="38"/>
      <c r="J65" s="63"/>
      <c r="K65" s="38"/>
      <c r="L65" s="63">
        <f>SUM(L53:L64)</f>
        <v>114535</v>
      </c>
      <c r="M65" s="27"/>
      <c r="N65" s="6"/>
    </row>
    <row r="66" spans="1:14" ht="15.75">
      <c r="A66" s="26"/>
      <c r="B66" s="27"/>
      <c r="C66" s="38"/>
      <c r="D66" s="38"/>
      <c r="E66" s="38"/>
      <c r="F66" s="38"/>
      <c r="G66" s="38"/>
      <c r="H66" s="38"/>
      <c r="I66" s="38"/>
      <c r="J66" s="38"/>
      <c r="K66" s="38"/>
      <c r="L66" s="63"/>
      <c r="M66" s="27"/>
      <c r="N66" s="6"/>
    </row>
    <row r="67" spans="1:14" ht="15.75">
      <c r="A67" s="8"/>
      <c r="B67" s="10"/>
      <c r="C67" s="10"/>
      <c r="D67" s="10"/>
      <c r="E67" s="10"/>
      <c r="F67" s="10"/>
      <c r="G67" s="10"/>
      <c r="H67" s="10"/>
      <c r="I67" s="10"/>
      <c r="J67" s="10"/>
      <c r="K67" s="10"/>
      <c r="L67" s="10"/>
      <c r="M67" s="10"/>
      <c r="N67" s="6"/>
    </row>
    <row r="68" spans="1:14" ht="15.75">
      <c r="A68" s="8"/>
      <c r="B68" s="67" t="s">
        <v>42</v>
      </c>
      <c r="C68" s="17"/>
      <c r="D68" s="17"/>
      <c r="E68" s="17"/>
      <c r="F68" s="17"/>
      <c r="G68" s="17"/>
      <c r="H68" s="17"/>
      <c r="I68" s="20"/>
      <c r="J68" s="20" t="s">
        <v>181</v>
      </c>
      <c r="K68" s="20"/>
      <c r="L68" s="20" t="s">
        <v>196</v>
      </c>
      <c r="M68" s="17"/>
      <c r="N68" s="6"/>
    </row>
    <row r="69" spans="1:14" ht="15.75">
      <c r="A69" s="26"/>
      <c r="B69" s="27" t="s">
        <v>43</v>
      </c>
      <c r="C69" s="27"/>
      <c r="D69" s="27"/>
      <c r="E69" s="27"/>
      <c r="F69" s="27"/>
      <c r="G69" s="27"/>
      <c r="H69" s="27"/>
      <c r="I69" s="27"/>
      <c r="J69" s="38">
        <v>0</v>
      </c>
      <c r="K69" s="27"/>
      <c r="L69" s="62">
        <v>0</v>
      </c>
      <c r="M69" s="27"/>
      <c r="N69" s="6"/>
    </row>
    <row r="70" spans="1:14" ht="15.75">
      <c r="A70" s="26"/>
      <c r="B70" s="27" t="s">
        <v>44</v>
      </c>
      <c r="C70" s="47" t="s">
        <v>142</v>
      </c>
      <c r="D70" s="68">
        <f>L44</f>
        <v>36607</v>
      </c>
      <c r="E70" s="27"/>
      <c r="F70" s="27"/>
      <c r="G70" s="27"/>
      <c r="H70" s="27"/>
      <c r="I70" s="27"/>
      <c r="J70" s="38">
        <f>5832-404+283</f>
        <v>5711</v>
      </c>
      <c r="K70" s="27"/>
      <c r="L70" s="62"/>
      <c r="M70" s="27"/>
      <c r="N70" s="6"/>
    </row>
    <row r="71" spans="1:14" ht="15.75">
      <c r="A71" s="26"/>
      <c r="B71" s="27" t="s">
        <v>45</v>
      </c>
      <c r="C71" s="27"/>
      <c r="D71" s="27"/>
      <c r="E71" s="27"/>
      <c r="F71" s="27"/>
      <c r="G71" s="27"/>
      <c r="H71" s="27"/>
      <c r="I71" s="27"/>
      <c r="J71" s="38"/>
      <c r="K71" s="27"/>
      <c r="L71" s="62">
        <f>2652+1137+71+377-493-88+22</f>
        <v>3678</v>
      </c>
      <c r="M71" s="27"/>
      <c r="N71" s="6"/>
    </row>
    <row r="72" spans="1:14" ht="15.75">
      <c r="A72" s="26"/>
      <c r="B72" s="27" t="s">
        <v>46</v>
      </c>
      <c r="C72" s="27"/>
      <c r="D72" s="27"/>
      <c r="E72" s="27"/>
      <c r="F72" s="27"/>
      <c r="G72" s="27"/>
      <c r="H72" s="27"/>
      <c r="I72" s="27"/>
      <c r="J72" s="38"/>
      <c r="K72" s="27"/>
      <c r="L72" s="62"/>
      <c r="M72" s="27"/>
      <c r="N72" s="6"/>
    </row>
    <row r="73" spans="1:14" ht="15.75">
      <c r="A73" s="26"/>
      <c r="B73" s="27" t="s">
        <v>47</v>
      </c>
      <c r="C73" s="27"/>
      <c r="D73" s="27"/>
      <c r="E73" s="27"/>
      <c r="F73" s="27"/>
      <c r="G73" s="27"/>
      <c r="H73" s="27"/>
      <c r="I73" s="27"/>
      <c r="J73" s="38">
        <f>SUM(J69:J72)</f>
        <v>5711</v>
      </c>
      <c r="K73" s="27"/>
      <c r="L73" s="63">
        <f>SUM(L69:L72)</f>
        <v>3678</v>
      </c>
      <c r="M73" s="27"/>
      <c r="N73" s="6"/>
    </row>
    <row r="74" spans="1:14" ht="15.75">
      <c r="A74" s="26"/>
      <c r="B74" s="27" t="s">
        <v>48</v>
      </c>
      <c r="C74" s="27"/>
      <c r="D74" s="27"/>
      <c r="E74" s="27"/>
      <c r="F74" s="27"/>
      <c r="G74" s="27"/>
      <c r="H74" s="27"/>
      <c r="I74" s="27"/>
      <c r="J74" s="38">
        <f>-L74</f>
        <v>877</v>
      </c>
      <c r="K74" s="27"/>
      <c r="L74" s="62">
        <f>-F51</f>
        <v>-877</v>
      </c>
      <c r="M74" s="27"/>
      <c r="N74" s="6"/>
    </row>
    <row r="75" spans="1:14" ht="15.75">
      <c r="A75" s="26"/>
      <c r="B75" s="27" t="s">
        <v>49</v>
      </c>
      <c r="C75" s="27"/>
      <c r="D75" s="27"/>
      <c r="E75" s="27"/>
      <c r="F75" s="27"/>
      <c r="G75" s="27"/>
      <c r="H75" s="27"/>
      <c r="I75" s="27"/>
      <c r="J75" s="38">
        <f>J73+J74</f>
        <v>6588</v>
      </c>
      <c r="K75" s="27"/>
      <c r="L75" s="63">
        <f>L73+L74</f>
        <v>2801</v>
      </c>
      <c r="M75" s="27"/>
      <c r="N75" s="6"/>
    </row>
    <row r="76" spans="1:14" ht="15.75">
      <c r="A76" s="26"/>
      <c r="B76" s="69" t="s">
        <v>50</v>
      </c>
      <c r="C76" s="70"/>
      <c r="D76" s="27"/>
      <c r="E76" s="27"/>
      <c r="F76" s="27"/>
      <c r="G76" s="27"/>
      <c r="H76" s="27"/>
      <c r="I76" s="27"/>
      <c r="J76" s="38"/>
      <c r="K76" s="27"/>
      <c r="L76" s="62"/>
      <c r="M76" s="27"/>
      <c r="N76" s="6"/>
    </row>
    <row r="77" spans="1:14" ht="15.75">
      <c r="A77" s="26">
        <v>1</v>
      </c>
      <c r="B77" s="27" t="s">
        <v>51</v>
      </c>
      <c r="C77" s="27"/>
      <c r="D77" s="27"/>
      <c r="E77" s="27"/>
      <c r="F77" s="27"/>
      <c r="G77" s="27"/>
      <c r="H77" s="27"/>
      <c r="I77" s="27"/>
      <c r="J77" s="27"/>
      <c r="K77" s="27"/>
      <c r="L77" s="62">
        <v>-11</v>
      </c>
      <c r="M77" s="27"/>
      <c r="N77" s="6"/>
    </row>
    <row r="78" spans="1:14" ht="15.75">
      <c r="A78" s="26">
        <v>2</v>
      </c>
      <c r="B78" s="27" t="s">
        <v>52</v>
      </c>
      <c r="C78" s="27"/>
      <c r="D78" s="27"/>
      <c r="E78" s="27"/>
      <c r="F78" s="27"/>
      <c r="G78" s="27"/>
      <c r="H78" s="27"/>
      <c r="I78" s="27"/>
      <c r="J78" s="27"/>
      <c r="K78" s="27"/>
      <c r="L78" s="62">
        <v>-4</v>
      </c>
      <c r="M78" s="27"/>
      <c r="N78" s="6"/>
    </row>
    <row r="79" spans="1:14" ht="15.75">
      <c r="A79" s="26">
        <v>3</v>
      </c>
      <c r="B79" s="27" t="s">
        <v>53</v>
      </c>
      <c r="C79" s="27"/>
      <c r="D79" s="27"/>
      <c r="E79" s="27"/>
      <c r="F79" s="27"/>
      <c r="G79" s="27"/>
      <c r="H79" s="27"/>
      <c r="I79" s="27"/>
      <c r="J79" s="27"/>
      <c r="K79" s="27"/>
      <c r="L79" s="62">
        <v>-181</v>
      </c>
      <c r="M79" s="27"/>
      <c r="N79" s="6"/>
    </row>
    <row r="80" spans="1:14" ht="15.75">
      <c r="A80" s="26">
        <v>4</v>
      </c>
      <c r="B80" s="27" t="s">
        <v>54</v>
      </c>
      <c r="C80" s="27"/>
      <c r="D80" s="27"/>
      <c r="E80" s="27"/>
      <c r="F80" s="27"/>
      <c r="G80" s="27"/>
      <c r="H80" s="27"/>
      <c r="I80" s="27"/>
      <c r="J80" s="27"/>
      <c r="K80" s="27"/>
      <c r="L80" s="62">
        <v>-53</v>
      </c>
      <c r="M80" s="27"/>
      <c r="N80" s="6"/>
    </row>
    <row r="81" spans="1:14" ht="15.75">
      <c r="A81" s="26">
        <v>5</v>
      </c>
      <c r="B81" s="27" t="s">
        <v>55</v>
      </c>
      <c r="C81" s="27"/>
      <c r="D81" s="27"/>
      <c r="E81" s="27"/>
      <c r="F81" s="27"/>
      <c r="G81" s="27"/>
      <c r="H81" s="27"/>
      <c r="I81" s="27"/>
      <c r="J81" s="27"/>
      <c r="K81" s="27"/>
      <c r="L81" s="62">
        <v>-1229</v>
      </c>
      <c r="M81" s="27"/>
      <c r="N81" s="6"/>
    </row>
    <row r="82" spans="1:14" ht="15.75">
      <c r="A82" s="26">
        <v>6</v>
      </c>
      <c r="B82" s="27" t="s">
        <v>56</v>
      </c>
      <c r="C82" s="27"/>
      <c r="D82" s="27"/>
      <c r="E82" s="27"/>
      <c r="F82" s="27"/>
      <c r="G82" s="27"/>
      <c r="H82" s="27"/>
      <c r="I82" s="27"/>
      <c r="J82" s="27"/>
      <c r="K82" s="27"/>
      <c r="L82" s="62">
        <v>-3</v>
      </c>
      <c r="M82" s="27"/>
      <c r="N82" s="6"/>
    </row>
    <row r="83" spans="1:14" ht="15.75">
      <c r="A83" s="26">
        <v>7</v>
      </c>
      <c r="B83" s="27" t="s">
        <v>57</v>
      </c>
      <c r="C83" s="27"/>
      <c r="D83" s="27"/>
      <c r="E83" s="27"/>
      <c r="F83" s="27"/>
      <c r="G83" s="27"/>
      <c r="H83" s="27"/>
      <c r="I83" s="27"/>
      <c r="J83" s="27"/>
      <c r="K83" s="27"/>
      <c r="L83" s="62">
        <v>-537</v>
      </c>
      <c r="M83" s="27"/>
      <c r="N83" s="6"/>
    </row>
    <row r="84" spans="1:14" ht="15.75">
      <c r="A84" s="26">
        <v>8</v>
      </c>
      <c r="B84" s="27" t="s">
        <v>58</v>
      </c>
      <c r="C84" s="27"/>
      <c r="D84" s="27"/>
      <c r="E84" s="27"/>
      <c r="F84" s="27"/>
      <c r="G84" s="27"/>
      <c r="H84" s="27"/>
      <c r="I84" s="27"/>
      <c r="J84" s="27"/>
      <c r="K84" s="27"/>
      <c r="L84" s="62">
        <v>-176</v>
      </c>
      <c r="M84" s="27"/>
      <c r="N84" s="6"/>
    </row>
    <row r="85" spans="1:14" ht="15.75">
      <c r="A85" s="26">
        <v>9</v>
      </c>
      <c r="B85" s="27" t="s">
        <v>59</v>
      </c>
      <c r="C85" s="27"/>
      <c r="D85" s="27"/>
      <c r="E85" s="27"/>
      <c r="F85" s="27"/>
      <c r="G85" s="27"/>
      <c r="H85" s="27"/>
      <c r="I85" s="27"/>
      <c r="J85" s="27"/>
      <c r="K85" s="27"/>
      <c r="L85" s="62">
        <v>0</v>
      </c>
      <c r="M85" s="27"/>
      <c r="N85" s="6"/>
    </row>
    <row r="86" spans="1:14" ht="15.75">
      <c r="A86" s="26">
        <v>10</v>
      </c>
      <c r="B86" s="27" t="s">
        <v>60</v>
      </c>
      <c r="C86" s="27"/>
      <c r="D86" s="27"/>
      <c r="E86" s="27"/>
      <c r="F86" s="27"/>
      <c r="G86" s="27"/>
      <c r="H86" s="27"/>
      <c r="I86" s="27"/>
      <c r="J86" s="27"/>
      <c r="K86" s="27"/>
      <c r="L86" s="62">
        <v>0</v>
      </c>
      <c r="M86" s="27"/>
      <c r="N86" s="6"/>
    </row>
    <row r="87" spans="1:14" ht="15.75">
      <c r="A87" s="26">
        <v>11</v>
      </c>
      <c r="B87" s="27" t="s">
        <v>61</v>
      </c>
      <c r="C87" s="27"/>
      <c r="D87" s="27"/>
      <c r="E87" s="27"/>
      <c r="F87" s="27"/>
      <c r="G87" s="27"/>
      <c r="H87" s="27"/>
      <c r="I87" s="27"/>
      <c r="J87" s="27"/>
      <c r="K87" s="27"/>
      <c r="L87" s="62">
        <v>-607</v>
      </c>
      <c r="M87" s="27"/>
      <c r="N87" s="6"/>
    </row>
    <row r="88" spans="1:14" ht="15.75">
      <c r="A88" s="26">
        <v>12</v>
      </c>
      <c r="B88" s="27" t="s">
        <v>62</v>
      </c>
      <c r="C88" s="27"/>
      <c r="D88" s="27"/>
      <c r="E88" s="27"/>
      <c r="F88" s="27"/>
      <c r="G88" s="27"/>
      <c r="H88" s="27"/>
      <c r="I88" s="27"/>
      <c r="J88" s="27"/>
      <c r="K88" s="27"/>
      <c r="L88" s="62">
        <v>0</v>
      </c>
      <c r="M88" s="27"/>
      <c r="N88" s="6"/>
    </row>
    <row r="89" spans="1:14" ht="15.75">
      <c r="A89" s="26">
        <v>13</v>
      </c>
      <c r="B89" s="27" t="s">
        <v>63</v>
      </c>
      <c r="C89" s="27"/>
      <c r="D89" s="27"/>
      <c r="E89" s="27"/>
      <c r="F89" s="27"/>
      <c r="G89" s="27"/>
      <c r="H89" s="27"/>
      <c r="I89" s="27"/>
      <c r="J89" s="27"/>
      <c r="K89" s="27"/>
      <c r="L89" s="62">
        <f>L75+SUM(L77:L88)</f>
        <v>0</v>
      </c>
      <c r="M89" s="27"/>
      <c r="N89" s="6"/>
    </row>
    <row r="90" spans="1:14" ht="15.75">
      <c r="A90" s="26"/>
      <c r="B90" s="69" t="s">
        <v>64</v>
      </c>
      <c r="C90" s="70"/>
      <c r="D90" s="27"/>
      <c r="E90" s="27"/>
      <c r="F90" s="27"/>
      <c r="G90" s="27"/>
      <c r="H90" s="27"/>
      <c r="I90" s="27"/>
      <c r="J90" s="27"/>
      <c r="K90" s="27"/>
      <c r="L90" s="71"/>
      <c r="M90" s="27"/>
      <c r="N90" s="6"/>
    </row>
    <row r="91" spans="1:14" ht="15.75">
      <c r="A91" s="26"/>
      <c r="B91" s="27" t="s">
        <v>65</v>
      </c>
      <c r="C91" s="70"/>
      <c r="D91" s="27"/>
      <c r="E91" s="27"/>
      <c r="F91" s="27"/>
      <c r="G91" s="27"/>
      <c r="H91" s="27"/>
      <c r="I91" s="38"/>
      <c r="J91" s="38">
        <v>-1</v>
      </c>
      <c r="K91" s="38"/>
      <c r="L91" s="62"/>
      <c r="M91" s="27"/>
      <c r="N91" s="6"/>
    </row>
    <row r="92" spans="1:14" ht="15.75">
      <c r="A92" s="26"/>
      <c r="B92" s="27" t="s">
        <v>66</v>
      </c>
      <c r="C92" s="27"/>
      <c r="D92" s="27"/>
      <c r="E92" s="27"/>
      <c r="F92" s="27"/>
      <c r="G92" s="27"/>
      <c r="H92" s="27"/>
      <c r="I92" s="38"/>
      <c r="J92" s="38">
        <v>0</v>
      </c>
      <c r="K92" s="38"/>
      <c r="L92" s="62"/>
      <c r="M92" s="27"/>
      <c r="N92" s="6"/>
    </row>
    <row r="93" spans="1:14" ht="15.75">
      <c r="A93" s="26"/>
      <c r="B93" s="27" t="s">
        <v>67</v>
      </c>
      <c r="C93" s="27"/>
      <c r="D93" s="27"/>
      <c r="E93" s="27"/>
      <c r="F93" s="27"/>
      <c r="G93" s="27"/>
      <c r="H93" s="27"/>
      <c r="I93" s="27"/>
      <c r="J93" s="38"/>
      <c r="K93" s="38"/>
      <c r="L93" s="62"/>
      <c r="M93" s="27"/>
      <c r="N93" s="6"/>
    </row>
    <row r="94" spans="1:14" ht="15.75">
      <c r="A94" s="26"/>
      <c r="B94" s="27" t="s">
        <v>68</v>
      </c>
      <c r="C94" s="27"/>
      <c r="D94" s="27"/>
      <c r="E94" s="27"/>
      <c r="F94" s="27"/>
      <c r="G94" s="27"/>
      <c r="H94" s="27"/>
      <c r="I94" s="27"/>
      <c r="J94" s="38">
        <v>-6587</v>
      </c>
      <c r="K94" s="38"/>
      <c r="L94" s="62"/>
      <c r="M94" s="27"/>
      <c r="N94" s="6"/>
    </row>
    <row r="95" spans="1:14" ht="15.75">
      <c r="A95" s="26"/>
      <c r="B95" s="27" t="s">
        <v>69</v>
      </c>
      <c r="C95" s="27"/>
      <c r="D95" s="27"/>
      <c r="E95" s="27"/>
      <c r="F95" s="27"/>
      <c r="G95" s="27"/>
      <c r="H95" s="27"/>
      <c r="I95" s="27"/>
      <c r="J95" s="38">
        <v>0</v>
      </c>
      <c r="K95" s="38"/>
      <c r="L95" s="62"/>
      <c r="M95" s="27"/>
      <c r="N95" s="6"/>
    </row>
    <row r="96" spans="1:14" ht="15.75">
      <c r="A96" s="26"/>
      <c r="B96" s="27" t="s">
        <v>70</v>
      </c>
      <c r="C96" s="27"/>
      <c r="D96" s="27"/>
      <c r="E96" s="27"/>
      <c r="F96" s="27"/>
      <c r="G96" s="27"/>
      <c r="H96" s="27"/>
      <c r="I96" s="27"/>
      <c r="J96" s="38">
        <f>SUM(J76:J95)</f>
        <v>-6588</v>
      </c>
      <c r="K96" s="38"/>
      <c r="L96" s="38">
        <f>SUM(L76:L95)</f>
        <v>-2801</v>
      </c>
      <c r="M96" s="27"/>
      <c r="N96" s="6"/>
    </row>
    <row r="97" spans="1:14" ht="15.75">
      <c r="A97" s="26"/>
      <c r="B97" s="27" t="s">
        <v>71</v>
      </c>
      <c r="C97" s="27"/>
      <c r="D97" s="27"/>
      <c r="E97" s="27"/>
      <c r="F97" s="27"/>
      <c r="G97" s="27"/>
      <c r="H97" s="27"/>
      <c r="I97" s="27"/>
      <c r="J97" s="38">
        <f>J75+J96</f>
        <v>0</v>
      </c>
      <c r="K97" s="38"/>
      <c r="L97" s="38">
        <f>L75+L96</f>
        <v>0</v>
      </c>
      <c r="M97" s="27"/>
      <c r="N97" s="6"/>
    </row>
    <row r="98" spans="1:14" ht="15.75">
      <c r="A98" s="26"/>
      <c r="B98" s="27"/>
      <c r="C98" s="27"/>
      <c r="D98" s="27"/>
      <c r="E98" s="27"/>
      <c r="F98" s="27"/>
      <c r="G98" s="27"/>
      <c r="H98" s="27"/>
      <c r="I98" s="27"/>
      <c r="J98" s="38"/>
      <c r="K98" s="38"/>
      <c r="L98" s="38"/>
      <c r="M98" s="27"/>
      <c r="N98" s="6"/>
    </row>
    <row r="99" spans="1:14" ht="15.75">
      <c r="A99" s="8"/>
      <c r="B99" s="10"/>
      <c r="C99" s="10"/>
      <c r="D99" s="10"/>
      <c r="E99" s="10"/>
      <c r="F99" s="10"/>
      <c r="G99" s="10"/>
      <c r="H99" s="10"/>
      <c r="I99" s="10"/>
      <c r="J99" s="10"/>
      <c r="K99" s="10"/>
      <c r="L99" s="58"/>
      <c r="M99" s="10"/>
      <c r="N99" s="6"/>
    </row>
    <row r="100" spans="1:14" ht="15.75">
      <c r="A100" s="8"/>
      <c r="B100" s="10"/>
      <c r="C100" s="10"/>
      <c r="D100" s="10"/>
      <c r="E100" s="10"/>
      <c r="F100" s="10"/>
      <c r="G100" s="10"/>
      <c r="H100" s="10"/>
      <c r="I100" s="10"/>
      <c r="J100" s="10"/>
      <c r="K100" s="10"/>
      <c r="L100" s="58"/>
      <c r="M100" s="10"/>
      <c r="N100" s="6"/>
    </row>
    <row r="101" spans="1:14" ht="15.75">
      <c r="A101" s="2"/>
      <c r="B101" s="55" t="s">
        <v>72</v>
      </c>
      <c r="C101" s="56"/>
      <c r="D101" s="5"/>
      <c r="E101" s="5"/>
      <c r="F101" s="5"/>
      <c r="G101" s="5"/>
      <c r="H101" s="5"/>
      <c r="I101" s="5"/>
      <c r="J101" s="5"/>
      <c r="K101" s="5"/>
      <c r="L101" s="57"/>
      <c r="M101" s="5"/>
      <c r="N101" s="6"/>
    </row>
    <row r="102" spans="1:14" ht="15.75">
      <c r="A102" s="8"/>
      <c r="B102" s="22"/>
      <c r="C102" s="16"/>
      <c r="D102" s="10"/>
      <c r="E102" s="10"/>
      <c r="F102" s="10"/>
      <c r="G102" s="10"/>
      <c r="H102" s="10"/>
      <c r="I102" s="10"/>
      <c r="J102" s="10"/>
      <c r="K102" s="10"/>
      <c r="L102" s="58"/>
      <c r="M102" s="10"/>
      <c r="N102" s="6"/>
    </row>
    <row r="103" spans="1:14" ht="15.75">
      <c r="A103" s="8"/>
      <c r="B103" s="72" t="s">
        <v>73</v>
      </c>
      <c r="C103" s="16"/>
      <c r="D103" s="10"/>
      <c r="E103" s="10"/>
      <c r="F103" s="10"/>
      <c r="G103" s="10"/>
      <c r="H103" s="10"/>
      <c r="I103" s="10"/>
      <c r="J103" s="10"/>
      <c r="K103" s="10"/>
      <c r="L103" s="58"/>
      <c r="M103" s="10"/>
      <c r="N103" s="6"/>
    </row>
    <row r="104" spans="1:14" ht="15.75">
      <c r="A104" s="26"/>
      <c r="B104" s="27" t="s">
        <v>74</v>
      </c>
      <c r="C104" s="27"/>
      <c r="D104" s="27"/>
      <c r="E104" s="27"/>
      <c r="F104" s="27"/>
      <c r="G104" s="27"/>
      <c r="H104" s="27"/>
      <c r="I104" s="27"/>
      <c r="J104" s="27"/>
      <c r="K104" s="27"/>
      <c r="L104" s="62">
        <v>3698</v>
      </c>
      <c r="M104" s="27"/>
      <c r="N104" s="6"/>
    </row>
    <row r="105" spans="1:14" ht="15.75">
      <c r="A105" s="26"/>
      <c r="B105" s="27" t="s">
        <v>75</v>
      </c>
      <c r="C105" s="27"/>
      <c r="D105" s="27"/>
      <c r="E105" s="27"/>
      <c r="F105" s="27"/>
      <c r="G105" s="27"/>
      <c r="H105" s="27"/>
      <c r="I105" s="27"/>
      <c r="J105" s="27"/>
      <c r="K105" s="27"/>
      <c r="L105" s="62">
        <v>3698</v>
      </c>
      <c r="M105" s="27"/>
      <c r="N105" s="6"/>
    </row>
    <row r="106" spans="1:14" ht="15.75">
      <c r="A106" s="26"/>
      <c r="B106" s="27" t="s">
        <v>76</v>
      </c>
      <c r="C106" s="27"/>
      <c r="D106" s="27"/>
      <c r="E106" s="27"/>
      <c r="F106" s="27"/>
      <c r="G106" s="27"/>
      <c r="H106" s="27"/>
      <c r="I106" s="27"/>
      <c r="J106" s="27"/>
      <c r="K106" s="27"/>
      <c r="L106" s="62">
        <v>0</v>
      </c>
      <c r="M106" s="27"/>
      <c r="N106" s="6"/>
    </row>
    <row r="107" spans="1:14" ht="15.75">
      <c r="A107" s="26"/>
      <c r="B107" s="27" t="s">
        <v>77</v>
      </c>
      <c r="C107" s="27"/>
      <c r="D107" s="27"/>
      <c r="E107" s="27"/>
      <c r="F107" s="27"/>
      <c r="G107" s="27"/>
      <c r="H107" s="27"/>
      <c r="I107" s="27"/>
      <c r="J107" s="27"/>
      <c r="K107" s="27"/>
      <c r="L107" s="62">
        <v>0</v>
      </c>
      <c r="M107" s="27"/>
      <c r="N107" s="6"/>
    </row>
    <row r="108" spans="1:14" ht="15.75">
      <c r="A108" s="26"/>
      <c r="B108" s="27" t="s">
        <v>78</v>
      </c>
      <c r="C108" s="27"/>
      <c r="D108" s="27"/>
      <c r="E108" s="27"/>
      <c r="F108" s="27"/>
      <c r="G108" s="27"/>
      <c r="H108" s="27"/>
      <c r="I108" s="27"/>
      <c r="J108" s="27"/>
      <c r="K108" s="27"/>
      <c r="L108" s="62">
        <v>0</v>
      </c>
      <c r="M108" s="27"/>
      <c r="N108" s="6"/>
    </row>
    <row r="109" spans="1:14" ht="15.75">
      <c r="A109" s="26"/>
      <c r="B109" s="27" t="s">
        <v>55</v>
      </c>
      <c r="C109" s="27"/>
      <c r="D109" s="27"/>
      <c r="E109" s="27"/>
      <c r="F109" s="27"/>
      <c r="G109" s="27"/>
      <c r="H109" s="27"/>
      <c r="I109" s="27"/>
      <c r="J109" s="27"/>
      <c r="K109" s="27"/>
      <c r="L109" s="62">
        <v>0</v>
      </c>
      <c r="M109" s="27"/>
      <c r="N109" s="6"/>
    </row>
    <row r="110" spans="1:14" ht="15.75">
      <c r="A110" s="26"/>
      <c r="B110" s="27" t="s">
        <v>57</v>
      </c>
      <c r="C110" s="27"/>
      <c r="D110" s="27"/>
      <c r="E110" s="27"/>
      <c r="F110" s="27"/>
      <c r="G110" s="27"/>
      <c r="H110" s="27"/>
      <c r="I110" s="27"/>
      <c r="J110" s="27"/>
      <c r="K110" s="27"/>
      <c r="L110" s="62">
        <v>0</v>
      </c>
      <c r="M110" s="27"/>
      <c r="N110" s="6"/>
    </row>
    <row r="111" spans="1:14" ht="15.75">
      <c r="A111" s="26"/>
      <c r="B111" s="27" t="s">
        <v>79</v>
      </c>
      <c r="C111" s="27"/>
      <c r="D111" s="27"/>
      <c r="E111" s="27"/>
      <c r="F111" s="27"/>
      <c r="G111" s="27"/>
      <c r="H111" s="27"/>
      <c r="I111" s="27"/>
      <c r="J111" s="27"/>
      <c r="K111" s="27"/>
      <c r="L111" s="62">
        <f>SUM(L105:L109)</f>
        <v>3698</v>
      </c>
      <c r="M111" s="27"/>
      <c r="N111" s="6"/>
    </row>
    <row r="112" spans="1:14" ht="15.75">
      <c r="A112" s="26"/>
      <c r="B112" s="27"/>
      <c r="C112" s="27"/>
      <c r="D112" s="27"/>
      <c r="E112" s="27"/>
      <c r="F112" s="27"/>
      <c r="G112" s="27"/>
      <c r="H112" s="27"/>
      <c r="I112" s="27"/>
      <c r="J112" s="27"/>
      <c r="K112" s="27"/>
      <c r="L112" s="54"/>
      <c r="M112" s="27"/>
      <c r="N112" s="6"/>
    </row>
    <row r="113" spans="1:14" ht="15.75">
      <c r="A113" s="8"/>
      <c r="B113" s="72" t="s">
        <v>39</v>
      </c>
      <c r="C113" s="10"/>
      <c r="D113" s="10"/>
      <c r="E113" s="10"/>
      <c r="F113" s="10"/>
      <c r="G113" s="10"/>
      <c r="H113" s="10"/>
      <c r="I113" s="10"/>
      <c r="J113" s="10"/>
      <c r="K113" s="10"/>
      <c r="L113" s="58"/>
      <c r="M113" s="10"/>
      <c r="N113" s="6"/>
    </row>
    <row r="114" spans="1:14" ht="15.75">
      <c r="A114" s="26"/>
      <c r="B114" s="27" t="s">
        <v>80</v>
      </c>
      <c r="C114" s="27"/>
      <c r="D114" s="73"/>
      <c r="E114" s="27"/>
      <c r="F114" s="27"/>
      <c r="G114" s="27"/>
      <c r="H114" s="27"/>
      <c r="I114" s="27"/>
      <c r="J114" s="27"/>
      <c r="K114" s="27"/>
      <c r="L114" s="62">
        <f>1848891.08/1000</f>
        <v>1848.89108</v>
      </c>
      <c r="M114" s="27"/>
      <c r="N114" s="6"/>
    </row>
    <row r="115" spans="1:14" ht="15.75">
      <c r="A115" s="26"/>
      <c r="B115" s="27" t="s">
        <v>81</v>
      </c>
      <c r="C115" s="30"/>
      <c r="D115" s="30"/>
      <c r="E115" s="30"/>
      <c r="F115" s="30"/>
      <c r="G115" s="30"/>
      <c r="H115" s="30"/>
      <c r="I115" s="30"/>
      <c r="J115" s="30"/>
      <c r="K115" s="30"/>
      <c r="L115" s="63">
        <v>0</v>
      </c>
      <c r="M115" s="27"/>
      <c r="N115" s="6"/>
    </row>
    <row r="116" spans="1:14" ht="15.75">
      <c r="A116" s="26"/>
      <c r="B116" s="27" t="s">
        <v>82</v>
      </c>
      <c r="C116" s="27"/>
      <c r="D116" s="27"/>
      <c r="E116" s="27"/>
      <c r="F116" s="27"/>
      <c r="G116" s="27"/>
      <c r="H116" s="27"/>
      <c r="I116" s="27"/>
      <c r="J116" s="27"/>
      <c r="K116" s="27"/>
      <c r="L116" s="62">
        <v>0</v>
      </c>
      <c r="M116" s="27"/>
      <c r="N116" s="6"/>
    </row>
    <row r="117" spans="1:14" ht="15.75">
      <c r="A117" s="26"/>
      <c r="B117" s="27" t="s">
        <v>83</v>
      </c>
      <c r="C117" s="27"/>
      <c r="D117" s="27"/>
      <c r="E117" s="27"/>
      <c r="F117" s="27"/>
      <c r="G117" s="27"/>
      <c r="H117" s="27"/>
      <c r="I117" s="27"/>
      <c r="J117" s="27"/>
      <c r="K117" s="27"/>
      <c r="L117" s="62">
        <f>L114-L115-L116</f>
        <v>1848.89108</v>
      </c>
      <c r="M117" s="27"/>
      <c r="N117" s="6"/>
    </row>
    <row r="118" spans="1:14" ht="15.75">
      <c r="A118" s="26"/>
      <c r="B118" s="27"/>
      <c r="C118" s="27"/>
      <c r="D118" s="27"/>
      <c r="E118" s="27"/>
      <c r="F118" s="27"/>
      <c r="G118" s="27"/>
      <c r="H118" s="27"/>
      <c r="I118" s="27"/>
      <c r="J118" s="27"/>
      <c r="K118" s="27"/>
      <c r="L118" s="54"/>
      <c r="M118" s="27"/>
      <c r="N118" s="6"/>
    </row>
    <row r="119" spans="1:14" ht="15.75">
      <c r="A119" s="8"/>
      <c r="B119" s="72" t="s">
        <v>84</v>
      </c>
      <c r="C119" s="16"/>
      <c r="D119" s="10"/>
      <c r="E119" s="10"/>
      <c r="F119" s="10"/>
      <c r="G119" s="10"/>
      <c r="H119" s="10"/>
      <c r="I119" s="10"/>
      <c r="J119" s="10"/>
      <c r="K119" s="10"/>
      <c r="L119" s="74"/>
      <c r="M119" s="10"/>
      <c r="N119" s="6"/>
    </row>
    <row r="120" spans="1:14" ht="15.75">
      <c r="A120" s="26"/>
      <c r="B120" s="27" t="s">
        <v>85</v>
      </c>
      <c r="C120" s="27"/>
      <c r="D120" s="27"/>
      <c r="E120" s="27"/>
      <c r="F120" s="27"/>
      <c r="G120" s="27"/>
      <c r="H120" s="27"/>
      <c r="I120" s="27"/>
      <c r="J120" s="27"/>
      <c r="K120" s="27"/>
      <c r="L120" s="62">
        <f>Dec99!L124</f>
        <v>1431</v>
      </c>
      <c r="M120" s="27"/>
      <c r="N120" s="6"/>
    </row>
    <row r="121" spans="1:14" ht="15.75">
      <c r="A121" s="26"/>
      <c r="B121" s="27" t="s">
        <v>86</v>
      </c>
      <c r="C121" s="27"/>
      <c r="D121" s="27"/>
      <c r="E121" s="27"/>
      <c r="F121" s="27"/>
      <c r="G121" s="27"/>
      <c r="H121" s="27"/>
      <c r="I121" s="27"/>
      <c r="J121" s="27"/>
      <c r="K121" s="27"/>
      <c r="L121" s="62">
        <v>404</v>
      </c>
      <c r="M121" s="27"/>
      <c r="N121" s="6"/>
    </row>
    <row r="122" spans="1:14" ht="15.75">
      <c r="A122" s="26"/>
      <c r="B122" s="27" t="s">
        <v>87</v>
      </c>
      <c r="C122" s="27"/>
      <c r="D122" s="27"/>
      <c r="E122" s="27"/>
      <c r="F122" s="27"/>
      <c r="G122" s="27"/>
      <c r="H122" s="27"/>
      <c r="I122" s="27"/>
      <c r="J122" s="27"/>
      <c r="K122" s="27"/>
      <c r="L122" s="62">
        <f>L121+L120</f>
        <v>1835</v>
      </c>
      <c r="M122" s="27"/>
      <c r="N122" s="6"/>
    </row>
    <row r="123" spans="1:14" ht="15.75">
      <c r="A123" s="26"/>
      <c r="B123" s="27" t="s">
        <v>88</v>
      </c>
      <c r="C123" s="27"/>
      <c r="D123" s="27"/>
      <c r="E123" s="27"/>
      <c r="F123" s="27"/>
      <c r="G123" s="27"/>
      <c r="H123" s="75"/>
      <c r="I123" s="27"/>
      <c r="J123" s="27"/>
      <c r="K123" s="27"/>
      <c r="L123" s="62">
        <f>L87</f>
        <v>-607</v>
      </c>
      <c r="M123" s="27"/>
      <c r="N123" s="6"/>
    </row>
    <row r="124" spans="1:14" ht="15.75">
      <c r="A124" s="26"/>
      <c r="B124" s="27" t="s">
        <v>89</v>
      </c>
      <c r="C124" s="27"/>
      <c r="D124" s="27"/>
      <c r="E124" s="27"/>
      <c r="F124" s="27"/>
      <c r="G124" s="27"/>
      <c r="H124" s="27"/>
      <c r="I124" s="27"/>
      <c r="J124" s="27"/>
      <c r="K124" s="27"/>
      <c r="L124" s="62">
        <f>L122+L123</f>
        <v>1228</v>
      </c>
      <c r="M124" s="27"/>
      <c r="N124" s="6"/>
    </row>
    <row r="125" spans="1:14" ht="15.75">
      <c r="A125" s="26"/>
      <c r="B125" s="27"/>
      <c r="C125" s="27"/>
      <c r="D125" s="27"/>
      <c r="E125" s="27"/>
      <c r="F125" s="27"/>
      <c r="G125" s="27"/>
      <c r="H125" s="27"/>
      <c r="I125" s="27"/>
      <c r="J125" s="27"/>
      <c r="K125" s="27"/>
      <c r="L125" s="54"/>
      <c r="M125" s="27"/>
      <c r="N125" s="6"/>
    </row>
    <row r="126" spans="1:14" ht="15.75">
      <c r="A126" s="2"/>
      <c r="B126" s="5"/>
      <c r="C126" s="5"/>
      <c r="D126" s="5"/>
      <c r="E126" s="5"/>
      <c r="F126" s="5"/>
      <c r="G126" s="5"/>
      <c r="H126" s="5"/>
      <c r="I126" s="5"/>
      <c r="J126" s="5"/>
      <c r="K126" s="5"/>
      <c r="L126" s="57"/>
      <c r="M126" s="5"/>
      <c r="N126" s="6"/>
    </row>
    <row r="127" spans="1:14" ht="15.75">
      <c r="A127" s="8"/>
      <c r="B127" s="72" t="s">
        <v>90</v>
      </c>
      <c r="C127" s="16"/>
      <c r="D127" s="10"/>
      <c r="E127" s="10"/>
      <c r="F127" s="10"/>
      <c r="G127" s="10"/>
      <c r="H127" s="10"/>
      <c r="I127" s="10"/>
      <c r="J127" s="10"/>
      <c r="K127" s="10"/>
      <c r="L127" s="58"/>
      <c r="M127" s="10"/>
      <c r="N127" s="6"/>
    </row>
    <row r="128" spans="1:14" ht="15.75">
      <c r="A128" s="8"/>
      <c r="B128" s="22"/>
      <c r="C128" s="16"/>
      <c r="D128" s="10"/>
      <c r="E128" s="10"/>
      <c r="F128" s="10"/>
      <c r="G128" s="10"/>
      <c r="H128" s="10"/>
      <c r="I128" s="10"/>
      <c r="J128" s="10"/>
      <c r="K128" s="10"/>
      <c r="L128" s="58"/>
      <c r="M128" s="10"/>
      <c r="N128" s="6"/>
    </row>
    <row r="129" spans="1:14" ht="15.75">
      <c r="A129" s="26"/>
      <c r="B129" s="27" t="s">
        <v>91</v>
      </c>
      <c r="C129" s="76"/>
      <c r="D129" s="27"/>
      <c r="E129" s="27"/>
      <c r="F129" s="27"/>
      <c r="G129" s="27"/>
      <c r="H129" s="27"/>
      <c r="I129" s="27"/>
      <c r="J129" s="27"/>
      <c r="K129" s="27"/>
      <c r="L129" s="62">
        <f>L53</f>
        <v>122589</v>
      </c>
      <c r="M129" s="27"/>
      <c r="N129" s="6"/>
    </row>
    <row r="130" spans="1:14" ht="15.75">
      <c r="A130" s="26"/>
      <c r="B130" s="27" t="s">
        <v>92</v>
      </c>
      <c r="C130" s="76"/>
      <c r="D130" s="27"/>
      <c r="E130" s="27"/>
      <c r="F130" s="27"/>
      <c r="G130" s="27"/>
      <c r="H130" s="27"/>
      <c r="I130" s="27"/>
      <c r="J130" s="27"/>
      <c r="K130" s="27"/>
      <c r="L130" s="62">
        <f>L65</f>
        <v>114535</v>
      </c>
      <c r="M130" s="27"/>
      <c r="N130" s="6"/>
    </row>
    <row r="131" spans="1:14" ht="15.75">
      <c r="A131" s="26"/>
      <c r="B131" s="27"/>
      <c r="C131" s="27"/>
      <c r="D131" s="27"/>
      <c r="E131" s="27"/>
      <c r="F131" s="27"/>
      <c r="G131" s="27"/>
      <c r="H131" s="27"/>
      <c r="I131" s="27"/>
      <c r="J131" s="27"/>
      <c r="K131" s="27"/>
      <c r="L131" s="54"/>
      <c r="M131" s="27"/>
      <c r="N131" s="6"/>
    </row>
    <row r="132" spans="1:14" ht="15.75">
      <c r="A132" s="2"/>
      <c r="B132" s="5"/>
      <c r="C132" s="5"/>
      <c r="D132" s="5"/>
      <c r="E132" s="5"/>
      <c r="F132" s="5"/>
      <c r="G132" s="5"/>
      <c r="H132" s="5"/>
      <c r="I132" s="5"/>
      <c r="J132" s="5"/>
      <c r="K132" s="5"/>
      <c r="L132" s="57"/>
      <c r="M132" s="5"/>
      <c r="N132" s="6"/>
    </row>
    <row r="133" spans="1:14" ht="15.75">
      <c r="A133" s="8"/>
      <c r="B133" s="72" t="s">
        <v>93</v>
      </c>
      <c r="C133" s="16"/>
      <c r="D133" s="10"/>
      <c r="E133" s="10"/>
      <c r="F133" s="10"/>
      <c r="G133" s="10"/>
      <c r="H133" s="77" t="s">
        <v>170</v>
      </c>
      <c r="I133" s="77"/>
      <c r="J133" s="77" t="s">
        <v>182</v>
      </c>
      <c r="K133" s="12"/>
      <c r="L133" s="78" t="s">
        <v>197</v>
      </c>
      <c r="M133" s="10"/>
      <c r="N133" s="6"/>
    </row>
    <row r="134" spans="1:14" ht="15.75">
      <c r="A134" s="26"/>
      <c r="B134" s="27" t="s">
        <v>94</v>
      </c>
      <c r="C134" s="27"/>
      <c r="D134" s="27"/>
      <c r="E134" s="27"/>
      <c r="F134" s="27"/>
      <c r="G134" s="27"/>
      <c r="H134" s="62">
        <v>31500</v>
      </c>
      <c r="I134" s="27"/>
      <c r="J134" s="47" t="s">
        <v>183</v>
      </c>
      <c r="K134" s="27"/>
      <c r="L134" s="62"/>
      <c r="M134" s="27"/>
      <c r="N134" s="6"/>
    </row>
    <row r="135" spans="1:14" ht="15.75">
      <c r="A135" s="26"/>
      <c r="B135" s="27" t="s">
        <v>95</v>
      </c>
      <c r="C135" s="27"/>
      <c r="D135" s="27"/>
      <c r="E135" s="27"/>
      <c r="F135" s="27"/>
      <c r="G135" s="27"/>
      <c r="H135" s="62">
        <v>111</v>
      </c>
      <c r="I135" s="27"/>
      <c r="J135" s="27">
        <v>22</v>
      </c>
      <c r="K135" s="27"/>
      <c r="L135" s="62">
        <f>J135+H135</f>
        <v>133</v>
      </c>
      <c r="M135" s="27"/>
      <c r="N135" s="6"/>
    </row>
    <row r="136" spans="1:14" ht="15.75">
      <c r="A136" s="26"/>
      <c r="B136" s="27" t="s">
        <v>96</v>
      </c>
      <c r="C136" s="27"/>
      <c r="D136" s="27"/>
      <c r="E136" s="27"/>
      <c r="F136" s="27"/>
      <c r="G136" s="27"/>
      <c r="H136" s="62">
        <v>0</v>
      </c>
      <c r="I136" s="27"/>
      <c r="J136" s="38">
        <v>1</v>
      </c>
      <c r="K136" s="27"/>
      <c r="L136" s="62">
        <f>J136+H136</f>
        <v>1</v>
      </c>
      <c r="M136" s="27"/>
      <c r="N136" s="6"/>
    </row>
    <row r="137" spans="1:14" ht="15.75">
      <c r="A137" s="26"/>
      <c r="B137" s="27" t="s">
        <v>97</v>
      </c>
      <c r="C137" s="27"/>
      <c r="D137" s="27"/>
      <c r="E137" s="27"/>
      <c r="F137" s="27"/>
      <c r="G137" s="27"/>
      <c r="H137" s="62">
        <f>H136+H135</f>
        <v>111</v>
      </c>
      <c r="I137" s="27"/>
      <c r="J137" s="62">
        <f>J136+J135</f>
        <v>23</v>
      </c>
      <c r="K137" s="27"/>
      <c r="L137" s="62">
        <f>J137+H137</f>
        <v>134</v>
      </c>
      <c r="M137" s="27"/>
      <c r="N137" s="6"/>
    </row>
    <row r="138" spans="1:14" ht="15.75">
      <c r="A138" s="26"/>
      <c r="B138" s="27" t="s">
        <v>98</v>
      </c>
      <c r="C138" s="27"/>
      <c r="D138" s="27"/>
      <c r="E138" s="27"/>
      <c r="F138" s="27"/>
      <c r="G138" s="27"/>
      <c r="H138" s="62">
        <f>H134-H137</f>
        <v>31389</v>
      </c>
      <c r="I138" s="27"/>
      <c r="J138" s="47" t="s">
        <v>183</v>
      </c>
      <c r="K138" s="27"/>
      <c r="L138" s="62"/>
      <c r="M138" s="27"/>
      <c r="N138" s="6"/>
    </row>
    <row r="139" spans="1:14" ht="15.75">
      <c r="A139" s="26"/>
      <c r="B139" s="27"/>
      <c r="C139" s="27"/>
      <c r="D139" s="27"/>
      <c r="E139" s="27"/>
      <c r="F139" s="27"/>
      <c r="G139" s="27"/>
      <c r="H139" s="27"/>
      <c r="I139" s="27"/>
      <c r="J139" s="27"/>
      <c r="K139" s="27"/>
      <c r="L139" s="54"/>
      <c r="M139" s="27"/>
      <c r="N139" s="6"/>
    </row>
    <row r="140" spans="1:14" ht="15.75">
      <c r="A140" s="2"/>
      <c r="B140" s="5"/>
      <c r="C140" s="5"/>
      <c r="D140" s="5"/>
      <c r="E140" s="5"/>
      <c r="F140" s="5"/>
      <c r="G140" s="5"/>
      <c r="H140" s="5"/>
      <c r="I140" s="5"/>
      <c r="J140" s="5"/>
      <c r="K140" s="5"/>
      <c r="L140" s="57"/>
      <c r="M140" s="5"/>
      <c r="N140" s="6"/>
    </row>
    <row r="141" spans="1:14" ht="15.75">
      <c r="A141" s="8"/>
      <c r="B141" s="72" t="s">
        <v>99</v>
      </c>
      <c r="C141" s="16"/>
      <c r="D141" s="10"/>
      <c r="E141" s="10"/>
      <c r="F141" s="10"/>
      <c r="G141" s="10"/>
      <c r="H141" s="10"/>
      <c r="I141" s="10"/>
      <c r="J141" s="10"/>
      <c r="K141" s="10"/>
      <c r="L141" s="79"/>
      <c r="M141" s="10"/>
      <c r="N141" s="6"/>
    </row>
    <row r="142" spans="1:14" ht="15.75">
      <c r="A142" s="26"/>
      <c r="B142" s="27" t="s">
        <v>100</v>
      </c>
      <c r="C142" s="27"/>
      <c r="D142" s="27"/>
      <c r="E142" s="27"/>
      <c r="F142" s="27"/>
      <c r="G142" s="27"/>
      <c r="H142" s="27"/>
      <c r="I142" s="27"/>
      <c r="J142" s="27"/>
      <c r="K142" s="27"/>
      <c r="L142" s="71">
        <f>SUM(L75:L80)/-L81</f>
        <v>2.0764849471114726</v>
      </c>
      <c r="M142" s="27" t="s">
        <v>198</v>
      </c>
      <c r="N142" s="6"/>
    </row>
    <row r="143" spans="1:14" ht="15.75">
      <c r="A143" s="26"/>
      <c r="B143" s="27" t="s">
        <v>101</v>
      </c>
      <c r="C143" s="27"/>
      <c r="D143" s="27"/>
      <c r="E143" s="27"/>
      <c r="F143" s="27"/>
      <c r="G143" s="27"/>
      <c r="H143" s="27"/>
      <c r="I143" s="27"/>
      <c r="J143" s="27"/>
      <c r="K143" s="27"/>
      <c r="L143" s="80">
        <v>1.48</v>
      </c>
      <c r="M143" s="27" t="s">
        <v>198</v>
      </c>
      <c r="N143" s="6"/>
    </row>
    <row r="144" spans="1:14" ht="15.75">
      <c r="A144" s="26"/>
      <c r="B144" s="27" t="s">
        <v>102</v>
      </c>
      <c r="C144" s="27"/>
      <c r="D144" s="27"/>
      <c r="E144" s="27"/>
      <c r="F144" s="27"/>
      <c r="G144" s="27"/>
      <c r="H144" s="27"/>
      <c r="I144" s="27"/>
      <c r="J144" s="27"/>
      <c r="K144" s="27"/>
      <c r="L144" s="71">
        <f>SUM(L75:L82)/-L83</f>
        <v>2.458100558659218</v>
      </c>
      <c r="M144" s="27" t="s">
        <v>198</v>
      </c>
      <c r="N144" s="6"/>
    </row>
    <row r="145" spans="1:14" ht="15.75">
      <c r="A145" s="26"/>
      <c r="B145" s="27" t="s">
        <v>103</v>
      </c>
      <c r="C145" s="27"/>
      <c r="D145" s="27"/>
      <c r="E145" s="27"/>
      <c r="F145" s="27"/>
      <c r="G145" s="27"/>
      <c r="H145" s="27"/>
      <c r="I145" s="27"/>
      <c r="J145" s="27"/>
      <c r="K145" s="27"/>
      <c r="L145" s="81">
        <v>1.51</v>
      </c>
      <c r="M145" s="27" t="s">
        <v>198</v>
      </c>
      <c r="N145" s="6"/>
    </row>
    <row r="146" spans="1:14" ht="15.75">
      <c r="A146" s="26"/>
      <c r="B146" s="27" t="s">
        <v>104</v>
      </c>
      <c r="C146" s="27"/>
      <c r="D146" s="27"/>
      <c r="E146" s="27"/>
      <c r="F146" s="27"/>
      <c r="G146" s="27"/>
      <c r="H146" s="27"/>
      <c r="I146" s="27"/>
      <c r="J146" s="27"/>
      <c r="K146" s="27"/>
      <c r="L146" s="71">
        <f>SUM(L75:L83)/-L84</f>
        <v>4.448863636363637</v>
      </c>
      <c r="M146" s="27" t="s">
        <v>198</v>
      </c>
      <c r="N146" s="6"/>
    </row>
    <row r="147" spans="1:14" ht="15.75">
      <c r="A147" s="26"/>
      <c r="B147" s="27" t="s">
        <v>105</v>
      </c>
      <c r="C147" s="27"/>
      <c r="D147" s="27"/>
      <c r="E147" s="27"/>
      <c r="F147" s="27"/>
      <c r="G147" s="27"/>
      <c r="H147" s="27"/>
      <c r="I147" s="27"/>
      <c r="J147" s="27"/>
      <c r="K147" s="27"/>
      <c r="L147" s="81">
        <v>1.55</v>
      </c>
      <c r="M147" s="27" t="s">
        <v>198</v>
      </c>
      <c r="N147" s="6"/>
    </row>
    <row r="148" spans="1:14" ht="15.75">
      <c r="A148" s="26"/>
      <c r="B148" s="27"/>
      <c r="C148" s="27"/>
      <c r="D148" s="27"/>
      <c r="E148" s="27"/>
      <c r="F148" s="27"/>
      <c r="G148" s="27"/>
      <c r="H148" s="27"/>
      <c r="I148" s="27"/>
      <c r="J148" s="27"/>
      <c r="K148" s="27"/>
      <c r="L148" s="27"/>
      <c r="M148" s="27"/>
      <c r="N148" s="6"/>
    </row>
    <row r="149" spans="1:14" ht="15.75">
      <c r="A149" s="8"/>
      <c r="B149" s="15"/>
      <c r="C149" s="15"/>
      <c r="D149" s="15"/>
      <c r="E149" s="15"/>
      <c r="F149" s="15"/>
      <c r="G149" s="15"/>
      <c r="H149" s="15"/>
      <c r="I149" s="15"/>
      <c r="J149" s="15"/>
      <c r="K149" s="15"/>
      <c r="L149" s="15"/>
      <c r="M149" s="15"/>
      <c r="N149" s="6"/>
    </row>
    <row r="150" spans="1:14" ht="15.75">
      <c r="A150" s="139"/>
      <c r="B150" s="55" t="s">
        <v>106</v>
      </c>
      <c r="C150" s="83"/>
      <c r="D150" s="83"/>
      <c r="E150" s="83"/>
      <c r="F150" s="83"/>
      <c r="G150" s="84"/>
      <c r="H150" s="84"/>
      <c r="I150" s="84"/>
      <c r="J150" s="84">
        <v>36616</v>
      </c>
      <c r="K150" s="5"/>
      <c r="L150" s="5"/>
      <c r="M150" s="5"/>
      <c r="N150" s="6"/>
    </row>
    <row r="151" spans="1:14" ht="15.75">
      <c r="A151" s="86"/>
      <c r="B151" s="87"/>
      <c r="C151" s="88"/>
      <c r="D151" s="88"/>
      <c r="E151" s="88"/>
      <c r="F151" s="88"/>
      <c r="G151" s="89"/>
      <c r="H151" s="89"/>
      <c r="I151" s="89"/>
      <c r="J151" s="89"/>
      <c r="K151" s="10"/>
      <c r="L151" s="10"/>
      <c r="M151" s="10"/>
      <c r="N151" s="6"/>
    </row>
    <row r="152" spans="1:14" ht="15.75">
      <c r="A152" s="90"/>
      <c r="B152" s="91" t="s">
        <v>107</v>
      </c>
      <c r="C152" s="92"/>
      <c r="D152" s="92"/>
      <c r="E152" s="92"/>
      <c r="F152" s="92"/>
      <c r="G152" s="75"/>
      <c r="H152" s="75"/>
      <c r="I152" s="75"/>
      <c r="J152" s="93">
        <v>0.104</v>
      </c>
      <c r="K152" s="27"/>
      <c r="L152" s="27"/>
      <c r="M152" s="27"/>
      <c r="N152" s="6"/>
    </row>
    <row r="153" spans="1:14" ht="15.75">
      <c r="A153" s="90"/>
      <c r="B153" s="91" t="s">
        <v>108</v>
      </c>
      <c r="C153" s="92"/>
      <c r="D153" s="92"/>
      <c r="E153" s="92"/>
      <c r="F153" s="92"/>
      <c r="G153" s="75"/>
      <c r="H153" s="75"/>
      <c r="I153" s="75"/>
      <c r="J153" s="46">
        <f>7.76710857142857/100</f>
        <v>0.0776710857142857</v>
      </c>
      <c r="K153" s="27"/>
      <c r="L153" s="27"/>
      <c r="M153" s="27"/>
      <c r="N153" s="6"/>
    </row>
    <row r="154" spans="1:14" ht="15.75">
      <c r="A154" s="90"/>
      <c r="B154" s="91" t="s">
        <v>109</v>
      </c>
      <c r="C154" s="92"/>
      <c r="D154" s="92"/>
      <c r="E154" s="92"/>
      <c r="F154" s="92"/>
      <c r="G154" s="75"/>
      <c r="H154" s="75"/>
      <c r="I154" s="75"/>
      <c r="J154" s="93">
        <f>J152-J153</f>
        <v>0.026328914285714294</v>
      </c>
      <c r="K154" s="27"/>
      <c r="L154" s="27"/>
      <c r="M154" s="27"/>
      <c r="N154" s="6"/>
    </row>
    <row r="155" spans="1:14" ht="15.75">
      <c r="A155" s="90"/>
      <c r="B155" s="91" t="s">
        <v>110</v>
      </c>
      <c r="C155" s="92"/>
      <c r="D155" s="92"/>
      <c r="E155" s="92"/>
      <c r="F155" s="92"/>
      <c r="G155" s="75"/>
      <c r="H155" s="75"/>
      <c r="I155" s="75"/>
      <c r="J155" s="93">
        <v>0.09349</v>
      </c>
      <c r="K155" s="27"/>
      <c r="L155" s="27"/>
      <c r="M155" s="27"/>
      <c r="N155" s="6"/>
    </row>
    <row r="156" spans="1:14" ht="15.75">
      <c r="A156" s="90"/>
      <c r="B156" s="91" t="s">
        <v>111</v>
      </c>
      <c r="C156" s="92"/>
      <c r="D156" s="92"/>
      <c r="E156" s="92"/>
      <c r="F156" s="92"/>
      <c r="G156" s="75"/>
      <c r="H156" s="75"/>
      <c r="I156" s="75"/>
      <c r="J156" s="93">
        <f>L29</f>
        <v>0.06378734100430566</v>
      </c>
      <c r="K156" s="27"/>
      <c r="L156" s="27"/>
      <c r="M156" s="27"/>
      <c r="N156" s="6"/>
    </row>
    <row r="157" spans="1:14" ht="15.75">
      <c r="A157" s="90"/>
      <c r="B157" s="91" t="s">
        <v>112</v>
      </c>
      <c r="C157" s="92"/>
      <c r="D157" s="92"/>
      <c r="E157" s="92"/>
      <c r="F157" s="92"/>
      <c r="G157" s="75"/>
      <c r="H157" s="75"/>
      <c r="I157" s="75"/>
      <c r="J157" s="93">
        <f>J155-J156</f>
        <v>0.02970265899569434</v>
      </c>
      <c r="K157" s="27"/>
      <c r="L157" s="27"/>
      <c r="M157" s="27"/>
      <c r="N157" s="6"/>
    </row>
    <row r="158" spans="1:14" ht="15.75">
      <c r="A158" s="90"/>
      <c r="B158" s="91" t="s">
        <v>113</v>
      </c>
      <c r="C158" s="92"/>
      <c r="D158" s="92"/>
      <c r="E158" s="92"/>
      <c r="F158" s="92"/>
      <c r="G158" s="75"/>
      <c r="H158" s="75"/>
      <c r="I158" s="75"/>
      <c r="J158" s="94" t="s">
        <v>184</v>
      </c>
      <c r="K158" s="27"/>
      <c r="L158" s="27"/>
      <c r="M158" s="27"/>
      <c r="N158" s="6"/>
    </row>
    <row r="159" spans="1:14" ht="15.75">
      <c r="A159" s="90"/>
      <c r="B159" s="91" t="s">
        <v>114</v>
      </c>
      <c r="C159" s="92"/>
      <c r="D159" s="92"/>
      <c r="E159" s="92"/>
      <c r="F159" s="92"/>
      <c r="G159" s="75"/>
      <c r="H159" s="75"/>
      <c r="I159" s="75"/>
      <c r="J159" s="95">
        <v>17.6</v>
      </c>
      <c r="K159" s="27" t="s">
        <v>189</v>
      </c>
      <c r="L159" s="27"/>
      <c r="M159" s="27"/>
      <c r="N159" s="6"/>
    </row>
    <row r="160" spans="1:14" ht="15.75">
      <c r="A160" s="90"/>
      <c r="B160" s="91" t="s">
        <v>115</v>
      </c>
      <c r="C160" s="92"/>
      <c r="D160" s="92"/>
      <c r="E160" s="92"/>
      <c r="F160" s="92"/>
      <c r="G160" s="75"/>
      <c r="H160" s="75"/>
      <c r="I160" s="75"/>
      <c r="J160" s="95">
        <v>16</v>
      </c>
      <c r="K160" s="27" t="s">
        <v>189</v>
      </c>
      <c r="L160" s="27"/>
      <c r="M160" s="27"/>
      <c r="N160" s="6"/>
    </row>
    <row r="161" spans="1:14" ht="15.75">
      <c r="A161" s="90"/>
      <c r="B161" s="91" t="s">
        <v>116</v>
      </c>
      <c r="C161" s="92"/>
      <c r="D161" s="92"/>
      <c r="E161" s="92"/>
      <c r="F161" s="92"/>
      <c r="G161" s="75"/>
      <c r="H161" s="75"/>
      <c r="I161" s="75"/>
      <c r="J161" s="93">
        <f>F53/D53*4</f>
        <v>0.20755315281870423</v>
      </c>
      <c r="K161" s="27"/>
      <c r="L161" s="27"/>
      <c r="M161" s="27"/>
      <c r="N161" s="6"/>
    </row>
    <row r="162" spans="1:14" ht="15.75">
      <c r="A162" s="90"/>
      <c r="B162" s="91"/>
      <c r="C162" s="91"/>
      <c r="D162" s="91"/>
      <c r="E162" s="91"/>
      <c r="F162" s="91"/>
      <c r="G162" s="27"/>
      <c r="H162" s="27"/>
      <c r="I162" s="27"/>
      <c r="J162" s="54"/>
      <c r="K162" s="27"/>
      <c r="L162" s="96"/>
      <c r="M162" s="27"/>
      <c r="N162" s="6"/>
    </row>
    <row r="163" spans="1:14" ht="15.75">
      <c r="A163" s="97"/>
      <c r="B163" s="17" t="s">
        <v>117</v>
      </c>
      <c r="C163" s="20"/>
      <c r="D163" s="98"/>
      <c r="E163" s="20"/>
      <c r="F163" s="98"/>
      <c r="G163" s="20"/>
      <c r="H163" s="98"/>
      <c r="I163" s="20" t="s">
        <v>171</v>
      </c>
      <c r="J163" s="98" t="s">
        <v>185</v>
      </c>
      <c r="K163" s="18"/>
      <c r="L163" s="18"/>
      <c r="M163" s="10"/>
      <c r="N163" s="6"/>
    </row>
    <row r="164" spans="1:14" ht="15.75">
      <c r="A164" s="99"/>
      <c r="B164" s="91" t="s">
        <v>118</v>
      </c>
      <c r="C164" s="63"/>
      <c r="D164" s="63"/>
      <c r="E164" s="63"/>
      <c r="F164" s="27"/>
      <c r="G164" s="27"/>
      <c r="H164" s="27"/>
      <c r="I164" s="27">
        <v>333</v>
      </c>
      <c r="J164" s="100">
        <v>24083</v>
      </c>
      <c r="K164" s="27"/>
      <c r="L164" s="96"/>
      <c r="M164" s="101"/>
      <c r="N164" s="6"/>
    </row>
    <row r="165" spans="1:14" ht="15.75">
      <c r="A165" s="99"/>
      <c r="B165" s="91" t="s">
        <v>119</v>
      </c>
      <c r="C165" s="63"/>
      <c r="D165" s="63"/>
      <c r="E165" s="63"/>
      <c r="F165" s="27"/>
      <c r="G165" s="27"/>
      <c r="H165" s="27"/>
      <c r="I165" s="27">
        <v>30</v>
      </c>
      <c r="J165" s="100">
        <v>1885</v>
      </c>
      <c r="K165" s="27"/>
      <c r="L165" s="96"/>
      <c r="M165" s="101"/>
      <c r="N165" s="6"/>
    </row>
    <row r="166" spans="1:14" ht="15.75">
      <c r="A166" s="99"/>
      <c r="B166" s="102" t="s">
        <v>120</v>
      </c>
      <c r="C166" s="63"/>
      <c r="D166" s="63"/>
      <c r="E166" s="63"/>
      <c r="F166" s="27"/>
      <c r="G166" s="27"/>
      <c r="H166" s="27"/>
      <c r="I166" s="27">
        <v>1</v>
      </c>
      <c r="J166" s="100">
        <v>70</v>
      </c>
      <c r="K166" s="27"/>
      <c r="L166" s="96"/>
      <c r="M166" s="101"/>
      <c r="N166" s="6"/>
    </row>
    <row r="167" spans="1:14" ht="15.75">
      <c r="A167" s="99"/>
      <c r="B167" s="102" t="s">
        <v>121</v>
      </c>
      <c r="C167" s="63"/>
      <c r="D167" s="63"/>
      <c r="E167" s="63"/>
      <c r="F167" s="27"/>
      <c r="G167" s="27"/>
      <c r="H167" s="27"/>
      <c r="I167" s="27"/>
      <c r="J167" s="103" t="s">
        <v>186</v>
      </c>
      <c r="K167" s="27"/>
      <c r="L167" s="96"/>
      <c r="M167" s="101"/>
      <c r="N167" s="6"/>
    </row>
    <row r="168" spans="1:14" ht="15.75">
      <c r="A168" s="104"/>
      <c r="B168" s="102" t="s">
        <v>122</v>
      </c>
      <c r="C168" s="63"/>
      <c r="D168" s="91"/>
      <c r="E168" s="91"/>
      <c r="F168" s="91"/>
      <c r="G168" s="27"/>
      <c r="H168" s="27"/>
      <c r="I168" s="27"/>
      <c r="J168" s="103"/>
      <c r="K168" s="27"/>
      <c r="L168" s="96"/>
      <c r="M168" s="105"/>
      <c r="N168" s="6"/>
    </row>
    <row r="169" spans="1:14" ht="15.75">
      <c r="A169" s="99"/>
      <c r="B169" s="91" t="s">
        <v>123</v>
      </c>
      <c r="C169" s="63"/>
      <c r="D169" s="63"/>
      <c r="E169" s="63"/>
      <c r="F169" s="63"/>
      <c r="G169" s="27"/>
      <c r="H169" s="27"/>
      <c r="I169" s="27">
        <v>18</v>
      </c>
      <c r="J169" s="100">
        <f>L121</f>
        <v>404</v>
      </c>
      <c r="K169" s="27"/>
      <c r="L169" s="96"/>
      <c r="M169" s="105"/>
      <c r="N169" s="6"/>
    </row>
    <row r="170" spans="1:14" ht="15.75">
      <c r="A170" s="99"/>
      <c r="B170" s="91" t="s">
        <v>124</v>
      </c>
      <c r="C170" s="63"/>
      <c r="D170" s="63"/>
      <c r="E170" s="63"/>
      <c r="F170" s="63"/>
      <c r="G170" s="27"/>
      <c r="H170" s="27"/>
      <c r="I170" s="27">
        <v>90</v>
      </c>
      <c r="J170" s="100">
        <v>2119</v>
      </c>
      <c r="K170" s="27"/>
      <c r="L170" s="96"/>
      <c r="M170" s="105"/>
      <c r="N170" s="6"/>
    </row>
    <row r="171" spans="1:14" ht="15.75">
      <c r="A171" s="104"/>
      <c r="B171" s="102" t="s">
        <v>125</v>
      </c>
      <c r="C171" s="63"/>
      <c r="D171" s="91"/>
      <c r="E171" s="91"/>
      <c r="F171" s="91"/>
      <c r="G171" s="27"/>
      <c r="H171" s="27"/>
      <c r="I171" s="27"/>
      <c r="J171" s="100"/>
      <c r="K171" s="27"/>
      <c r="L171" s="96"/>
      <c r="M171" s="105"/>
      <c r="N171" s="6"/>
    </row>
    <row r="172" spans="1:14" ht="15.75">
      <c r="A172" s="104"/>
      <c r="B172" s="91" t="s">
        <v>126</v>
      </c>
      <c r="C172" s="63"/>
      <c r="D172" s="91"/>
      <c r="E172" s="91"/>
      <c r="F172" s="91"/>
      <c r="G172" s="27"/>
      <c r="H172" s="27"/>
      <c r="I172" s="27">
        <v>14</v>
      </c>
      <c r="J172" s="100">
        <v>1079</v>
      </c>
      <c r="K172" s="27"/>
      <c r="L172" s="96"/>
      <c r="M172" s="105"/>
      <c r="N172" s="6"/>
    </row>
    <row r="173" spans="1:14" ht="15.75">
      <c r="A173" s="99"/>
      <c r="B173" s="91" t="s">
        <v>127</v>
      </c>
      <c r="C173" s="63"/>
      <c r="D173" s="106"/>
      <c r="E173" s="106"/>
      <c r="F173" s="107"/>
      <c r="G173" s="27"/>
      <c r="H173" s="27"/>
      <c r="I173" s="27"/>
      <c r="J173" s="103">
        <v>26.84</v>
      </c>
      <c r="K173" s="27"/>
      <c r="L173" s="96"/>
      <c r="M173" s="105"/>
      <c r="N173" s="6"/>
    </row>
    <row r="174" spans="1:14" ht="15.75">
      <c r="A174" s="99"/>
      <c r="B174" s="91" t="s">
        <v>128</v>
      </c>
      <c r="C174" s="63"/>
      <c r="D174" s="106"/>
      <c r="E174" s="106"/>
      <c r="F174" s="107"/>
      <c r="G174" s="27"/>
      <c r="H174" s="27"/>
      <c r="I174" s="27"/>
      <c r="J174" s="103">
        <v>7.14</v>
      </c>
      <c r="K174" s="27"/>
      <c r="L174" s="96"/>
      <c r="M174" s="105"/>
      <c r="N174" s="6"/>
    </row>
    <row r="175" spans="1:14" ht="15.75">
      <c r="A175" s="99"/>
      <c r="B175" s="91" t="s">
        <v>129</v>
      </c>
      <c r="C175" s="63"/>
      <c r="D175" s="109"/>
      <c r="E175" s="106"/>
      <c r="F175" s="107"/>
      <c r="G175" s="27"/>
      <c r="H175" s="27"/>
      <c r="I175" s="27"/>
      <c r="J175" s="110">
        <v>1.0889</v>
      </c>
      <c r="K175" s="27"/>
      <c r="L175" s="96"/>
      <c r="M175" s="105"/>
      <c r="N175" s="6"/>
    </row>
    <row r="176" spans="1:14" ht="15.75">
      <c r="A176" s="99"/>
      <c r="B176" s="91"/>
      <c r="C176" s="63"/>
      <c r="D176" s="109"/>
      <c r="E176" s="106"/>
      <c r="F176" s="107"/>
      <c r="G176" s="27"/>
      <c r="H176" s="27"/>
      <c r="I176" s="27"/>
      <c r="J176" s="110"/>
      <c r="K176" s="27"/>
      <c r="L176" s="96"/>
      <c r="M176" s="105"/>
      <c r="N176" s="6"/>
    </row>
    <row r="177" spans="1:14" ht="15.75">
      <c r="A177" s="8"/>
      <c r="B177" s="17" t="s">
        <v>130</v>
      </c>
      <c r="C177" s="20"/>
      <c r="D177" s="98"/>
      <c r="E177" s="20"/>
      <c r="F177" s="98"/>
      <c r="G177" s="20"/>
      <c r="H177" s="98" t="s">
        <v>171</v>
      </c>
      <c r="I177" s="20" t="s">
        <v>172</v>
      </c>
      <c r="J177" s="98" t="s">
        <v>187</v>
      </c>
      <c r="K177" s="20" t="s">
        <v>172</v>
      </c>
      <c r="L177" s="18"/>
      <c r="M177" s="111"/>
      <c r="N177" s="6"/>
    </row>
    <row r="178" spans="1:14" ht="15.75">
      <c r="A178" s="26"/>
      <c r="B178" s="63" t="s">
        <v>131</v>
      </c>
      <c r="C178" s="112"/>
      <c r="D178" s="63"/>
      <c r="E178" s="112"/>
      <c r="F178" s="27"/>
      <c r="G178" s="112"/>
      <c r="H178" s="63">
        <f>168+1548</f>
        <v>1716</v>
      </c>
      <c r="I178" s="113">
        <f>H178/H184</f>
        <v>0.66</v>
      </c>
      <c r="J178" s="62">
        <f>5909+68060</f>
        <v>73969</v>
      </c>
      <c r="K178" s="113">
        <f>J178/J184</f>
        <v>0.6033901899844195</v>
      </c>
      <c r="L178" s="96"/>
      <c r="M178" s="105"/>
      <c r="N178" s="6"/>
    </row>
    <row r="179" spans="1:14" ht="15.75">
      <c r="A179" s="26"/>
      <c r="B179" s="63" t="s">
        <v>132</v>
      </c>
      <c r="C179" s="112"/>
      <c r="D179" s="63"/>
      <c r="E179" s="112"/>
      <c r="F179" s="27"/>
      <c r="G179" s="114"/>
      <c r="H179" s="63">
        <f>58+19</f>
        <v>77</v>
      </c>
      <c r="I179" s="112">
        <f>H179/H184</f>
        <v>0.029615384615384616</v>
      </c>
      <c r="J179" s="62">
        <f>2023+672</f>
        <v>2695</v>
      </c>
      <c r="K179" s="113">
        <f>J179/J184</f>
        <v>0.02198402793072788</v>
      </c>
      <c r="L179" s="96"/>
      <c r="M179" s="105"/>
      <c r="N179" s="6"/>
    </row>
    <row r="180" spans="1:14" ht="15.75">
      <c r="A180" s="26"/>
      <c r="B180" s="63" t="s">
        <v>133</v>
      </c>
      <c r="C180" s="112"/>
      <c r="D180" s="63"/>
      <c r="E180" s="112"/>
      <c r="F180" s="27"/>
      <c r="G180" s="114"/>
      <c r="H180" s="63">
        <f>30+6</f>
        <v>36</v>
      </c>
      <c r="I180" s="112">
        <f>H180/H184</f>
        <v>0.013846153846153847</v>
      </c>
      <c r="J180" s="62">
        <f>986+622</f>
        <v>1608</v>
      </c>
      <c r="K180" s="113">
        <f>J180/J184</f>
        <v>0.013117000709688471</v>
      </c>
      <c r="L180" s="96"/>
      <c r="M180" s="105"/>
      <c r="N180" s="6"/>
    </row>
    <row r="181" spans="1:14" ht="15.75">
      <c r="A181" s="26"/>
      <c r="B181" s="63" t="s">
        <v>134</v>
      </c>
      <c r="C181" s="112"/>
      <c r="D181" s="63"/>
      <c r="E181" s="112"/>
      <c r="F181" s="27"/>
      <c r="G181" s="114"/>
      <c r="H181" s="63">
        <f>18+738+6+9</f>
        <v>771</v>
      </c>
      <c r="I181" s="112">
        <f>H181/H184</f>
        <v>0.29653846153846153</v>
      </c>
      <c r="J181" s="62">
        <f>837+35612+336+364+336+25-1+6808</f>
        <v>44317</v>
      </c>
      <c r="K181" s="113">
        <f>J181/J184</f>
        <v>0.3615087813751642</v>
      </c>
      <c r="L181" s="96"/>
      <c r="M181" s="105"/>
      <c r="N181" s="6"/>
    </row>
    <row r="182" spans="1:14" ht="15.75">
      <c r="A182" s="26"/>
      <c r="B182" s="30"/>
      <c r="C182" s="112"/>
      <c r="D182" s="63"/>
      <c r="E182" s="112"/>
      <c r="F182" s="27"/>
      <c r="G182" s="114"/>
      <c r="H182" s="63"/>
      <c r="I182" s="112"/>
      <c r="J182" s="62"/>
      <c r="K182" s="113"/>
      <c r="L182" s="96"/>
      <c r="M182" s="105"/>
      <c r="N182" s="6"/>
    </row>
    <row r="183" spans="1:14" ht="15.75">
      <c r="A183" s="26"/>
      <c r="B183" s="63"/>
      <c r="C183" s="115"/>
      <c r="D183" s="101"/>
      <c r="E183" s="115"/>
      <c r="F183" s="27"/>
      <c r="G183" s="115"/>
      <c r="H183" s="101"/>
      <c r="I183" s="115"/>
      <c r="J183" s="62"/>
      <c r="K183" s="113"/>
      <c r="L183" s="96"/>
      <c r="M183" s="105"/>
      <c r="N183" s="6"/>
    </row>
    <row r="184" spans="1:14" ht="15.75">
      <c r="A184" s="26"/>
      <c r="B184" s="27"/>
      <c r="C184" s="27"/>
      <c r="D184" s="27"/>
      <c r="E184" s="27"/>
      <c r="F184" s="27"/>
      <c r="G184" s="27"/>
      <c r="H184" s="38">
        <f>SUM(H178:H182)</f>
        <v>2600</v>
      </c>
      <c r="I184" s="116">
        <f>SUM(I178:I183)</f>
        <v>1</v>
      </c>
      <c r="J184" s="62">
        <f>SUM(J178:J183)</f>
        <v>122589</v>
      </c>
      <c r="K184" s="116">
        <f>SUM(K178:K183)</f>
        <v>1</v>
      </c>
      <c r="L184" s="27"/>
      <c r="M184" s="27"/>
      <c r="N184" s="6"/>
    </row>
    <row r="185" spans="1:14" ht="15.75">
      <c r="A185" s="26"/>
      <c r="B185" s="27"/>
      <c r="C185" s="27"/>
      <c r="D185" s="27"/>
      <c r="E185" s="27"/>
      <c r="F185" s="27"/>
      <c r="G185" s="27"/>
      <c r="H185" s="38"/>
      <c r="I185" s="116"/>
      <c r="J185" s="62"/>
      <c r="K185" s="116"/>
      <c r="L185" s="27"/>
      <c r="M185" s="27"/>
      <c r="N185" s="6"/>
    </row>
    <row r="186" spans="1:14" ht="15.75">
      <c r="A186" s="8"/>
      <c r="B186" s="10"/>
      <c r="C186" s="10"/>
      <c r="D186" s="10"/>
      <c r="E186" s="10"/>
      <c r="F186" s="10"/>
      <c r="G186" s="10"/>
      <c r="H186" s="64"/>
      <c r="I186" s="119"/>
      <c r="J186" s="120"/>
      <c r="K186" s="119"/>
      <c r="L186" s="10"/>
      <c r="M186" s="10"/>
      <c r="N186" s="6"/>
    </row>
    <row r="187" spans="1:14" ht="15.75">
      <c r="A187" s="124"/>
      <c r="B187" s="17" t="s">
        <v>136</v>
      </c>
      <c r="C187" s="122"/>
      <c r="D187" s="20" t="s">
        <v>151</v>
      </c>
      <c r="E187" s="18"/>
      <c r="F187" s="17" t="s">
        <v>161</v>
      </c>
      <c r="G187" s="15"/>
      <c r="H187" s="15"/>
      <c r="I187" s="15"/>
      <c r="J187" s="15"/>
      <c r="K187" s="15"/>
      <c r="L187" s="15"/>
      <c r="M187" s="15"/>
      <c r="N187" s="6"/>
    </row>
    <row r="188" spans="1:14" ht="15.75">
      <c r="A188" s="124"/>
      <c r="B188" s="15"/>
      <c r="C188" s="15"/>
      <c r="D188" s="10"/>
      <c r="E188" s="10"/>
      <c r="F188" s="10"/>
      <c r="G188" s="15"/>
      <c r="H188" s="15"/>
      <c r="I188" s="15"/>
      <c r="J188" s="15"/>
      <c r="K188" s="15"/>
      <c r="L188" s="15"/>
      <c r="M188" s="15"/>
      <c r="N188" s="6"/>
    </row>
    <row r="189" spans="1:14" ht="15.75">
      <c r="A189" s="124"/>
      <c r="B189" s="16" t="s">
        <v>137</v>
      </c>
      <c r="C189" s="125"/>
      <c r="D189" s="126" t="s">
        <v>152</v>
      </c>
      <c r="E189" s="16"/>
      <c r="F189" s="16" t="s">
        <v>162</v>
      </c>
      <c r="G189" s="125"/>
      <c r="H189" s="125"/>
      <c r="I189" s="125"/>
      <c r="J189" s="125"/>
      <c r="K189" s="15"/>
      <c r="L189" s="15"/>
      <c r="M189" s="15"/>
      <c r="N189" s="6"/>
    </row>
    <row r="190" spans="1:14" ht="15.75">
      <c r="A190" s="124"/>
      <c r="B190" s="16" t="s">
        <v>138</v>
      </c>
      <c r="C190" s="125"/>
      <c r="D190" s="126" t="s">
        <v>153</v>
      </c>
      <c r="E190" s="16"/>
      <c r="F190" s="16" t="s">
        <v>163</v>
      </c>
      <c r="G190" s="125"/>
      <c r="H190" s="125"/>
      <c r="I190" s="125"/>
      <c r="J190" s="125"/>
      <c r="K190" s="15"/>
      <c r="L190" s="15"/>
      <c r="M190" s="15"/>
      <c r="N190" s="6"/>
    </row>
    <row r="191" spans="1:14" ht="15">
      <c r="A191" s="15"/>
      <c r="B191" s="15"/>
      <c r="C191" s="15"/>
      <c r="D191" s="15"/>
      <c r="E191" s="15"/>
      <c r="F191" s="15"/>
      <c r="G191" s="15"/>
      <c r="H191" s="15"/>
      <c r="I191" s="15"/>
      <c r="J191" s="15"/>
      <c r="K191" s="15"/>
      <c r="L191" s="15"/>
      <c r="M191" s="15"/>
      <c r="N191" s="6"/>
    </row>
    <row r="192" spans="1:14" ht="15">
      <c r="A192" s="127"/>
      <c r="B192" s="127"/>
      <c r="C192" s="127"/>
      <c r="D192" s="127"/>
      <c r="E192" s="127"/>
      <c r="F192" s="127"/>
      <c r="G192" s="127"/>
      <c r="H192" s="127"/>
      <c r="I192" s="127"/>
      <c r="J192" s="127"/>
      <c r="K192" s="127"/>
      <c r="L192" s="127"/>
      <c r="M192" s="127"/>
      <c r="N192" s="7"/>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5.xml><?xml version="1.0" encoding="utf-8"?>
<worksheet xmlns="http://schemas.openxmlformats.org/spreadsheetml/2006/main" xmlns:r="http://schemas.openxmlformats.org/officeDocument/2006/relationships">
  <dimension ref="A1:N191"/>
  <sheetViews>
    <sheetView showOutlineSymbols="0" zoomScale="70" zoomScaleNormal="70" workbookViewId="0" topLeftCell="C1">
      <selection activeCell="M8" sqref="M8"/>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0.88671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8"/>
      <c r="B2" s="9"/>
      <c r="C2" s="9"/>
      <c r="D2" s="10"/>
      <c r="E2" s="10"/>
      <c r="F2" s="10"/>
      <c r="G2" s="10"/>
      <c r="H2" s="10"/>
      <c r="I2" s="10"/>
      <c r="J2" s="10"/>
      <c r="K2" s="10"/>
      <c r="L2" s="10"/>
      <c r="M2" s="10"/>
      <c r="N2" s="6"/>
    </row>
    <row r="3" spans="1:14" ht="15.75">
      <c r="A3" s="11"/>
      <c r="B3" s="12" t="s">
        <v>1</v>
      </c>
      <c r="C3" s="10"/>
      <c r="D3" s="10"/>
      <c r="E3" s="10"/>
      <c r="F3" s="10"/>
      <c r="G3" s="10"/>
      <c r="H3" s="10"/>
      <c r="I3" s="10"/>
      <c r="J3" s="10"/>
      <c r="K3" s="10"/>
      <c r="L3" s="10"/>
      <c r="M3" s="10"/>
      <c r="N3" s="6"/>
    </row>
    <row r="4" spans="1:14" ht="15.75">
      <c r="A4" s="8"/>
      <c r="B4" s="9"/>
      <c r="C4" s="9"/>
      <c r="D4" s="10"/>
      <c r="E4" s="10"/>
      <c r="F4" s="10"/>
      <c r="G4" s="10"/>
      <c r="H4" s="10"/>
      <c r="I4" s="10"/>
      <c r="J4" s="10"/>
      <c r="K4" s="10"/>
      <c r="L4" s="10"/>
      <c r="M4" s="10"/>
      <c r="N4" s="6"/>
    </row>
    <row r="5" spans="1:14" ht="15.75">
      <c r="A5" s="8"/>
      <c r="B5" s="13" t="s">
        <v>2</v>
      </c>
      <c r="C5" s="14"/>
      <c r="D5" s="10"/>
      <c r="E5" s="10"/>
      <c r="F5" s="10"/>
      <c r="G5" s="10"/>
      <c r="H5" s="10"/>
      <c r="I5" s="10"/>
      <c r="J5" s="10"/>
      <c r="K5" s="10"/>
      <c r="L5" s="10"/>
      <c r="M5" s="10"/>
      <c r="N5" s="6"/>
    </row>
    <row r="6" spans="1:14" ht="15.75">
      <c r="A6" s="8"/>
      <c r="B6" s="13" t="s">
        <v>3</v>
      </c>
      <c r="C6" s="14"/>
      <c r="D6" s="10"/>
      <c r="E6" s="10"/>
      <c r="F6" s="10"/>
      <c r="G6" s="10"/>
      <c r="H6" s="10"/>
      <c r="I6" s="10"/>
      <c r="J6" s="10"/>
      <c r="K6" s="10"/>
      <c r="L6" s="10"/>
      <c r="M6" s="10"/>
      <c r="N6" s="6"/>
    </row>
    <row r="7" spans="1:14" ht="15.75">
      <c r="A7" s="8"/>
      <c r="B7" s="13" t="s">
        <v>4</v>
      </c>
      <c r="C7" s="14"/>
      <c r="D7" s="10"/>
      <c r="E7" s="10"/>
      <c r="F7" s="10"/>
      <c r="G7" s="10"/>
      <c r="H7" s="10"/>
      <c r="I7" s="10"/>
      <c r="J7" s="10"/>
      <c r="K7" s="10"/>
      <c r="L7" s="10"/>
      <c r="M7" s="10"/>
      <c r="N7" s="6"/>
    </row>
    <row r="8" spans="1:14" ht="15.75">
      <c r="A8" s="8"/>
      <c r="B8" s="13" t="s">
        <v>5</v>
      </c>
      <c r="C8" s="14"/>
      <c r="D8" s="10"/>
      <c r="E8" s="10"/>
      <c r="F8" s="10"/>
      <c r="G8" s="10"/>
      <c r="H8" s="10"/>
      <c r="I8" s="10"/>
      <c r="J8" s="10"/>
      <c r="K8" s="10"/>
      <c r="L8" s="10"/>
      <c r="M8" s="10"/>
      <c r="N8" s="6"/>
    </row>
    <row r="9" spans="1:14" ht="15.75">
      <c r="A9" s="8"/>
      <c r="B9" s="15"/>
      <c r="C9" s="14"/>
      <c r="D9" s="10"/>
      <c r="E9" s="10"/>
      <c r="F9" s="10"/>
      <c r="G9" s="10"/>
      <c r="H9" s="10"/>
      <c r="I9" s="10"/>
      <c r="J9" s="10"/>
      <c r="K9" s="10"/>
      <c r="L9" s="10"/>
      <c r="M9" s="10"/>
      <c r="N9" s="6"/>
    </row>
    <row r="10" spans="1:14" ht="15.75">
      <c r="A10" s="8"/>
      <c r="B10" s="13"/>
      <c r="C10" s="14"/>
      <c r="D10" s="16"/>
      <c r="E10" s="16"/>
      <c r="F10" s="10"/>
      <c r="G10" s="10"/>
      <c r="H10" s="10"/>
      <c r="I10" s="10"/>
      <c r="J10" s="10"/>
      <c r="K10" s="10"/>
      <c r="L10" s="10"/>
      <c r="M10" s="10"/>
      <c r="N10" s="6"/>
    </row>
    <row r="11" spans="1:14" ht="15.75">
      <c r="A11" s="8"/>
      <c r="B11" s="16" t="s">
        <v>6</v>
      </c>
      <c r="C11" s="16"/>
      <c r="D11" s="10"/>
      <c r="E11" s="10"/>
      <c r="F11" s="10"/>
      <c r="G11" s="10"/>
      <c r="H11" s="10"/>
      <c r="I11" s="10"/>
      <c r="J11" s="10"/>
      <c r="K11" s="10"/>
      <c r="L11" s="10"/>
      <c r="M11" s="10"/>
      <c r="N11" s="6"/>
    </row>
    <row r="12" spans="1:14" ht="15.75">
      <c r="A12" s="8"/>
      <c r="B12" s="16"/>
      <c r="C12" s="16"/>
      <c r="D12" s="10"/>
      <c r="E12" s="10"/>
      <c r="F12" s="10"/>
      <c r="G12" s="10"/>
      <c r="H12" s="10"/>
      <c r="I12" s="10"/>
      <c r="J12" s="10"/>
      <c r="K12" s="10"/>
      <c r="L12" s="10"/>
      <c r="M12" s="10"/>
      <c r="N12" s="6"/>
    </row>
    <row r="13" spans="1:14" ht="15.75">
      <c r="A13" s="2"/>
      <c r="B13" s="5"/>
      <c r="C13" s="5"/>
      <c r="D13" s="5"/>
      <c r="E13" s="5"/>
      <c r="F13" s="5"/>
      <c r="G13" s="5"/>
      <c r="H13" s="5"/>
      <c r="I13" s="5"/>
      <c r="J13" s="5"/>
      <c r="K13" s="5"/>
      <c r="L13" s="5"/>
      <c r="M13" s="5"/>
      <c r="N13" s="6"/>
    </row>
    <row r="14" spans="1:14" ht="15.75">
      <c r="A14" s="8"/>
      <c r="B14" s="17" t="s">
        <v>7</v>
      </c>
      <c r="C14" s="17"/>
      <c r="D14" s="18"/>
      <c r="E14" s="18"/>
      <c r="F14" s="18"/>
      <c r="G14" s="18"/>
      <c r="H14" s="18"/>
      <c r="I14" s="18"/>
      <c r="J14" s="18"/>
      <c r="K14" s="18"/>
      <c r="L14" s="19" t="s">
        <v>190</v>
      </c>
      <c r="M14" s="18"/>
      <c r="N14" s="6"/>
    </row>
    <row r="15" spans="1:14" ht="15.75">
      <c r="A15" s="8"/>
      <c r="B15" s="17" t="s">
        <v>8</v>
      </c>
      <c r="C15" s="17"/>
      <c r="D15" s="18"/>
      <c r="E15" s="18"/>
      <c r="F15" s="18"/>
      <c r="G15" s="18"/>
      <c r="H15" s="18"/>
      <c r="I15" s="18"/>
      <c r="J15" s="18"/>
      <c r="K15" s="18"/>
      <c r="L15" s="20" t="s">
        <v>191</v>
      </c>
      <c r="M15" s="18"/>
      <c r="N15" s="6"/>
    </row>
    <row r="16" spans="1:14" ht="15.75">
      <c r="A16" s="8"/>
      <c r="B16" s="17" t="s">
        <v>9</v>
      </c>
      <c r="C16" s="17"/>
      <c r="D16" s="18"/>
      <c r="E16" s="18"/>
      <c r="F16" s="18"/>
      <c r="G16" s="18"/>
      <c r="H16" s="18"/>
      <c r="I16" s="18"/>
      <c r="J16" s="18"/>
      <c r="K16" s="18"/>
      <c r="L16" s="130">
        <v>36724</v>
      </c>
      <c r="M16" s="18"/>
      <c r="N16" s="6"/>
    </row>
    <row r="17" spans="1:14" ht="15.75">
      <c r="A17" s="8"/>
      <c r="B17" s="10"/>
      <c r="C17" s="10"/>
      <c r="D17" s="10"/>
      <c r="E17" s="10"/>
      <c r="F17" s="10"/>
      <c r="G17" s="10"/>
      <c r="H17" s="10"/>
      <c r="I17" s="10"/>
      <c r="J17" s="10"/>
      <c r="K17" s="10"/>
      <c r="L17" s="21"/>
      <c r="M17" s="10"/>
      <c r="N17" s="6"/>
    </row>
    <row r="18" spans="1:14" ht="15.75">
      <c r="A18" s="8"/>
      <c r="B18" s="22" t="s">
        <v>10</v>
      </c>
      <c r="C18" s="10"/>
      <c r="D18" s="10"/>
      <c r="E18" s="10"/>
      <c r="F18" s="10"/>
      <c r="G18" s="10"/>
      <c r="H18" s="10"/>
      <c r="I18" s="10"/>
      <c r="J18" s="21" t="s">
        <v>173</v>
      </c>
      <c r="K18" s="10"/>
      <c r="L18" s="15"/>
      <c r="M18" s="10"/>
      <c r="N18" s="6"/>
    </row>
    <row r="19" spans="1:14" ht="15.75">
      <c r="A19" s="8"/>
      <c r="B19" s="10"/>
      <c r="C19" s="10"/>
      <c r="D19" s="10"/>
      <c r="E19" s="10"/>
      <c r="F19" s="10"/>
      <c r="G19" s="10"/>
      <c r="H19" s="10"/>
      <c r="I19" s="10"/>
      <c r="J19" s="10"/>
      <c r="K19" s="10"/>
      <c r="L19" s="23"/>
      <c r="M19" s="10"/>
      <c r="N19" s="6"/>
    </row>
    <row r="20" spans="1:14" ht="15.75">
      <c r="A20" s="8"/>
      <c r="B20" s="10"/>
      <c r="C20" s="24" t="s">
        <v>139</v>
      </c>
      <c r="D20" s="25" t="s">
        <v>143</v>
      </c>
      <c r="E20" s="25"/>
      <c r="F20" s="25" t="s">
        <v>154</v>
      </c>
      <c r="G20" s="25"/>
      <c r="H20" s="25" t="s">
        <v>164</v>
      </c>
      <c r="I20" s="25"/>
      <c r="J20" s="25" t="s">
        <v>174</v>
      </c>
      <c r="K20" s="137"/>
      <c r="L20" s="137"/>
      <c r="M20" s="10"/>
      <c r="N20" s="6"/>
    </row>
    <row r="21" spans="1:14" ht="15.75">
      <c r="A21" s="26"/>
      <c r="B21" s="27" t="s">
        <v>11</v>
      </c>
      <c r="C21" s="28" t="s">
        <v>140</v>
      </c>
      <c r="D21" s="29" t="s">
        <v>144</v>
      </c>
      <c r="E21" s="29"/>
      <c r="F21" s="29" t="s">
        <v>144</v>
      </c>
      <c r="G21" s="29"/>
      <c r="H21" s="29" t="s">
        <v>165</v>
      </c>
      <c r="I21" s="29"/>
      <c r="J21" s="29" t="s">
        <v>175</v>
      </c>
      <c r="K21" s="30"/>
      <c r="L21" s="30"/>
      <c r="M21" s="27"/>
      <c r="N21" s="6"/>
    </row>
    <row r="22" spans="1:14" ht="15.75">
      <c r="A22" s="131"/>
      <c r="B22" s="31" t="s">
        <v>12</v>
      </c>
      <c r="C22" s="138" t="s">
        <v>165</v>
      </c>
      <c r="D22" s="32" t="s">
        <v>144</v>
      </c>
      <c r="E22" s="32"/>
      <c r="F22" s="32" t="s">
        <v>144</v>
      </c>
      <c r="G22" s="32"/>
      <c r="H22" s="32" t="s">
        <v>165</v>
      </c>
      <c r="I22" s="32"/>
      <c r="J22" s="32" t="s">
        <v>175</v>
      </c>
      <c r="K22" s="33"/>
      <c r="L22" s="33"/>
      <c r="M22" s="27"/>
      <c r="N22" s="6"/>
    </row>
    <row r="23" spans="1:14" ht="15.75">
      <c r="A23" s="26"/>
      <c r="B23" s="27" t="s">
        <v>13</v>
      </c>
      <c r="C23" s="27"/>
      <c r="D23" s="34" t="s">
        <v>145</v>
      </c>
      <c r="E23" s="29"/>
      <c r="F23" s="34" t="s">
        <v>155</v>
      </c>
      <c r="G23" s="29"/>
      <c r="H23" s="34" t="s">
        <v>166</v>
      </c>
      <c r="I23" s="29"/>
      <c r="J23" s="34" t="s">
        <v>176</v>
      </c>
      <c r="K23" s="30"/>
      <c r="L23" s="30"/>
      <c r="M23" s="27"/>
      <c r="N23" s="6"/>
    </row>
    <row r="24" spans="1:14" ht="15.75">
      <c r="A24" s="26"/>
      <c r="B24" s="27"/>
      <c r="C24" s="27"/>
      <c r="D24" s="27"/>
      <c r="E24" s="29"/>
      <c r="F24" s="29"/>
      <c r="G24" s="29"/>
      <c r="H24" s="29"/>
      <c r="I24" s="29"/>
      <c r="J24" s="29"/>
      <c r="K24" s="30"/>
      <c r="L24" s="30"/>
      <c r="M24" s="27"/>
      <c r="N24" s="6"/>
    </row>
    <row r="25" spans="1:14" ht="15.75">
      <c r="A25" s="26"/>
      <c r="B25" s="27" t="s">
        <v>14</v>
      </c>
      <c r="C25" s="27"/>
      <c r="D25" s="35">
        <v>55000</v>
      </c>
      <c r="E25" s="36"/>
      <c r="F25" s="35">
        <v>77000</v>
      </c>
      <c r="G25" s="35"/>
      <c r="H25" s="35">
        <v>33000</v>
      </c>
      <c r="I25" s="35"/>
      <c r="J25" s="35">
        <v>10000</v>
      </c>
      <c r="K25" s="37"/>
      <c r="L25" s="35">
        <f>J25+H25+F25+D25</f>
        <v>175000</v>
      </c>
      <c r="M25" s="38"/>
      <c r="N25" s="6"/>
    </row>
    <row r="26" spans="1:14" ht="15.75">
      <c r="A26" s="26"/>
      <c r="B26" s="27" t="s">
        <v>15</v>
      </c>
      <c r="C26" s="39">
        <v>0.929024</v>
      </c>
      <c r="D26" s="35">
        <v>0</v>
      </c>
      <c r="E26" s="36"/>
      <c r="F26" s="35">
        <f>77000*C26</f>
        <v>71534.848</v>
      </c>
      <c r="G26" s="35"/>
      <c r="H26" s="35">
        <v>33000</v>
      </c>
      <c r="I26" s="35"/>
      <c r="J26" s="35">
        <v>10000</v>
      </c>
      <c r="K26" s="37"/>
      <c r="L26" s="35">
        <f>J26+H26+F26+D26</f>
        <v>114534.848</v>
      </c>
      <c r="M26" s="38"/>
      <c r="N26" s="6"/>
    </row>
    <row r="27" spans="1:14" ht="15.75">
      <c r="A27" s="26"/>
      <c r="B27" s="31" t="s">
        <v>16</v>
      </c>
      <c r="C27" s="39">
        <v>0.834535</v>
      </c>
      <c r="D27" s="40">
        <v>0</v>
      </c>
      <c r="E27" s="41"/>
      <c r="F27" s="40">
        <f>77000*C27</f>
        <v>64259.195</v>
      </c>
      <c r="G27" s="40"/>
      <c r="H27" s="40">
        <v>33000</v>
      </c>
      <c r="I27" s="40"/>
      <c r="J27" s="40">
        <v>10000</v>
      </c>
      <c r="K27" s="42"/>
      <c r="L27" s="40">
        <f>J27+H27+F27+D27</f>
        <v>107259.195</v>
      </c>
      <c r="M27" s="38"/>
      <c r="N27" s="6"/>
    </row>
    <row r="28" spans="1:14" ht="15.75">
      <c r="A28" s="26"/>
      <c r="B28" s="27" t="s">
        <v>17</v>
      </c>
      <c r="C28" s="27"/>
      <c r="D28" s="34" t="s">
        <v>146</v>
      </c>
      <c r="E28" s="27"/>
      <c r="F28" s="34" t="s">
        <v>156</v>
      </c>
      <c r="G28" s="34"/>
      <c r="H28" s="34" t="s">
        <v>167</v>
      </c>
      <c r="I28" s="34"/>
      <c r="J28" s="34" t="s">
        <v>177</v>
      </c>
      <c r="K28" s="30"/>
      <c r="L28" s="30"/>
      <c r="M28" s="27"/>
      <c r="N28" s="6"/>
    </row>
    <row r="29" spans="1:14" ht="15.75">
      <c r="A29" s="26"/>
      <c r="B29" s="27" t="s">
        <v>18</v>
      </c>
      <c r="C29" s="27"/>
      <c r="D29" s="45"/>
      <c r="E29" s="27"/>
      <c r="F29" s="45">
        <v>0.0643125</v>
      </c>
      <c r="G29" s="46"/>
      <c r="H29" s="45">
        <v>0.0665125</v>
      </c>
      <c r="I29" s="46"/>
      <c r="J29" s="45">
        <v>0.0717125</v>
      </c>
      <c r="K29" s="30"/>
      <c r="L29" s="46">
        <f>SUMPRODUCT(D29:J29,D26:J26)/L26</f>
        <v>0.06559245979005446</v>
      </c>
      <c r="M29" s="27"/>
      <c r="N29" s="6"/>
    </row>
    <row r="30" spans="1:14" ht="15.75">
      <c r="A30" s="26"/>
      <c r="B30" s="27" t="s">
        <v>19</v>
      </c>
      <c r="C30" s="27"/>
      <c r="D30" s="45">
        <v>0.0617844</v>
      </c>
      <c r="E30" s="27"/>
      <c r="F30" s="45">
        <v>0.0625844</v>
      </c>
      <c r="G30" s="46"/>
      <c r="H30" s="45">
        <v>0.0647844</v>
      </c>
      <c r="I30" s="46"/>
      <c r="J30" s="45">
        <v>0.0699844</v>
      </c>
      <c r="K30" s="30"/>
      <c r="L30" s="30"/>
      <c r="M30" s="27"/>
      <c r="N30" s="6"/>
    </row>
    <row r="31" spans="1:14" ht="15.75">
      <c r="A31" s="26"/>
      <c r="B31" s="27" t="s">
        <v>20</v>
      </c>
      <c r="C31" s="27"/>
      <c r="D31" s="34" t="s">
        <v>147</v>
      </c>
      <c r="E31" s="27"/>
      <c r="F31" s="34" t="s">
        <v>157</v>
      </c>
      <c r="G31" s="34"/>
      <c r="H31" s="34" t="s">
        <v>157</v>
      </c>
      <c r="I31" s="34"/>
      <c r="J31" s="34" t="s">
        <v>157</v>
      </c>
      <c r="K31" s="30"/>
      <c r="L31" s="30"/>
      <c r="M31" s="27"/>
      <c r="N31" s="6"/>
    </row>
    <row r="32" spans="1:14" ht="15.75">
      <c r="A32" s="26"/>
      <c r="B32" s="27" t="s">
        <v>21</v>
      </c>
      <c r="C32" s="27"/>
      <c r="D32" s="34" t="s">
        <v>148</v>
      </c>
      <c r="E32" s="27"/>
      <c r="F32" s="34" t="s">
        <v>158</v>
      </c>
      <c r="G32" s="34"/>
      <c r="H32" s="34" t="s">
        <v>158</v>
      </c>
      <c r="I32" s="34"/>
      <c r="J32" s="34" t="s">
        <v>158</v>
      </c>
      <c r="K32" s="30"/>
      <c r="L32" s="30"/>
      <c r="M32" s="27"/>
      <c r="N32" s="6"/>
    </row>
    <row r="33" spans="1:14" ht="15.75">
      <c r="A33" s="26"/>
      <c r="B33" s="27" t="s">
        <v>22</v>
      </c>
      <c r="C33" s="27"/>
      <c r="D33" s="34" t="s">
        <v>149</v>
      </c>
      <c r="E33" s="27"/>
      <c r="F33" s="34" t="s">
        <v>159</v>
      </c>
      <c r="G33" s="34"/>
      <c r="H33" s="34" t="s">
        <v>168</v>
      </c>
      <c r="I33" s="34"/>
      <c r="J33" s="34" t="s">
        <v>178</v>
      </c>
      <c r="K33" s="30"/>
      <c r="L33" s="30"/>
      <c r="M33" s="27"/>
      <c r="N33" s="6"/>
    </row>
    <row r="34" spans="1:14" ht="15.75">
      <c r="A34" s="26"/>
      <c r="B34" s="27"/>
      <c r="C34" s="27"/>
      <c r="D34" s="47"/>
      <c r="E34" s="47"/>
      <c r="F34" s="27"/>
      <c r="G34" s="47"/>
      <c r="H34" s="47"/>
      <c r="I34" s="47"/>
      <c r="J34" s="47"/>
      <c r="K34" s="47"/>
      <c r="L34" s="47"/>
      <c r="M34" s="27"/>
      <c r="N34" s="6"/>
    </row>
    <row r="35" spans="1:14" ht="15.75">
      <c r="A35" s="26"/>
      <c r="B35" s="27" t="s">
        <v>23</v>
      </c>
      <c r="C35" s="27"/>
      <c r="D35" s="27"/>
      <c r="E35" s="27"/>
      <c r="F35" s="27"/>
      <c r="G35" s="27"/>
      <c r="H35" s="27"/>
      <c r="I35" s="27"/>
      <c r="J35" s="27"/>
      <c r="K35" s="27"/>
      <c r="L35" s="46">
        <f>(H25+J25)/(D25+F25)</f>
        <v>0.32575757575757575</v>
      </c>
      <c r="M35" s="27"/>
      <c r="N35" s="6"/>
    </row>
    <row r="36" spans="1:14" ht="15.75">
      <c r="A36" s="26"/>
      <c r="B36" s="27" t="s">
        <v>24</v>
      </c>
      <c r="C36" s="133"/>
      <c r="D36" s="27"/>
      <c r="E36" s="27"/>
      <c r="F36" s="27"/>
      <c r="G36" s="27"/>
      <c r="H36" s="27"/>
      <c r="I36" s="27"/>
      <c r="J36" s="27"/>
      <c r="K36" s="27"/>
      <c r="L36" s="46">
        <f>(H27+J27)/(D27+F27)</f>
        <v>0.6691649342946173</v>
      </c>
      <c r="M36" s="27"/>
      <c r="N36" s="6"/>
    </row>
    <row r="37" spans="1:14" ht="15.75">
      <c r="A37" s="26"/>
      <c r="B37" s="27" t="s">
        <v>25</v>
      </c>
      <c r="C37" s="133"/>
      <c r="D37" s="27"/>
      <c r="E37" s="27"/>
      <c r="F37" s="27"/>
      <c r="G37" s="27"/>
      <c r="H37" s="27"/>
      <c r="I37" s="27"/>
      <c r="J37" s="34" t="s">
        <v>179</v>
      </c>
      <c r="K37" s="34" t="s">
        <v>188</v>
      </c>
      <c r="L37" s="35">
        <v>44500000</v>
      </c>
      <c r="M37" s="27"/>
      <c r="N37" s="6"/>
    </row>
    <row r="38" spans="1:14" ht="15.75">
      <c r="A38" s="26"/>
      <c r="B38" s="27"/>
      <c r="C38" s="133"/>
      <c r="D38" s="27"/>
      <c r="E38" s="27"/>
      <c r="F38" s="27"/>
      <c r="G38" s="27"/>
      <c r="H38" s="27"/>
      <c r="I38" s="27"/>
      <c r="J38" s="27"/>
      <c r="K38" s="27"/>
      <c r="L38" s="48"/>
      <c r="M38" s="27"/>
      <c r="N38" s="6"/>
    </row>
    <row r="39" spans="1:14" ht="15.75">
      <c r="A39" s="26"/>
      <c r="B39" s="27" t="s">
        <v>26</v>
      </c>
      <c r="C39" s="133"/>
      <c r="D39" s="27"/>
      <c r="E39" s="27"/>
      <c r="F39" s="27"/>
      <c r="G39" s="27"/>
      <c r="H39" s="27"/>
      <c r="I39" s="27"/>
      <c r="J39" s="34"/>
      <c r="K39" s="34"/>
      <c r="L39" s="34" t="s">
        <v>193</v>
      </c>
      <c r="M39" s="27"/>
      <c r="N39" s="6"/>
    </row>
    <row r="40" spans="1:14" ht="15.75">
      <c r="A40" s="131"/>
      <c r="B40" s="31" t="s">
        <v>27</v>
      </c>
      <c r="C40" s="31"/>
      <c r="D40" s="31"/>
      <c r="E40" s="31"/>
      <c r="F40" s="31"/>
      <c r="G40" s="31"/>
      <c r="H40" s="31"/>
      <c r="I40" s="31"/>
      <c r="J40" s="49"/>
      <c r="K40" s="49"/>
      <c r="L40" s="50">
        <v>36707</v>
      </c>
      <c r="M40" s="31"/>
      <c r="N40" s="6"/>
    </row>
    <row r="41" spans="1:14" ht="15.75">
      <c r="A41" s="26"/>
      <c r="B41" s="27" t="s">
        <v>28</v>
      </c>
      <c r="C41" s="27"/>
      <c r="D41" s="27"/>
      <c r="E41" s="27"/>
      <c r="F41" s="27"/>
      <c r="G41" s="27"/>
      <c r="H41" s="27"/>
      <c r="I41" s="27">
        <f>L41-J41+1</f>
        <v>92</v>
      </c>
      <c r="J41" s="51">
        <v>36524</v>
      </c>
      <c r="K41" s="52"/>
      <c r="L41" s="51">
        <v>36615</v>
      </c>
      <c r="M41" s="27"/>
      <c r="N41" s="6"/>
    </row>
    <row r="42" spans="1:14" ht="15.75">
      <c r="A42" s="26"/>
      <c r="B42" s="27" t="s">
        <v>29</v>
      </c>
      <c r="C42" s="27"/>
      <c r="D42" s="27"/>
      <c r="E42" s="27"/>
      <c r="F42" s="27"/>
      <c r="G42" s="27"/>
      <c r="H42" s="27"/>
      <c r="I42" s="27">
        <f>L42-J42+1</f>
        <v>91</v>
      </c>
      <c r="J42" s="51">
        <v>36616</v>
      </c>
      <c r="K42" s="52"/>
      <c r="L42" s="51">
        <v>36706</v>
      </c>
      <c r="M42" s="27"/>
      <c r="N42" s="6"/>
    </row>
    <row r="43" spans="1:14" ht="15.75">
      <c r="A43" s="26"/>
      <c r="B43" s="27" t="s">
        <v>30</v>
      </c>
      <c r="C43" s="27"/>
      <c r="D43" s="27"/>
      <c r="E43" s="27"/>
      <c r="F43" s="27"/>
      <c r="G43" s="27"/>
      <c r="H43" s="27"/>
      <c r="I43" s="27"/>
      <c r="J43" s="51"/>
      <c r="K43" s="52"/>
      <c r="L43" s="51" t="s">
        <v>205</v>
      </c>
      <c r="M43" s="27"/>
      <c r="N43" s="6"/>
    </row>
    <row r="44" spans="1:14" ht="15.75">
      <c r="A44" s="26"/>
      <c r="B44" s="27" t="s">
        <v>31</v>
      </c>
      <c r="C44" s="27"/>
      <c r="D44" s="27"/>
      <c r="E44" s="27"/>
      <c r="F44" s="27"/>
      <c r="G44" s="27"/>
      <c r="H44" s="27"/>
      <c r="I44" s="27"/>
      <c r="J44" s="51"/>
      <c r="K44" s="52"/>
      <c r="L44" s="51">
        <v>36698</v>
      </c>
      <c r="M44" s="27"/>
      <c r="N44" s="6"/>
    </row>
    <row r="45" spans="1:14" ht="15.75">
      <c r="A45" s="26"/>
      <c r="B45" s="27"/>
      <c r="C45" s="27"/>
      <c r="D45" s="27"/>
      <c r="E45" s="27"/>
      <c r="F45" s="27"/>
      <c r="G45" s="27"/>
      <c r="H45" s="27"/>
      <c r="I45" s="27"/>
      <c r="J45" s="27"/>
      <c r="K45" s="27"/>
      <c r="L45" s="53"/>
      <c r="M45" s="27"/>
      <c r="N45" s="6"/>
    </row>
    <row r="46" spans="1:14" ht="15.75">
      <c r="A46" s="8"/>
      <c r="B46" s="10"/>
      <c r="C46" s="10"/>
      <c r="D46" s="10"/>
      <c r="E46" s="10"/>
      <c r="F46" s="10"/>
      <c r="G46" s="10"/>
      <c r="H46" s="10"/>
      <c r="I46" s="10"/>
      <c r="J46" s="10"/>
      <c r="K46" s="10"/>
      <c r="L46" s="58"/>
      <c r="M46" s="10"/>
      <c r="N46" s="6"/>
    </row>
    <row r="47" spans="1:14" ht="15.75">
      <c r="A47" s="2"/>
      <c r="B47" s="55" t="s">
        <v>32</v>
      </c>
      <c r="C47" s="56"/>
      <c r="D47" s="5"/>
      <c r="E47" s="5"/>
      <c r="F47" s="5"/>
      <c r="G47" s="5"/>
      <c r="H47" s="5"/>
      <c r="I47" s="5"/>
      <c r="J47" s="5"/>
      <c r="K47" s="5"/>
      <c r="L47" s="57"/>
      <c r="M47" s="5"/>
      <c r="N47" s="6"/>
    </row>
    <row r="48" spans="1:14" ht="15.75">
      <c r="A48" s="8"/>
      <c r="B48" s="16"/>
      <c r="C48" s="16"/>
      <c r="D48" s="10"/>
      <c r="E48" s="10"/>
      <c r="F48" s="10"/>
      <c r="G48" s="10"/>
      <c r="H48" s="10"/>
      <c r="I48" s="10"/>
      <c r="J48" s="10"/>
      <c r="K48" s="10"/>
      <c r="L48" s="58"/>
      <c r="M48" s="10"/>
      <c r="N48" s="6"/>
    </row>
    <row r="49" spans="1:14" ht="63">
      <c r="A49" s="8"/>
      <c r="B49" s="59" t="s">
        <v>33</v>
      </c>
      <c r="C49" s="60" t="s">
        <v>141</v>
      </c>
      <c r="D49" s="60" t="s">
        <v>150</v>
      </c>
      <c r="E49" s="60"/>
      <c r="F49" s="60" t="s">
        <v>160</v>
      </c>
      <c r="G49" s="60"/>
      <c r="H49" s="60" t="s">
        <v>169</v>
      </c>
      <c r="I49" s="60"/>
      <c r="J49" s="60" t="s">
        <v>180</v>
      </c>
      <c r="K49" s="60"/>
      <c r="L49" s="61" t="s">
        <v>195</v>
      </c>
      <c r="M49" s="12"/>
      <c r="N49" s="6"/>
    </row>
    <row r="50" spans="1:14" ht="15.75">
      <c r="A50" s="26"/>
      <c r="B50" s="27" t="s">
        <v>34</v>
      </c>
      <c r="C50" s="38">
        <v>165784</v>
      </c>
      <c r="D50" s="62">
        <v>115781</v>
      </c>
      <c r="E50" s="38"/>
      <c r="F50" s="38">
        <f>5917+379</f>
        <v>6296</v>
      </c>
      <c r="G50" s="38"/>
      <c r="H50" s="38">
        <v>0</v>
      </c>
      <c r="I50" s="38"/>
      <c r="J50" s="38">
        <v>0</v>
      </c>
      <c r="K50" s="38"/>
      <c r="L50" s="62">
        <f>D50-F50+H50-J50</f>
        <v>109485</v>
      </c>
      <c r="M50" s="27"/>
      <c r="N50" s="6"/>
    </row>
    <row r="51" spans="1:14" ht="15.75">
      <c r="A51" s="26"/>
      <c r="B51" s="27" t="s">
        <v>35</v>
      </c>
      <c r="C51" s="38">
        <v>19105</v>
      </c>
      <c r="D51" s="62">
        <v>6808</v>
      </c>
      <c r="E51" s="38"/>
      <c r="F51" s="38">
        <v>752</v>
      </c>
      <c r="G51" s="38"/>
      <c r="H51" s="38">
        <v>0</v>
      </c>
      <c r="I51" s="38"/>
      <c r="J51" s="38">
        <v>0</v>
      </c>
      <c r="K51" s="38"/>
      <c r="L51" s="62">
        <f>D51-F51</f>
        <v>6056</v>
      </c>
      <c r="M51" s="27"/>
      <c r="N51" s="6"/>
    </row>
    <row r="52" spans="1:14" ht="15.75">
      <c r="A52" s="26"/>
      <c r="B52" s="27"/>
      <c r="C52" s="38"/>
      <c r="D52" s="62"/>
      <c r="E52" s="38"/>
      <c r="F52" s="38"/>
      <c r="G52" s="38"/>
      <c r="H52" s="38"/>
      <c r="I52" s="38"/>
      <c r="J52" s="38"/>
      <c r="K52" s="38"/>
      <c r="L52" s="62"/>
      <c r="M52" s="27"/>
      <c r="N52" s="6"/>
    </row>
    <row r="53" spans="1:14" ht="15.75">
      <c r="A53" s="26"/>
      <c r="B53" s="27" t="s">
        <v>36</v>
      </c>
      <c r="C53" s="38">
        <f>SUM(C50:C52)</f>
        <v>184889</v>
      </c>
      <c r="D53" s="63">
        <v>122589</v>
      </c>
      <c r="E53" s="38"/>
      <c r="F53" s="38">
        <f>SUM(F50:F52)</f>
        <v>7048</v>
      </c>
      <c r="G53" s="38"/>
      <c r="H53" s="38">
        <f>SUM(H50:H52)</f>
        <v>0</v>
      </c>
      <c r="I53" s="38"/>
      <c r="J53" s="38">
        <f>SUM(J50:J52)</f>
        <v>0</v>
      </c>
      <c r="K53" s="38"/>
      <c r="L53" s="63">
        <f>SUM(L50:L52)</f>
        <v>115541</v>
      </c>
      <c r="M53" s="27"/>
      <c r="N53" s="6"/>
    </row>
    <row r="54" spans="1:14" ht="15.75">
      <c r="A54" s="26"/>
      <c r="B54" s="27"/>
      <c r="C54" s="38"/>
      <c r="D54" s="63"/>
      <c r="E54" s="38"/>
      <c r="F54" s="38"/>
      <c r="G54" s="38"/>
      <c r="H54" s="38"/>
      <c r="I54" s="38"/>
      <c r="J54" s="38"/>
      <c r="K54" s="38"/>
      <c r="L54" s="63"/>
      <c r="M54" s="27"/>
      <c r="N54" s="6"/>
    </row>
    <row r="55" spans="1:14" ht="15.75">
      <c r="A55" s="8"/>
      <c r="B55" s="12" t="s">
        <v>37</v>
      </c>
      <c r="C55" s="64"/>
      <c r="D55" s="65"/>
      <c r="E55" s="64"/>
      <c r="F55" s="64"/>
      <c r="G55" s="64"/>
      <c r="H55" s="64"/>
      <c r="I55" s="64"/>
      <c r="J55" s="64"/>
      <c r="K55" s="64"/>
      <c r="L55" s="65"/>
      <c r="M55" s="10"/>
      <c r="N55" s="6"/>
    </row>
    <row r="56" spans="1:14" ht="15.75">
      <c r="A56" s="8"/>
      <c r="B56" s="10"/>
      <c r="C56" s="64"/>
      <c r="D56" s="65"/>
      <c r="E56" s="64"/>
      <c r="F56" s="64"/>
      <c r="G56" s="64"/>
      <c r="H56" s="64"/>
      <c r="I56" s="64"/>
      <c r="J56" s="64"/>
      <c r="K56" s="64"/>
      <c r="L56" s="65"/>
      <c r="M56" s="10"/>
      <c r="N56" s="6"/>
    </row>
    <row r="57" spans="1:14" ht="15.75">
      <c r="A57" s="26"/>
      <c r="B57" s="27" t="s">
        <v>34</v>
      </c>
      <c r="C57" s="38"/>
      <c r="D57" s="63"/>
      <c r="E57" s="38"/>
      <c r="F57" s="38"/>
      <c r="G57" s="38"/>
      <c r="H57" s="38"/>
      <c r="I57" s="38"/>
      <c r="J57" s="38"/>
      <c r="K57" s="38"/>
      <c r="L57" s="63"/>
      <c r="M57" s="27"/>
      <c r="N57" s="6"/>
    </row>
    <row r="58" spans="1:14" ht="15.75">
      <c r="A58" s="26"/>
      <c r="B58" s="27" t="s">
        <v>35</v>
      </c>
      <c r="C58" s="38"/>
      <c r="D58" s="63"/>
      <c r="E58" s="38"/>
      <c r="F58" s="38"/>
      <c r="G58" s="38"/>
      <c r="H58" s="38"/>
      <c r="I58" s="38"/>
      <c r="J58" s="38"/>
      <c r="K58" s="38"/>
      <c r="L58" s="63"/>
      <c r="M58" s="27"/>
      <c r="N58" s="6"/>
    </row>
    <row r="59" spans="1:14" ht="15.75">
      <c r="A59" s="26"/>
      <c r="B59" s="27"/>
      <c r="C59" s="38"/>
      <c r="D59" s="63"/>
      <c r="E59" s="38"/>
      <c r="F59" s="38"/>
      <c r="G59" s="38"/>
      <c r="H59" s="38"/>
      <c r="I59" s="38"/>
      <c r="J59" s="38"/>
      <c r="K59" s="38"/>
      <c r="L59" s="63"/>
      <c r="M59" s="27"/>
      <c r="N59" s="6"/>
    </row>
    <row r="60" spans="1:14" ht="15.75">
      <c r="A60" s="26"/>
      <c r="B60" s="27" t="s">
        <v>36</v>
      </c>
      <c r="C60" s="38"/>
      <c r="D60" s="38"/>
      <c r="E60" s="38"/>
      <c r="F60" s="38"/>
      <c r="G60" s="38"/>
      <c r="H60" s="38"/>
      <c r="I60" s="38"/>
      <c r="J60" s="38"/>
      <c r="K60" s="38"/>
      <c r="L60" s="38"/>
      <c r="M60" s="27"/>
      <c r="N60" s="6"/>
    </row>
    <row r="61" spans="1:14" ht="15.75">
      <c r="A61" s="26"/>
      <c r="B61" s="27"/>
      <c r="C61" s="38"/>
      <c r="D61" s="38"/>
      <c r="E61" s="38"/>
      <c r="F61" s="38"/>
      <c r="G61" s="38"/>
      <c r="H61" s="38"/>
      <c r="I61" s="38"/>
      <c r="J61" s="38"/>
      <c r="K61" s="38"/>
      <c r="L61" s="38"/>
      <c r="M61" s="27"/>
      <c r="N61" s="6"/>
    </row>
    <row r="62" spans="1:14" ht="15.75">
      <c r="A62" s="26"/>
      <c r="B62" s="27" t="s">
        <v>38</v>
      </c>
      <c r="C62" s="38">
        <v>-9889</v>
      </c>
      <c r="D62" s="62">
        <v>-9889</v>
      </c>
      <c r="E62" s="38"/>
      <c r="F62" s="38"/>
      <c r="G62" s="38"/>
      <c r="H62" s="38"/>
      <c r="I62" s="38"/>
      <c r="J62" s="38"/>
      <c r="K62" s="38"/>
      <c r="L62" s="62">
        <f>D62-F62+H62-J62</f>
        <v>-9889</v>
      </c>
      <c r="M62" s="27"/>
      <c r="N62" s="6"/>
    </row>
    <row r="63" spans="1:14" ht="15.75">
      <c r="A63" s="26"/>
      <c r="B63" s="27" t="s">
        <v>39</v>
      </c>
      <c r="C63" s="38">
        <v>0</v>
      </c>
      <c r="D63" s="63">
        <v>0</v>
      </c>
      <c r="E63" s="38"/>
      <c r="F63" s="38"/>
      <c r="G63" s="38"/>
      <c r="H63" s="38"/>
      <c r="I63" s="38"/>
      <c r="J63" s="38"/>
      <c r="K63" s="38"/>
      <c r="L63" s="63">
        <v>0</v>
      </c>
      <c r="M63" s="27"/>
      <c r="N63" s="6"/>
    </row>
    <row r="64" spans="1:14" ht="15.75">
      <c r="A64" s="26"/>
      <c r="B64" s="27" t="s">
        <v>40</v>
      </c>
      <c r="C64" s="38">
        <v>0</v>
      </c>
      <c r="D64" s="63">
        <v>1835</v>
      </c>
      <c r="E64" s="38"/>
      <c r="F64" s="38"/>
      <c r="G64" s="38"/>
      <c r="H64" s="38"/>
      <c r="I64" s="38"/>
      <c r="J64" s="38"/>
      <c r="K64" s="38"/>
      <c r="L64" s="63">
        <v>1607</v>
      </c>
      <c r="M64" s="27"/>
      <c r="N64" s="6"/>
    </row>
    <row r="65" spans="1:14" ht="15.75">
      <c r="A65" s="26"/>
      <c r="B65" s="27" t="s">
        <v>41</v>
      </c>
      <c r="C65" s="63">
        <f>SUM(C53:C64)</f>
        <v>175000</v>
      </c>
      <c r="D65" s="63">
        <f>SUM(D53:D64)</f>
        <v>114535</v>
      </c>
      <c r="E65" s="38"/>
      <c r="F65" s="63"/>
      <c r="G65" s="38"/>
      <c r="H65" s="63"/>
      <c r="I65" s="38"/>
      <c r="J65" s="63"/>
      <c r="K65" s="38"/>
      <c r="L65" s="63">
        <f>SUM(L53:L64)</f>
        <v>107259</v>
      </c>
      <c r="M65" s="27"/>
      <c r="N65" s="6"/>
    </row>
    <row r="66" spans="1:14" ht="15.75">
      <c r="A66" s="26"/>
      <c r="B66" s="27"/>
      <c r="C66" s="38"/>
      <c r="D66" s="38"/>
      <c r="E66" s="38"/>
      <c r="F66" s="38"/>
      <c r="G66" s="38"/>
      <c r="H66" s="38"/>
      <c r="I66" s="38"/>
      <c r="J66" s="38"/>
      <c r="K66" s="38"/>
      <c r="L66" s="63"/>
      <c r="M66" s="27"/>
      <c r="N66" s="6"/>
    </row>
    <row r="67" spans="1:14" ht="15.75">
      <c r="A67" s="8"/>
      <c r="B67" s="10"/>
      <c r="C67" s="10"/>
      <c r="D67" s="10"/>
      <c r="E67" s="10"/>
      <c r="F67" s="10"/>
      <c r="G67" s="10"/>
      <c r="H67" s="10"/>
      <c r="I67" s="10"/>
      <c r="J67" s="10"/>
      <c r="K67" s="10"/>
      <c r="L67" s="10"/>
      <c r="M67" s="10"/>
      <c r="N67" s="6"/>
    </row>
    <row r="68" spans="1:14" ht="15.75">
      <c r="A68" s="8"/>
      <c r="B68" s="67" t="s">
        <v>42</v>
      </c>
      <c r="C68" s="17"/>
      <c r="D68" s="17"/>
      <c r="E68" s="17"/>
      <c r="F68" s="17"/>
      <c r="G68" s="17"/>
      <c r="H68" s="17"/>
      <c r="I68" s="20"/>
      <c r="J68" s="20" t="s">
        <v>181</v>
      </c>
      <c r="K68" s="20"/>
      <c r="L68" s="20" t="s">
        <v>196</v>
      </c>
      <c r="M68" s="17"/>
      <c r="N68" s="6"/>
    </row>
    <row r="69" spans="1:14" ht="15.75">
      <c r="A69" s="26"/>
      <c r="B69" s="27" t="s">
        <v>43</v>
      </c>
      <c r="C69" s="27"/>
      <c r="D69" s="27"/>
      <c r="E69" s="27"/>
      <c r="F69" s="27"/>
      <c r="G69" s="27"/>
      <c r="H69" s="27"/>
      <c r="I69" s="27"/>
      <c r="J69" s="38">
        <v>0</v>
      </c>
      <c r="K69" s="27"/>
      <c r="L69" s="62">
        <v>0</v>
      </c>
      <c r="M69" s="27"/>
      <c r="N69" s="6"/>
    </row>
    <row r="70" spans="1:14" ht="15.75">
      <c r="A70" s="26"/>
      <c r="B70" s="27" t="s">
        <v>44</v>
      </c>
      <c r="C70" s="47" t="s">
        <v>142</v>
      </c>
      <c r="D70" s="68">
        <f>L44</f>
        <v>36698</v>
      </c>
      <c r="E70" s="27"/>
      <c r="F70" s="27"/>
      <c r="G70" s="27"/>
      <c r="H70" s="27"/>
      <c r="I70" s="27"/>
      <c r="J70" s="38">
        <f>6296-379+607</f>
        <v>6524</v>
      </c>
      <c r="K70" s="27"/>
      <c r="L70" s="62"/>
      <c r="M70" s="27"/>
      <c r="N70" s="6"/>
    </row>
    <row r="71" spans="1:14" ht="15.75">
      <c r="A71" s="26"/>
      <c r="B71" s="27" t="s">
        <v>45</v>
      </c>
      <c r="C71" s="27"/>
      <c r="D71" s="27"/>
      <c r="E71" s="27"/>
      <c r="F71" s="27"/>
      <c r="G71" s="27"/>
      <c r="H71" s="27"/>
      <c r="I71" s="27"/>
      <c r="J71" s="38"/>
      <c r="K71" s="27"/>
      <c r="L71" s="62">
        <f>2715+940+74+446-448+123</f>
        <v>3850</v>
      </c>
      <c r="M71" s="27"/>
      <c r="N71" s="6"/>
    </row>
    <row r="72" spans="1:14" ht="15.75">
      <c r="A72" s="26"/>
      <c r="B72" s="27" t="s">
        <v>46</v>
      </c>
      <c r="C72" s="27"/>
      <c r="D72" s="27"/>
      <c r="E72" s="27"/>
      <c r="F72" s="27"/>
      <c r="G72" s="27"/>
      <c r="H72" s="27"/>
      <c r="I72" s="27"/>
      <c r="J72" s="38"/>
      <c r="K72" s="27"/>
      <c r="L72" s="62"/>
      <c r="M72" s="27"/>
      <c r="N72" s="6"/>
    </row>
    <row r="73" spans="1:14" ht="15.75">
      <c r="A73" s="26"/>
      <c r="B73" s="27" t="s">
        <v>47</v>
      </c>
      <c r="C73" s="27"/>
      <c r="D73" s="27"/>
      <c r="E73" s="27"/>
      <c r="F73" s="27"/>
      <c r="G73" s="27"/>
      <c r="H73" s="27"/>
      <c r="I73" s="27"/>
      <c r="J73" s="38">
        <f>SUM(J69:J72)</f>
        <v>6524</v>
      </c>
      <c r="K73" s="27"/>
      <c r="L73" s="63">
        <f>SUM(L69:L72)</f>
        <v>3850</v>
      </c>
      <c r="M73" s="27"/>
      <c r="N73" s="6"/>
    </row>
    <row r="74" spans="1:14" ht="15.75">
      <c r="A74" s="26"/>
      <c r="B74" s="27" t="s">
        <v>48</v>
      </c>
      <c r="C74" s="27"/>
      <c r="D74" s="27"/>
      <c r="E74" s="27"/>
      <c r="F74" s="27"/>
      <c r="G74" s="27"/>
      <c r="H74" s="27"/>
      <c r="I74" s="27"/>
      <c r="J74" s="38">
        <f>-L74</f>
        <v>752</v>
      </c>
      <c r="K74" s="27"/>
      <c r="L74" s="62">
        <f>-F51</f>
        <v>-752</v>
      </c>
      <c r="M74" s="27"/>
      <c r="N74" s="6"/>
    </row>
    <row r="75" spans="1:14" ht="15.75">
      <c r="A75" s="26"/>
      <c r="B75" s="27" t="s">
        <v>49</v>
      </c>
      <c r="C75" s="27"/>
      <c r="D75" s="27"/>
      <c r="E75" s="27"/>
      <c r="F75" s="27"/>
      <c r="G75" s="27"/>
      <c r="H75" s="27"/>
      <c r="I75" s="27"/>
      <c r="J75" s="38">
        <f>J73+J74</f>
        <v>7276</v>
      </c>
      <c r="K75" s="27"/>
      <c r="L75" s="63">
        <f>L73+L74</f>
        <v>3098</v>
      </c>
      <c r="M75" s="27"/>
      <c r="N75" s="6"/>
    </row>
    <row r="76" spans="1:14" ht="15.75">
      <c r="A76" s="26"/>
      <c r="B76" s="69" t="s">
        <v>50</v>
      </c>
      <c r="C76" s="70"/>
      <c r="D76" s="27"/>
      <c r="E76" s="27"/>
      <c r="F76" s="27"/>
      <c r="G76" s="27"/>
      <c r="H76" s="27"/>
      <c r="I76" s="27"/>
      <c r="J76" s="38"/>
      <c r="K76" s="27"/>
      <c r="L76" s="62"/>
      <c r="M76" s="27"/>
      <c r="N76" s="6"/>
    </row>
    <row r="77" spans="1:14" ht="15.75">
      <c r="A77" s="26">
        <v>1</v>
      </c>
      <c r="B77" s="27" t="s">
        <v>51</v>
      </c>
      <c r="C77" s="27"/>
      <c r="D77" s="27"/>
      <c r="E77" s="27"/>
      <c r="F77" s="27"/>
      <c r="G77" s="27"/>
      <c r="H77" s="27"/>
      <c r="I77" s="27"/>
      <c r="J77" s="27"/>
      <c r="K77" s="27"/>
      <c r="L77" s="62">
        <v>0</v>
      </c>
      <c r="M77" s="27"/>
      <c r="N77" s="6"/>
    </row>
    <row r="78" spans="1:14" ht="15.75">
      <c r="A78" s="26">
        <v>2</v>
      </c>
      <c r="B78" s="27" t="s">
        <v>52</v>
      </c>
      <c r="C78" s="27"/>
      <c r="D78" s="27"/>
      <c r="E78" s="27"/>
      <c r="F78" s="27"/>
      <c r="G78" s="27"/>
      <c r="H78" s="27"/>
      <c r="I78" s="27"/>
      <c r="J78" s="27"/>
      <c r="K78" s="27"/>
      <c r="L78" s="62">
        <v>-4</v>
      </c>
      <c r="M78" s="27"/>
      <c r="N78" s="6"/>
    </row>
    <row r="79" spans="1:14" ht="15.75">
      <c r="A79" s="26">
        <v>3</v>
      </c>
      <c r="B79" s="27" t="s">
        <v>53</v>
      </c>
      <c r="C79" s="27"/>
      <c r="D79" s="27"/>
      <c r="E79" s="27"/>
      <c r="F79" s="27"/>
      <c r="G79" s="27"/>
      <c r="H79" s="27"/>
      <c r="I79" s="27"/>
      <c r="J79" s="27"/>
      <c r="K79" s="27"/>
      <c r="L79" s="62">
        <v>-171</v>
      </c>
      <c r="M79" s="27"/>
      <c r="N79" s="6"/>
    </row>
    <row r="80" spans="1:14" ht="15.75">
      <c r="A80" s="26">
        <v>4</v>
      </c>
      <c r="B80" s="27" t="s">
        <v>54</v>
      </c>
      <c r="C80" s="27"/>
      <c r="D80" s="27"/>
      <c r="E80" s="27"/>
      <c r="F80" s="27"/>
      <c r="G80" s="27"/>
      <c r="H80" s="27"/>
      <c r="I80" s="27"/>
      <c r="J80" s="27"/>
      <c r="K80" s="27"/>
      <c r="L80" s="62">
        <v>-43</v>
      </c>
      <c r="M80" s="27"/>
      <c r="N80" s="6"/>
    </row>
    <row r="81" spans="1:14" ht="15.75">
      <c r="A81" s="26">
        <v>5</v>
      </c>
      <c r="B81" s="27" t="s">
        <v>55</v>
      </c>
      <c r="C81" s="27"/>
      <c r="D81" s="27"/>
      <c r="E81" s="27"/>
      <c r="F81" s="27"/>
      <c r="G81" s="27"/>
      <c r="H81" s="27"/>
      <c r="I81" s="27"/>
      <c r="J81" s="27"/>
      <c r="K81" s="27"/>
      <c r="L81" s="62">
        <v>-1144</v>
      </c>
      <c r="M81" s="27"/>
      <c r="N81" s="6"/>
    </row>
    <row r="82" spans="1:14" ht="15.75">
      <c r="A82" s="26">
        <v>6</v>
      </c>
      <c r="B82" s="27" t="s">
        <v>56</v>
      </c>
      <c r="C82" s="27"/>
      <c r="D82" s="27"/>
      <c r="E82" s="27"/>
      <c r="F82" s="27"/>
      <c r="G82" s="27"/>
      <c r="H82" s="27"/>
      <c r="I82" s="27"/>
      <c r="J82" s="27"/>
      <c r="K82" s="27"/>
      <c r="L82" s="62">
        <v>-3</v>
      </c>
      <c r="M82" s="27"/>
      <c r="N82" s="6"/>
    </row>
    <row r="83" spans="1:14" ht="15.75">
      <c r="A83" s="26">
        <v>7</v>
      </c>
      <c r="B83" s="27" t="s">
        <v>57</v>
      </c>
      <c r="C83" s="27"/>
      <c r="D83" s="27"/>
      <c r="E83" s="27"/>
      <c r="F83" s="27"/>
      <c r="G83" s="27"/>
      <c r="H83" s="27"/>
      <c r="I83" s="27"/>
      <c r="J83" s="27"/>
      <c r="K83" s="27"/>
      <c r="L83" s="62">
        <v>-546</v>
      </c>
      <c r="M83" s="27"/>
      <c r="N83" s="6"/>
    </row>
    <row r="84" spans="1:14" ht="15.75">
      <c r="A84" s="26">
        <v>8</v>
      </c>
      <c r="B84" s="27" t="s">
        <v>58</v>
      </c>
      <c r="C84" s="27"/>
      <c r="D84" s="27"/>
      <c r="E84" s="27"/>
      <c r="F84" s="27"/>
      <c r="G84" s="27"/>
      <c r="H84" s="27"/>
      <c r="I84" s="27"/>
      <c r="J84" s="27"/>
      <c r="K84" s="27"/>
      <c r="L84" s="62">
        <v>-178</v>
      </c>
      <c r="M84" s="27"/>
      <c r="N84" s="6"/>
    </row>
    <row r="85" spans="1:14" ht="15.75">
      <c r="A85" s="26">
        <v>9</v>
      </c>
      <c r="B85" s="27" t="s">
        <v>59</v>
      </c>
      <c r="C85" s="27"/>
      <c r="D85" s="27"/>
      <c r="E85" s="27"/>
      <c r="F85" s="27"/>
      <c r="G85" s="27"/>
      <c r="H85" s="27"/>
      <c r="I85" s="27"/>
      <c r="J85" s="27"/>
      <c r="K85" s="27"/>
      <c r="L85" s="62">
        <v>0</v>
      </c>
      <c r="M85" s="27"/>
      <c r="N85" s="6"/>
    </row>
    <row r="86" spans="1:14" ht="15.75">
      <c r="A86" s="26">
        <v>10</v>
      </c>
      <c r="B86" s="27" t="s">
        <v>60</v>
      </c>
      <c r="C86" s="27"/>
      <c r="D86" s="27"/>
      <c r="E86" s="27"/>
      <c r="F86" s="27"/>
      <c r="G86" s="27"/>
      <c r="H86" s="27"/>
      <c r="I86" s="27"/>
      <c r="J86" s="27"/>
      <c r="K86" s="27"/>
      <c r="L86" s="62">
        <v>0</v>
      </c>
      <c r="M86" s="27"/>
      <c r="N86" s="6"/>
    </row>
    <row r="87" spans="1:14" ht="15.75">
      <c r="A87" s="26">
        <v>11</v>
      </c>
      <c r="B87" s="27" t="s">
        <v>61</v>
      </c>
      <c r="C87" s="27"/>
      <c r="D87" s="27"/>
      <c r="E87" s="27"/>
      <c r="F87" s="27"/>
      <c r="G87" s="27"/>
      <c r="H87" s="27"/>
      <c r="I87" s="27"/>
      <c r="J87" s="27"/>
      <c r="K87" s="27"/>
      <c r="L87" s="62">
        <v>-1009</v>
      </c>
      <c r="M87" s="27"/>
      <c r="N87" s="6"/>
    </row>
    <row r="88" spans="1:14" ht="15.75">
      <c r="A88" s="26">
        <v>12</v>
      </c>
      <c r="B88" s="27" t="s">
        <v>62</v>
      </c>
      <c r="C88" s="27"/>
      <c r="D88" s="27"/>
      <c r="E88" s="27"/>
      <c r="F88" s="27"/>
      <c r="G88" s="27"/>
      <c r="H88" s="27"/>
      <c r="I88" s="27"/>
      <c r="J88" s="27"/>
      <c r="K88" s="27"/>
      <c r="L88" s="62">
        <v>0</v>
      </c>
      <c r="M88" s="27"/>
      <c r="N88" s="6"/>
    </row>
    <row r="89" spans="1:14" ht="15.75">
      <c r="A89" s="26">
        <v>13</v>
      </c>
      <c r="B89" s="27" t="s">
        <v>63</v>
      </c>
      <c r="C89" s="27"/>
      <c r="D89" s="27"/>
      <c r="E89" s="27"/>
      <c r="F89" s="27"/>
      <c r="G89" s="27"/>
      <c r="H89" s="27"/>
      <c r="I89" s="27"/>
      <c r="J89" s="27"/>
      <c r="K89" s="27"/>
      <c r="L89" s="62">
        <f>L75+SUM(L77:L88)</f>
        <v>0</v>
      </c>
      <c r="M89" s="27"/>
      <c r="N89" s="6"/>
    </row>
    <row r="90" spans="1:14" ht="15.75">
      <c r="A90" s="26"/>
      <c r="B90" s="69" t="s">
        <v>64</v>
      </c>
      <c r="C90" s="70"/>
      <c r="D90" s="27"/>
      <c r="E90" s="27"/>
      <c r="F90" s="27"/>
      <c r="G90" s="27"/>
      <c r="H90" s="27"/>
      <c r="I90" s="27"/>
      <c r="J90" s="27"/>
      <c r="K90" s="27"/>
      <c r="L90" s="71"/>
      <c r="M90" s="27"/>
      <c r="N90" s="6"/>
    </row>
    <row r="91" spans="1:14" ht="15.75">
      <c r="A91" s="26"/>
      <c r="B91" s="27" t="s">
        <v>65</v>
      </c>
      <c r="C91" s="70"/>
      <c r="D91" s="27"/>
      <c r="E91" s="27"/>
      <c r="F91" s="27"/>
      <c r="G91" s="27"/>
      <c r="H91" s="27"/>
      <c r="I91" s="38"/>
      <c r="J91" s="38">
        <v>0</v>
      </c>
      <c r="K91" s="38"/>
      <c r="L91" s="62"/>
      <c r="M91" s="27"/>
      <c r="N91" s="6"/>
    </row>
    <row r="92" spans="1:14" ht="15.75">
      <c r="A92" s="26"/>
      <c r="B92" s="27" t="s">
        <v>66</v>
      </c>
      <c r="C92" s="27"/>
      <c r="D92" s="27"/>
      <c r="E92" s="27"/>
      <c r="F92" s="27"/>
      <c r="G92" s="27"/>
      <c r="H92" s="27"/>
      <c r="I92" s="38"/>
      <c r="J92" s="38">
        <v>0</v>
      </c>
      <c r="K92" s="38"/>
      <c r="L92" s="62"/>
      <c r="M92" s="27"/>
      <c r="N92" s="6"/>
    </row>
    <row r="93" spans="1:14" ht="15.75">
      <c r="A93" s="26"/>
      <c r="B93" s="27" t="s">
        <v>67</v>
      </c>
      <c r="C93" s="27"/>
      <c r="D93" s="27"/>
      <c r="E93" s="27"/>
      <c r="F93" s="27"/>
      <c r="G93" s="27"/>
      <c r="H93" s="27"/>
      <c r="I93" s="27"/>
      <c r="J93" s="38"/>
      <c r="K93" s="38"/>
      <c r="L93" s="62"/>
      <c r="M93" s="27"/>
      <c r="N93" s="6"/>
    </row>
    <row r="94" spans="1:14" ht="15.75">
      <c r="A94" s="26"/>
      <c r="B94" s="27" t="s">
        <v>68</v>
      </c>
      <c r="C94" s="27"/>
      <c r="D94" s="27"/>
      <c r="E94" s="27"/>
      <c r="F94" s="27"/>
      <c r="G94" s="27"/>
      <c r="H94" s="27"/>
      <c r="I94" s="27"/>
      <c r="J94" s="38">
        <v>-7276</v>
      </c>
      <c r="K94" s="38"/>
      <c r="L94" s="62"/>
      <c r="M94" s="27"/>
      <c r="N94" s="6"/>
    </row>
    <row r="95" spans="1:14" ht="15.75">
      <c r="A95" s="26"/>
      <c r="B95" s="27" t="s">
        <v>69</v>
      </c>
      <c r="C95" s="27"/>
      <c r="D95" s="27"/>
      <c r="E95" s="27"/>
      <c r="F95" s="27"/>
      <c r="G95" s="27"/>
      <c r="H95" s="27"/>
      <c r="I95" s="27"/>
      <c r="J95" s="38">
        <v>0</v>
      </c>
      <c r="K95" s="38"/>
      <c r="L95" s="62"/>
      <c r="M95" s="27"/>
      <c r="N95" s="6"/>
    </row>
    <row r="96" spans="1:14" ht="15.75">
      <c r="A96" s="26"/>
      <c r="B96" s="27" t="s">
        <v>70</v>
      </c>
      <c r="C96" s="27"/>
      <c r="D96" s="27"/>
      <c r="E96" s="27"/>
      <c r="F96" s="27"/>
      <c r="G96" s="27"/>
      <c r="H96" s="27"/>
      <c r="I96" s="27"/>
      <c r="J96" s="38">
        <f>SUM(J76:J95)</f>
        <v>-7276</v>
      </c>
      <c r="K96" s="38"/>
      <c r="L96" s="38">
        <f>SUM(L76:L95)</f>
        <v>-3098</v>
      </c>
      <c r="M96" s="27"/>
      <c r="N96" s="6"/>
    </row>
    <row r="97" spans="1:14" ht="15.75">
      <c r="A97" s="26"/>
      <c r="B97" s="27" t="s">
        <v>71</v>
      </c>
      <c r="C97" s="27"/>
      <c r="D97" s="27"/>
      <c r="E97" s="27"/>
      <c r="F97" s="27"/>
      <c r="G97" s="27"/>
      <c r="H97" s="27"/>
      <c r="I97" s="27"/>
      <c r="J97" s="38">
        <f>J75+J96</f>
        <v>0</v>
      </c>
      <c r="K97" s="38"/>
      <c r="L97" s="38">
        <f>L75+L96</f>
        <v>0</v>
      </c>
      <c r="M97" s="27"/>
      <c r="N97" s="6"/>
    </row>
    <row r="98" spans="1:14" ht="15.75">
      <c r="A98" s="26"/>
      <c r="B98" s="27"/>
      <c r="C98" s="27"/>
      <c r="D98" s="27"/>
      <c r="E98" s="27"/>
      <c r="F98" s="27"/>
      <c r="G98" s="27"/>
      <c r="H98" s="27"/>
      <c r="I98" s="27"/>
      <c r="J98" s="38"/>
      <c r="K98" s="38"/>
      <c r="L98" s="38"/>
      <c r="M98" s="27"/>
      <c r="N98" s="6"/>
    </row>
    <row r="99" spans="1:14" ht="15.75">
      <c r="A99" s="8"/>
      <c r="B99" s="10"/>
      <c r="C99" s="10"/>
      <c r="D99" s="10"/>
      <c r="E99" s="10"/>
      <c r="F99" s="10"/>
      <c r="G99" s="10"/>
      <c r="H99" s="10"/>
      <c r="I99" s="10"/>
      <c r="J99" s="10"/>
      <c r="K99" s="10"/>
      <c r="L99" s="58"/>
      <c r="M99" s="10"/>
      <c r="N99" s="6"/>
    </row>
    <row r="100" spans="1:14" ht="15.75">
      <c r="A100" s="8"/>
      <c r="B100" s="10"/>
      <c r="C100" s="10"/>
      <c r="D100" s="10"/>
      <c r="E100" s="10"/>
      <c r="F100" s="10"/>
      <c r="G100" s="10"/>
      <c r="H100" s="10"/>
      <c r="I100" s="10"/>
      <c r="J100" s="10"/>
      <c r="K100" s="10"/>
      <c r="L100" s="58"/>
      <c r="M100" s="10"/>
      <c r="N100" s="6"/>
    </row>
    <row r="101" spans="1:14" ht="15.75">
      <c r="A101" s="2"/>
      <c r="B101" s="55" t="s">
        <v>72</v>
      </c>
      <c r="C101" s="56"/>
      <c r="D101" s="5"/>
      <c r="E101" s="5"/>
      <c r="F101" s="5"/>
      <c r="G101" s="5"/>
      <c r="H101" s="5"/>
      <c r="I101" s="5"/>
      <c r="J101" s="5"/>
      <c r="K101" s="5"/>
      <c r="L101" s="57"/>
      <c r="M101" s="5"/>
      <c r="N101" s="6"/>
    </row>
    <row r="102" spans="1:14" ht="15.75">
      <c r="A102" s="8"/>
      <c r="B102" s="22"/>
      <c r="C102" s="16"/>
      <c r="D102" s="10"/>
      <c r="E102" s="10"/>
      <c r="F102" s="10"/>
      <c r="G102" s="10"/>
      <c r="H102" s="10"/>
      <c r="I102" s="10"/>
      <c r="J102" s="10"/>
      <c r="K102" s="10"/>
      <c r="L102" s="58"/>
      <c r="M102" s="10"/>
      <c r="N102" s="6"/>
    </row>
    <row r="103" spans="1:14" ht="15.75">
      <c r="A103" s="8"/>
      <c r="B103" s="72" t="s">
        <v>73</v>
      </c>
      <c r="C103" s="16"/>
      <c r="D103" s="10"/>
      <c r="E103" s="10"/>
      <c r="F103" s="10"/>
      <c r="G103" s="10"/>
      <c r="H103" s="10"/>
      <c r="I103" s="10"/>
      <c r="J103" s="10"/>
      <c r="K103" s="10"/>
      <c r="L103" s="58"/>
      <c r="M103" s="10"/>
      <c r="N103" s="6"/>
    </row>
    <row r="104" spans="1:14" ht="15.75">
      <c r="A104" s="26"/>
      <c r="B104" s="27" t="s">
        <v>74</v>
      </c>
      <c r="C104" s="27"/>
      <c r="D104" s="27"/>
      <c r="E104" s="27"/>
      <c r="F104" s="27"/>
      <c r="G104" s="27"/>
      <c r="H104" s="27"/>
      <c r="I104" s="27"/>
      <c r="J104" s="27"/>
      <c r="K104" s="27"/>
      <c r="L104" s="62">
        <v>3698</v>
      </c>
      <c r="M104" s="27"/>
      <c r="N104" s="6"/>
    </row>
    <row r="105" spans="1:14" ht="15.75">
      <c r="A105" s="26"/>
      <c r="B105" s="27" t="s">
        <v>75</v>
      </c>
      <c r="C105" s="27"/>
      <c r="D105" s="27"/>
      <c r="E105" s="27"/>
      <c r="F105" s="27"/>
      <c r="G105" s="27"/>
      <c r="H105" s="27"/>
      <c r="I105" s="27"/>
      <c r="J105" s="27"/>
      <c r="K105" s="27"/>
      <c r="L105" s="62">
        <v>3698</v>
      </c>
      <c r="M105" s="27"/>
      <c r="N105" s="6"/>
    </row>
    <row r="106" spans="1:14" ht="15.75">
      <c r="A106" s="26"/>
      <c r="B106" s="27" t="s">
        <v>76</v>
      </c>
      <c r="C106" s="27"/>
      <c r="D106" s="27"/>
      <c r="E106" s="27"/>
      <c r="F106" s="27"/>
      <c r="G106" s="27"/>
      <c r="H106" s="27"/>
      <c r="I106" s="27"/>
      <c r="J106" s="27"/>
      <c r="K106" s="27"/>
      <c r="L106" s="62">
        <v>0</v>
      </c>
      <c r="M106" s="27"/>
      <c r="N106" s="6"/>
    </row>
    <row r="107" spans="1:14" ht="15.75">
      <c r="A107" s="26"/>
      <c r="B107" s="27" t="s">
        <v>77</v>
      </c>
      <c r="C107" s="27"/>
      <c r="D107" s="27"/>
      <c r="E107" s="27"/>
      <c r="F107" s="27"/>
      <c r="G107" s="27"/>
      <c r="H107" s="27"/>
      <c r="I107" s="27"/>
      <c r="J107" s="27"/>
      <c r="K107" s="27"/>
      <c r="L107" s="62">
        <v>0</v>
      </c>
      <c r="M107" s="27"/>
      <c r="N107" s="6"/>
    </row>
    <row r="108" spans="1:14" ht="15.75">
      <c r="A108" s="26"/>
      <c r="B108" s="27" t="s">
        <v>78</v>
      </c>
      <c r="C108" s="27"/>
      <c r="D108" s="27"/>
      <c r="E108" s="27"/>
      <c r="F108" s="27"/>
      <c r="G108" s="27"/>
      <c r="H108" s="27"/>
      <c r="I108" s="27"/>
      <c r="J108" s="27"/>
      <c r="K108" s="27"/>
      <c r="L108" s="62">
        <v>0</v>
      </c>
      <c r="M108" s="27"/>
      <c r="N108" s="6"/>
    </row>
    <row r="109" spans="1:14" ht="15.75">
      <c r="A109" s="26"/>
      <c r="B109" s="27" t="s">
        <v>55</v>
      </c>
      <c r="C109" s="27"/>
      <c r="D109" s="27"/>
      <c r="E109" s="27"/>
      <c r="F109" s="27"/>
      <c r="G109" s="27"/>
      <c r="H109" s="27"/>
      <c r="I109" s="27"/>
      <c r="J109" s="27"/>
      <c r="K109" s="27"/>
      <c r="L109" s="62">
        <v>0</v>
      </c>
      <c r="M109" s="27"/>
      <c r="N109" s="6"/>
    </row>
    <row r="110" spans="1:14" ht="15.75">
      <c r="A110" s="26"/>
      <c r="B110" s="27" t="s">
        <v>57</v>
      </c>
      <c r="C110" s="27"/>
      <c r="D110" s="27"/>
      <c r="E110" s="27"/>
      <c r="F110" s="27"/>
      <c r="G110" s="27"/>
      <c r="H110" s="27"/>
      <c r="I110" s="27"/>
      <c r="J110" s="27"/>
      <c r="K110" s="27"/>
      <c r="L110" s="62">
        <v>0</v>
      </c>
      <c r="M110" s="27"/>
      <c r="N110" s="6"/>
    </row>
    <row r="111" spans="1:14" ht="15.75">
      <c r="A111" s="26"/>
      <c r="B111" s="27" t="s">
        <v>79</v>
      </c>
      <c r="C111" s="27"/>
      <c r="D111" s="27"/>
      <c r="E111" s="27"/>
      <c r="F111" s="27"/>
      <c r="G111" s="27"/>
      <c r="H111" s="27"/>
      <c r="I111" s="27"/>
      <c r="J111" s="27"/>
      <c r="K111" s="27"/>
      <c r="L111" s="62">
        <f>SUM(L105:L109)</f>
        <v>3698</v>
      </c>
      <c r="M111" s="27"/>
      <c r="N111" s="6"/>
    </row>
    <row r="112" spans="1:14" ht="15.75">
      <c r="A112" s="26"/>
      <c r="B112" s="27"/>
      <c r="C112" s="27"/>
      <c r="D112" s="27"/>
      <c r="E112" s="27"/>
      <c r="F112" s="27"/>
      <c r="G112" s="27"/>
      <c r="H112" s="27"/>
      <c r="I112" s="27"/>
      <c r="J112" s="27"/>
      <c r="K112" s="27"/>
      <c r="L112" s="54"/>
      <c r="M112" s="27"/>
      <c r="N112" s="6"/>
    </row>
    <row r="113" spans="1:14" ht="15.75">
      <c r="A113" s="8"/>
      <c r="B113" s="72" t="s">
        <v>39</v>
      </c>
      <c r="C113" s="10"/>
      <c r="D113" s="10"/>
      <c r="E113" s="10"/>
      <c r="F113" s="10"/>
      <c r="G113" s="10"/>
      <c r="H113" s="10"/>
      <c r="I113" s="10"/>
      <c r="J113" s="10"/>
      <c r="K113" s="10"/>
      <c r="L113" s="58"/>
      <c r="M113" s="10"/>
      <c r="N113" s="6"/>
    </row>
    <row r="114" spans="1:14" ht="15.75">
      <c r="A114" s="26"/>
      <c r="B114" s="27" t="s">
        <v>80</v>
      </c>
      <c r="C114" s="27"/>
      <c r="D114" s="73"/>
      <c r="E114" s="27"/>
      <c r="F114" s="27"/>
      <c r="G114" s="27"/>
      <c r="H114" s="27"/>
      <c r="I114" s="27"/>
      <c r="J114" s="27"/>
      <c r="K114" s="27"/>
      <c r="L114" s="62">
        <f>1848891.08/1000</f>
        <v>1848.89108</v>
      </c>
      <c r="M114" s="27"/>
      <c r="N114" s="6"/>
    </row>
    <row r="115" spans="1:14" ht="15.75">
      <c r="A115" s="26"/>
      <c r="B115" s="27" t="s">
        <v>81</v>
      </c>
      <c r="C115" s="30"/>
      <c r="D115" s="30"/>
      <c r="E115" s="30"/>
      <c r="F115" s="30"/>
      <c r="G115" s="30"/>
      <c r="H115" s="30"/>
      <c r="I115" s="30"/>
      <c r="J115" s="30"/>
      <c r="K115" s="30"/>
      <c r="L115" s="63">
        <v>0</v>
      </c>
      <c r="M115" s="27"/>
      <c r="N115" s="6"/>
    </row>
    <row r="116" spans="1:14" ht="15.75">
      <c r="A116" s="26"/>
      <c r="B116" s="27" t="s">
        <v>82</v>
      </c>
      <c r="C116" s="27"/>
      <c r="D116" s="27"/>
      <c r="E116" s="27"/>
      <c r="F116" s="27"/>
      <c r="G116" s="27"/>
      <c r="H116" s="27"/>
      <c r="I116" s="27"/>
      <c r="J116" s="27"/>
      <c r="K116" s="27"/>
      <c r="L116" s="62">
        <v>0</v>
      </c>
      <c r="M116" s="27"/>
      <c r="N116" s="6"/>
    </row>
    <row r="117" spans="1:14" ht="15.75">
      <c r="A117" s="26"/>
      <c r="B117" s="27" t="s">
        <v>83</v>
      </c>
      <c r="C117" s="27"/>
      <c r="D117" s="27"/>
      <c r="E117" s="27"/>
      <c r="F117" s="27"/>
      <c r="G117" s="27"/>
      <c r="H117" s="27"/>
      <c r="I117" s="27"/>
      <c r="J117" s="27"/>
      <c r="K117" s="27"/>
      <c r="L117" s="62">
        <f>L114-L115-L116</f>
        <v>1848.89108</v>
      </c>
      <c r="M117" s="27"/>
      <c r="N117" s="6"/>
    </row>
    <row r="118" spans="1:14" ht="15.75">
      <c r="A118" s="26"/>
      <c r="B118" s="27"/>
      <c r="C118" s="27"/>
      <c r="D118" s="27"/>
      <c r="E118" s="27"/>
      <c r="F118" s="27"/>
      <c r="G118" s="27"/>
      <c r="H118" s="27"/>
      <c r="I118" s="27"/>
      <c r="J118" s="27"/>
      <c r="K118" s="27"/>
      <c r="L118" s="54"/>
      <c r="M118" s="27"/>
      <c r="N118" s="6"/>
    </row>
    <row r="119" spans="1:14" ht="15.75">
      <c r="A119" s="8"/>
      <c r="B119" s="72" t="s">
        <v>84</v>
      </c>
      <c r="C119" s="16"/>
      <c r="D119" s="10"/>
      <c r="E119" s="10"/>
      <c r="F119" s="10"/>
      <c r="G119" s="10"/>
      <c r="H119" s="10"/>
      <c r="I119" s="10"/>
      <c r="J119" s="10"/>
      <c r="K119" s="10"/>
      <c r="L119" s="74"/>
      <c r="M119" s="10"/>
      <c r="N119" s="6"/>
    </row>
    <row r="120" spans="1:14" ht="15.75">
      <c r="A120" s="26"/>
      <c r="B120" s="27" t="s">
        <v>85</v>
      </c>
      <c r="C120" s="27"/>
      <c r="D120" s="27"/>
      <c r="E120" s="27"/>
      <c r="F120" s="27"/>
      <c r="G120" s="27"/>
      <c r="H120" s="27"/>
      <c r="I120" s="27"/>
      <c r="J120" s="27"/>
      <c r="K120" s="27"/>
      <c r="L120" s="62">
        <f>Mar00!L124</f>
        <v>1228</v>
      </c>
      <c r="M120" s="27"/>
      <c r="N120" s="6"/>
    </row>
    <row r="121" spans="1:14" ht="15.75">
      <c r="A121" s="26"/>
      <c r="B121" s="27" t="s">
        <v>86</v>
      </c>
      <c r="C121" s="27"/>
      <c r="D121" s="27"/>
      <c r="E121" s="27"/>
      <c r="F121" s="27"/>
      <c r="G121" s="27"/>
      <c r="H121" s="27"/>
      <c r="I121" s="27"/>
      <c r="J121" s="27"/>
      <c r="K121" s="27"/>
      <c r="L121" s="62">
        <v>379</v>
      </c>
      <c r="M121" s="27"/>
      <c r="N121" s="6"/>
    </row>
    <row r="122" spans="1:14" ht="15.75">
      <c r="A122" s="26"/>
      <c r="B122" s="27" t="s">
        <v>87</v>
      </c>
      <c r="C122" s="27"/>
      <c r="D122" s="27"/>
      <c r="E122" s="27"/>
      <c r="F122" s="27"/>
      <c r="G122" s="27"/>
      <c r="H122" s="27"/>
      <c r="I122" s="27"/>
      <c r="J122" s="27"/>
      <c r="K122" s="27"/>
      <c r="L122" s="62">
        <f>L121+L120</f>
        <v>1607</v>
      </c>
      <c r="M122" s="27"/>
      <c r="N122" s="6"/>
    </row>
    <row r="123" spans="1:14" ht="15.75">
      <c r="A123" s="26"/>
      <c r="B123" s="27" t="s">
        <v>88</v>
      </c>
      <c r="C123" s="27"/>
      <c r="D123" s="27"/>
      <c r="E123" s="27"/>
      <c r="F123" s="27"/>
      <c r="G123" s="27"/>
      <c r="H123" s="75"/>
      <c r="I123" s="27"/>
      <c r="J123" s="27"/>
      <c r="K123" s="27"/>
      <c r="L123" s="62">
        <f>L87</f>
        <v>-1009</v>
      </c>
      <c r="M123" s="27"/>
      <c r="N123" s="6"/>
    </row>
    <row r="124" spans="1:14" ht="15.75">
      <c r="A124" s="26"/>
      <c r="B124" s="27" t="s">
        <v>89</v>
      </c>
      <c r="C124" s="27"/>
      <c r="D124" s="27"/>
      <c r="E124" s="27"/>
      <c r="F124" s="27"/>
      <c r="G124" s="27"/>
      <c r="H124" s="27"/>
      <c r="I124" s="27"/>
      <c r="J124" s="27"/>
      <c r="K124" s="27"/>
      <c r="L124" s="62">
        <f>L122+L123</f>
        <v>598</v>
      </c>
      <c r="M124" s="27"/>
      <c r="N124" s="6"/>
    </row>
    <row r="125" spans="1:14" ht="15.75">
      <c r="A125" s="26"/>
      <c r="B125" s="27"/>
      <c r="C125" s="27"/>
      <c r="D125" s="27"/>
      <c r="E125" s="27"/>
      <c r="F125" s="27"/>
      <c r="G125" s="27"/>
      <c r="H125" s="27"/>
      <c r="I125" s="27"/>
      <c r="J125" s="27"/>
      <c r="K125" s="27"/>
      <c r="L125" s="54"/>
      <c r="M125" s="27"/>
      <c r="N125" s="6"/>
    </row>
    <row r="126" spans="1:14" ht="15.75">
      <c r="A126" s="2"/>
      <c r="B126" s="5"/>
      <c r="C126" s="5"/>
      <c r="D126" s="5"/>
      <c r="E126" s="5"/>
      <c r="F126" s="5"/>
      <c r="G126" s="5"/>
      <c r="H126" s="5"/>
      <c r="I126" s="5"/>
      <c r="J126" s="5"/>
      <c r="K126" s="5"/>
      <c r="L126" s="57"/>
      <c r="M126" s="5"/>
      <c r="N126" s="6"/>
    </row>
    <row r="127" spans="1:14" ht="15.75">
      <c r="A127" s="8"/>
      <c r="B127" s="72" t="s">
        <v>90</v>
      </c>
      <c r="C127" s="16"/>
      <c r="D127" s="10"/>
      <c r="E127" s="10"/>
      <c r="F127" s="10"/>
      <c r="G127" s="10"/>
      <c r="H127" s="10"/>
      <c r="I127" s="10"/>
      <c r="J127" s="10"/>
      <c r="K127" s="10"/>
      <c r="L127" s="58"/>
      <c r="M127" s="10"/>
      <c r="N127" s="6"/>
    </row>
    <row r="128" spans="1:14" ht="15.75">
      <c r="A128" s="8"/>
      <c r="B128" s="22"/>
      <c r="C128" s="16"/>
      <c r="D128" s="10"/>
      <c r="E128" s="10"/>
      <c r="F128" s="10"/>
      <c r="G128" s="10"/>
      <c r="H128" s="10"/>
      <c r="I128" s="10"/>
      <c r="J128" s="10"/>
      <c r="K128" s="10"/>
      <c r="L128" s="58"/>
      <c r="M128" s="10"/>
      <c r="N128" s="6"/>
    </row>
    <row r="129" spans="1:14" ht="15.75">
      <c r="A129" s="26"/>
      <c r="B129" s="27" t="s">
        <v>91</v>
      </c>
      <c r="C129" s="76"/>
      <c r="D129" s="27"/>
      <c r="E129" s="27"/>
      <c r="F129" s="27"/>
      <c r="G129" s="27"/>
      <c r="H129" s="27"/>
      <c r="I129" s="27"/>
      <c r="J129" s="27"/>
      <c r="K129" s="27"/>
      <c r="L129" s="62">
        <f>L53</f>
        <v>115541</v>
      </c>
      <c r="M129" s="27"/>
      <c r="N129" s="6"/>
    </row>
    <row r="130" spans="1:14" ht="15.75">
      <c r="A130" s="26"/>
      <c r="B130" s="27" t="s">
        <v>92</v>
      </c>
      <c r="C130" s="76"/>
      <c r="D130" s="27"/>
      <c r="E130" s="27"/>
      <c r="F130" s="27"/>
      <c r="G130" s="27"/>
      <c r="H130" s="27"/>
      <c r="I130" s="27"/>
      <c r="J130" s="27"/>
      <c r="K130" s="27"/>
      <c r="L130" s="62">
        <f>L65</f>
        <v>107259</v>
      </c>
      <c r="M130" s="27"/>
      <c r="N130" s="6"/>
    </row>
    <row r="131" spans="1:14" ht="15.75">
      <c r="A131" s="26"/>
      <c r="B131" s="27"/>
      <c r="C131" s="27"/>
      <c r="D131" s="27"/>
      <c r="E131" s="27"/>
      <c r="F131" s="27"/>
      <c r="G131" s="27"/>
      <c r="H131" s="27"/>
      <c r="I131" s="27"/>
      <c r="J131" s="27"/>
      <c r="K131" s="27"/>
      <c r="L131" s="54"/>
      <c r="M131" s="27"/>
      <c r="N131" s="6"/>
    </row>
    <row r="132" spans="1:14" ht="15.75">
      <c r="A132" s="2"/>
      <c r="B132" s="5"/>
      <c r="C132" s="5"/>
      <c r="D132" s="5"/>
      <c r="E132" s="5"/>
      <c r="F132" s="5"/>
      <c r="G132" s="5"/>
      <c r="H132" s="5"/>
      <c r="I132" s="5"/>
      <c r="J132" s="5"/>
      <c r="K132" s="5"/>
      <c r="L132" s="57"/>
      <c r="M132" s="5"/>
      <c r="N132" s="6"/>
    </row>
    <row r="133" spans="1:14" ht="15.75">
      <c r="A133" s="8"/>
      <c r="B133" s="72" t="s">
        <v>93</v>
      </c>
      <c r="C133" s="16"/>
      <c r="D133" s="10"/>
      <c r="E133" s="10"/>
      <c r="F133" s="10"/>
      <c r="G133" s="10"/>
      <c r="H133" s="77" t="s">
        <v>170</v>
      </c>
      <c r="I133" s="77"/>
      <c r="J133" s="77" t="s">
        <v>182</v>
      </c>
      <c r="K133" s="12"/>
      <c r="L133" s="78" t="s">
        <v>197</v>
      </c>
      <c r="M133" s="10"/>
      <c r="N133" s="6"/>
    </row>
    <row r="134" spans="1:14" ht="15.75">
      <c r="A134" s="26"/>
      <c r="B134" s="27" t="s">
        <v>94</v>
      </c>
      <c r="C134" s="27"/>
      <c r="D134" s="27"/>
      <c r="E134" s="27"/>
      <c r="F134" s="27"/>
      <c r="G134" s="27"/>
      <c r="H134" s="62">
        <v>31500</v>
      </c>
      <c r="I134" s="27"/>
      <c r="J134" s="47" t="s">
        <v>183</v>
      </c>
      <c r="K134" s="27"/>
      <c r="L134" s="62"/>
      <c r="M134" s="27"/>
      <c r="N134" s="6"/>
    </row>
    <row r="135" spans="1:14" ht="15.75">
      <c r="A135" s="26"/>
      <c r="B135" s="27" t="s">
        <v>95</v>
      </c>
      <c r="C135" s="27"/>
      <c r="D135" s="27"/>
      <c r="E135" s="27"/>
      <c r="F135" s="27"/>
      <c r="G135" s="27"/>
      <c r="H135" s="62">
        <v>111</v>
      </c>
      <c r="I135" s="27"/>
      <c r="J135" s="27">
        <v>23</v>
      </c>
      <c r="K135" s="27"/>
      <c r="L135" s="62">
        <f>J135+H135</f>
        <v>134</v>
      </c>
      <c r="M135" s="27"/>
      <c r="N135" s="6"/>
    </row>
    <row r="136" spans="1:14" ht="15.75">
      <c r="A136" s="26"/>
      <c r="B136" s="27" t="s">
        <v>96</v>
      </c>
      <c r="C136" s="27"/>
      <c r="D136" s="27"/>
      <c r="E136" s="27"/>
      <c r="F136" s="27"/>
      <c r="G136" s="27"/>
      <c r="H136" s="62">
        <v>0</v>
      </c>
      <c r="I136" s="27"/>
      <c r="J136" s="38">
        <v>0</v>
      </c>
      <c r="K136" s="27"/>
      <c r="L136" s="62">
        <f>J136+H136</f>
        <v>0</v>
      </c>
      <c r="M136" s="27"/>
      <c r="N136" s="6"/>
    </row>
    <row r="137" spans="1:14" ht="15.75">
      <c r="A137" s="26"/>
      <c r="B137" s="27" t="s">
        <v>97</v>
      </c>
      <c r="C137" s="27"/>
      <c r="D137" s="27"/>
      <c r="E137" s="27"/>
      <c r="F137" s="27"/>
      <c r="G137" s="27"/>
      <c r="H137" s="62">
        <f>H136+H135</f>
        <v>111</v>
      </c>
      <c r="I137" s="27"/>
      <c r="J137" s="62">
        <f>J136+J135</f>
        <v>23</v>
      </c>
      <c r="K137" s="27"/>
      <c r="L137" s="62">
        <f>J137+H137</f>
        <v>134</v>
      </c>
      <c r="M137" s="27"/>
      <c r="N137" s="6"/>
    </row>
    <row r="138" spans="1:14" ht="15.75">
      <c r="A138" s="26"/>
      <c r="B138" s="27" t="s">
        <v>98</v>
      </c>
      <c r="C138" s="27"/>
      <c r="D138" s="27"/>
      <c r="E138" s="27"/>
      <c r="F138" s="27"/>
      <c r="G138" s="27"/>
      <c r="H138" s="62">
        <f>H134-H137</f>
        <v>31389</v>
      </c>
      <c r="I138" s="27"/>
      <c r="J138" s="47" t="s">
        <v>183</v>
      </c>
      <c r="K138" s="27"/>
      <c r="L138" s="62"/>
      <c r="M138" s="27"/>
      <c r="N138" s="6"/>
    </row>
    <row r="139" spans="1:14" ht="15.75">
      <c r="A139" s="26"/>
      <c r="B139" s="27"/>
      <c r="C139" s="27"/>
      <c r="D139" s="27"/>
      <c r="E139" s="27"/>
      <c r="F139" s="27"/>
      <c r="G139" s="27"/>
      <c r="H139" s="27"/>
      <c r="I139" s="27"/>
      <c r="J139" s="27"/>
      <c r="K139" s="27"/>
      <c r="L139" s="54"/>
      <c r="M139" s="27"/>
      <c r="N139" s="6"/>
    </row>
    <row r="140" spans="1:14" ht="15.75">
      <c r="A140" s="2"/>
      <c r="B140" s="5"/>
      <c r="C140" s="5"/>
      <c r="D140" s="5"/>
      <c r="E140" s="5"/>
      <c r="F140" s="5"/>
      <c r="G140" s="5"/>
      <c r="H140" s="5"/>
      <c r="I140" s="5"/>
      <c r="J140" s="5"/>
      <c r="K140" s="5"/>
      <c r="L140" s="57"/>
      <c r="M140" s="5"/>
      <c r="N140" s="6"/>
    </row>
    <row r="141" spans="1:14" ht="15.75">
      <c r="A141" s="8"/>
      <c r="B141" s="72" t="s">
        <v>99</v>
      </c>
      <c r="C141" s="16"/>
      <c r="D141" s="10"/>
      <c r="E141" s="10"/>
      <c r="F141" s="10"/>
      <c r="G141" s="10"/>
      <c r="H141" s="10"/>
      <c r="I141" s="10"/>
      <c r="J141" s="10"/>
      <c r="K141" s="10"/>
      <c r="L141" s="79"/>
      <c r="M141" s="10"/>
      <c r="N141" s="6"/>
    </row>
    <row r="142" spans="1:14" ht="15.75">
      <c r="A142" s="26"/>
      <c r="B142" s="27" t="s">
        <v>100</v>
      </c>
      <c r="C142" s="27"/>
      <c r="D142" s="27"/>
      <c r="E142" s="27"/>
      <c r="F142" s="27"/>
      <c r="G142" s="27"/>
      <c r="H142" s="27"/>
      <c r="I142" s="27"/>
      <c r="J142" s="27"/>
      <c r="K142" s="27"/>
      <c r="L142" s="71">
        <f>SUM(L75:L80)/-L81</f>
        <v>2.5174825174825175</v>
      </c>
      <c r="M142" s="27" t="s">
        <v>198</v>
      </c>
      <c r="N142" s="6"/>
    </row>
    <row r="143" spans="1:14" ht="15.75">
      <c r="A143" s="26"/>
      <c r="B143" s="27" t="s">
        <v>101</v>
      </c>
      <c r="C143" s="27"/>
      <c r="D143" s="27"/>
      <c r="E143" s="27"/>
      <c r="F143" s="27"/>
      <c r="G143" s="27"/>
      <c r="H143" s="27"/>
      <c r="I143" s="27"/>
      <c r="J143" s="27"/>
      <c r="K143" s="27"/>
      <c r="L143" s="80">
        <v>1.55</v>
      </c>
      <c r="M143" s="27" t="s">
        <v>198</v>
      </c>
      <c r="N143" s="6"/>
    </row>
    <row r="144" spans="1:14" ht="15.75">
      <c r="A144" s="26"/>
      <c r="B144" s="27" t="s">
        <v>102</v>
      </c>
      <c r="C144" s="27"/>
      <c r="D144" s="27"/>
      <c r="E144" s="27"/>
      <c r="F144" s="27"/>
      <c r="G144" s="27"/>
      <c r="H144" s="27"/>
      <c r="I144" s="27"/>
      <c r="J144" s="27"/>
      <c r="K144" s="27"/>
      <c r="L144" s="71">
        <f>SUM(L75:L82)/-L83</f>
        <v>3.173992673992674</v>
      </c>
      <c r="M144" s="27" t="s">
        <v>198</v>
      </c>
      <c r="N144" s="6"/>
    </row>
    <row r="145" spans="1:14" ht="15.75">
      <c r="A145" s="26"/>
      <c r="B145" s="27" t="s">
        <v>103</v>
      </c>
      <c r="C145" s="27"/>
      <c r="D145" s="27"/>
      <c r="E145" s="27"/>
      <c r="F145" s="27"/>
      <c r="G145" s="27"/>
      <c r="H145" s="27"/>
      <c r="I145" s="27"/>
      <c r="J145" s="27"/>
      <c r="K145" s="27"/>
      <c r="L145" s="81">
        <v>1.67</v>
      </c>
      <c r="M145" s="27" t="s">
        <v>198</v>
      </c>
      <c r="N145" s="6"/>
    </row>
    <row r="146" spans="1:14" ht="15.75">
      <c r="A146" s="26"/>
      <c r="B146" s="27" t="s">
        <v>104</v>
      </c>
      <c r="C146" s="27"/>
      <c r="D146" s="27"/>
      <c r="E146" s="27"/>
      <c r="F146" s="27"/>
      <c r="G146" s="27"/>
      <c r="H146" s="27"/>
      <c r="I146" s="27"/>
      <c r="J146" s="27"/>
      <c r="K146" s="27"/>
      <c r="L146" s="71">
        <f>SUM(L75:L83)/-L84</f>
        <v>6.668539325842697</v>
      </c>
      <c r="M146" s="27" t="s">
        <v>198</v>
      </c>
      <c r="N146" s="6"/>
    </row>
    <row r="147" spans="1:14" ht="15.75">
      <c r="A147" s="26"/>
      <c r="B147" s="27" t="s">
        <v>105</v>
      </c>
      <c r="C147" s="27"/>
      <c r="D147" s="27"/>
      <c r="E147" s="27"/>
      <c r="F147" s="27"/>
      <c r="G147" s="27"/>
      <c r="H147" s="27"/>
      <c r="I147" s="27"/>
      <c r="J147" s="27"/>
      <c r="K147" s="27"/>
      <c r="L147" s="81">
        <v>2.06</v>
      </c>
      <c r="M147" s="27" t="s">
        <v>198</v>
      </c>
      <c r="N147" s="6"/>
    </row>
    <row r="148" spans="1:14" ht="15.75">
      <c r="A148" s="26"/>
      <c r="B148" s="27"/>
      <c r="C148" s="27"/>
      <c r="D148" s="27"/>
      <c r="E148" s="27"/>
      <c r="F148" s="27"/>
      <c r="G148" s="27"/>
      <c r="H148" s="27"/>
      <c r="I148" s="27"/>
      <c r="J148" s="27"/>
      <c r="K148" s="27"/>
      <c r="L148" s="27"/>
      <c r="M148" s="27"/>
      <c r="N148" s="6"/>
    </row>
    <row r="149" spans="1:14" ht="15.75">
      <c r="A149" s="8"/>
      <c r="B149" s="15"/>
      <c r="C149" s="15"/>
      <c r="D149" s="15"/>
      <c r="E149" s="15"/>
      <c r="F149" s="15"/>
      <c r="G149" s="15"/>
      <c r="H149" s="15"/>
      <c r="I149" s="15"/>
      <c r="J149" s="15"/>
      <c r="K149" s="15"/>
      <c r="L149" s="15"/>
      <c r="M149" s="15"/>
      <c r="N149" s="6"/>
    </row>
    <row r="150" spans="1:14" ht="15.75">
      <c r="A150" s="139"/>
      <c r="B150" s="55" t="s">
        <v>106</v>
      </c>
      <c r="C150" s="83"/>
      <c r="D150" s="83"/>
      <c r="E150" s="83"/>
      <c r="F150" s="83"/>
      <c r="G150" s="84"/>
      <c r="H150" s="84"/>
      <c r="I150" s="84"/>
      <c r="J150" s="84">
        <v>36707</v>
      </c>
      <c r="K150" s="5"/>
      <c r="L150" s="5"/>
      <c r="M150" s="5"/>
      <c r="N150" s="6"/>
    </row>
    <row r="151" spans="1:14" ht="15.75">
      <c r="A151" s="86"/>
      <c r="B151" s="87"/>
      <c r="C151" s="88"/>
      <c r="D151" s="88"/>
      <c r="E151" s="88"/>
      <c r="F151" s="88"/>
      <c r="G151" s="89"/>
      <c r="H151" s="89"/>
      <c r="I151" s="89"/>
      <c r="J151" s="89"/>
      <c r="K151" s="10"/>
      <c r="L151" s="10"/>
      <c r="M151" s="10"/>
      <c r="N151" s="6"/>
    </row>
    <row r="152" spans="1:14" ht="15.75">
      <c r="A152" s="90"/>
      <c r="B152" s="91" t="s">
        <v>107</v>
      </c>
      <c r="C152" s="92"/>
      <c r="D152" s="92"/>
      <c r="E152" s="92"/>
      <c r="F152" s="92"/>
      <c r="G152" s="75"/>
      <c r="H152" s="75"/>
      <c r="I152" s="75"/>
      <c r="J152" s="93">
        <v>0.104</v>
      </c>
      <c r="K152" s="27"/>
      <c r="L152" s="27"/>
      <c r="M152" s="27"/>
      <c r="N152" s="6"/>
    </row>
    <row r="153" spans="1:14" ht="15.75">
      <c r="A153" s="90"/>
      <c r="B153" s="91" t="s">
        <v>108</v>
      </c>
      <c r="C153" s="92"/>
      <c r="D153" s="92"/>
      <c r="E153" s="92"/>
      <c r="F153" s="92"/>
      <c r="G153" s="75"/>
      <c r="H153" s="75"/>
      <c r="I153" s="75"/>
      <c r="J153" s="46">
        <v>0.093</v>
      </c>
      <c r="K153" s="27"/>
      <c r="L153" s="27"/>
      <c r="M153" s="27"/>
      <c r="N153" s="6"/>
    </row>
    <row r="154" spans="1:14" ht="15.75">
      <c r="A154" s="90"/>
      <c r="B154" s="91" t="s">
        <v>109</v>
      </c>
      <c r="C154" s="92"/>
      <c r="D154" s="92"/>
      <c r="E154" s="92"/>
      <c r="F154" s="92"/>
      <c r="G154" s="75"/>
      <c r="H154" s="75"/>
      <c r="I154" s="75"/>
      <c r="J154" s="93">
        <f>J152-J153</f>
        <v>0.010999999999999996</v>
      </c>
      <c r="K154" s="27"/>
      <c r="L154" s="27"/>
      <c r="M154" s="27"/>
      <c r="N154" s="6"/>
    </row>
    <row r="155" spans="1:14" ht="15.75">
      <c r="A155" s="90"/>
      <c r="B155" s="91" t="s">
        <v>110</v>
      </c>
      <c r="C155" s="92"/>
      <c r="D155" s="92"/>
      <c r="E155" s="92"/>
      <c r="F155" s="92"/>
      <c r="G155" s="75"/>
      <c r="H155" s="75"/>
      <c r="I155" s="75"/>
      <c r="J155" s="93">
        <v>0.09309</v>
      </c>
      <c r="K155" s="27"/>
      <c r="L155" s="27"/>
      <c r="M155" s="27"/>
      <c r="N155" s="6"/>
    </row>
    <row r="156" spans="1:14" ht="15.75">
      <c r="A156" s="90"/>
      <c r="B156" s="91" t="s">
        <v>111</v>
      </c>
      <c r="C156" s="92"/>
      <c r="D156" s="92"/>
      <c r="E156" s="92"/>
      <c r="F156" s="92"/>
      <c r="G156" s="75"/>
      <c r="H156" s="75"/>
      <c r="I156" s="75"/>
      <c r="J156" s="93">
        <f>L29</f>
        <v>0.06559245979005446</v>
      </c>
      <c r="K156" s="27"/>
      <c r="L156" s="27"/>
      <c r="M156" s="27"/>
      <c r="N156" s="6"/>
    </row>
    <row r="157" spans="1:14" ht="15.75">
      <c r="A157" s="90"/>
      <c r="B157" s="91" t="s">
        <v>112</v>
      </c>
      <c r="C157" s="92"/>
      <c r="D157" s="92"/>
      <c r="E157" s="92"/>
      <c r="F157" s="92"/>
      <c r="G157" s="75"/>
      <c r="H157" s="75"/>
      <c r="I157" s="75"/>
      <c r="J157" s="93">
        <f>J155-J156</f>
        <v>0.027497540209945548</v>
      </c>
      <c r="K157" s="27"/>
      <c r="L157" s="27"/>
      <c r="M157" s="27"/>
      <c r="N157" s="6"/>
    </row>
    <row r="158" spans="1:14" ht="15.75">
      <c r="A158" s="90"/>
      <c r="B158" s="91" t="s">
        <v>113</v>
      </c>
      <c r="C158" s="92"/>
      <c r="D158" s="92"/>
      <c r="E158" s="92"/>
      <c r="F158" s="92"/>
      <c r="G158" s="75"/>
      <c r="H158" s="75"/>
      <c r="I158" s="75"/>
      <c r="J158" s="94" t="s">
        <v>184</v>
      </c>
      <c r="K158" s="27"/>
      <c r="L158" s="27"/>
      <c r="M158" s="27"/>
      <c r="N158" s="6"/>
    </row>
    <row r="159" spans="1:14" ht="15.75">
      <c r="A159" s="90"/>
      <c r="B159" s="91" t="s">
        <v>114</v>
      </c>
      <c r="C159" s="92"/>
      <c r="D159" s="92"/>
      <c r="E159" s="92"/>
      <c r="F159" s="92"/>
      <c r="G159" s="75"/>
      <c r="H159" s="75"/>
      <c r="I159" s="75"/>
      <c r="J159" s="95">
        <v>17.6</v>
      </c>
      <c r="K159" s="27" t="s">
        <v>189</v>
      </c>
      <c r="L159" s="27"/>
      <c r="M159" s="27"/>
      <c r="N159" s="6"/>
    </row>
    <row r="160" spans="1:14" ht="15.75">
      <c r="A160" s="90"/>
      <c r="B160" s="91" t="s">
        <v>115</v>
      </c>
      <c r="C160" s="92"/>
      <c r="D160" s="92"/>
      <c r="E160" s="92"/>
      <c r="F160" s="92"/>
      <c r="G160" s="75"/>
      <c r="H160" s="75"/>
      <c r="I160" s="75"/>
      <c r="J160" s="95">
        <v>15.7</v>
      </c>
      <c r="K160" s="27" t="s">
        <v>189</v>
      </c>
      <c r="L160" s="27"/>
      <c r="M160" s="27"/>
      <c r="N160" s="6"/>
    </row>
    <row r="161" spans="1:14" ht="15.75">
      <c r="A161" s="90"/>
      <c r="B161" s="91" t="s">
        <v>116</v>
      </c>
      <c r="C161" s="92"/>
      <c r="D161" s="92"/>
      <c r="E161" s="92"/>
      <c r="F161" s="92"/>
      <c r="G161" s="75"/>
      <c r="H161" s="75"/>
      <c r="I161" s="75"/>
      <c r="J161" s="93">
        <f>F53/D53*4</f>
        <v>0.22997169403453818</v>
      </c>
      <c r="K161" s="27"/>
      <c r="L161" s="27"/>
      <c r="M161" s="27"/>
      <c r="N161" s="6"/>
    </row>
    <row r="162" spans="1:14" ht="15.75">
      <c r="A162" s="90"/>
      <c r="B162" s="91"/>
      <c r="C162" s="91"/>
      <c r="D162" s="91"/>
      <c r="E162" s="91"/>
      <c r="F162" s="91"/>
      <c r="G162" s="27"/>
      <c r="H162" s="27"/>
      <c r="I162" s="27"/>
      <c r="J162" s="54"/>
      <c r="K162" s="27"/>
      <c r="L162" s="96"/>
      <c r="M162" s="27"/>
      <c r="N162" s="6"/>
    </row>
    <row r="163" spans="1:14" ht="15.75">
      <c r="A163" s="97"/>
      <c r="B163" s="17" t="s">
        <v>117</v>
      </c>
      <c r="C163" s="20"/>
      <c r="D163" s="98"/>
      <c r="E163" s="20"/>
      <c r="F163" s="98"/>
      <c r="G163" s="20"/>
      <c r="H163" s="98"/>
      <c r="I163" s="20" t="s">
        <v>171</v>
      </c>
      <c r="J163" s="98" t="s">
        <v>185</v>
      </c>
      <c r="K163" s="18"/>
      <c r="L163" s="18"/>
      <c r="M163" s="10"/>
      <c r="N163" s="6"/>
    </row>
    <row r="164" spans="1:14" ht="15.75">
      <c r="A164" s="99"/>
      <c r="B164" s="91" t="s">
        <v>118</v>
      </c>
      <c r="C164" s="63"/>
      <c r="D164" s="63"/>
      <c r="E164" s="63"/>
      <c r="F164" s="27"/>
      <c r="G164" s="27"/>
      <c r="H164" s="27"/>
      <c r="I164" s="27">
        <v>305</v>
      </c>
      <c r="J164" s="100">
        <v>22314</v>
      </c>
      <c r="K164" s="27"/>
      <c r="L164" s="96"/>
      <c r="M164" s="101"/>
      <c r="N164" s="6"/>
    </row>
    <row r="165" spans="1:14" ht="15.75">
      <c r="A165" s="99"/>
      <c r="B165" s="91" t="s">
        <v>119</v>
      </c>
      <c r="C165" s="63"/>
      <c r="D165" s="63"/>
      <c r="E165" s="63"/>
      <c r="F165" s="27"/>
      <c r="G165" s="27"/>
      <c r="H165" s="27"/>
      <c r="I165" s="27">
        <v>25</v>
      </c>
      <c r="J165" s="100">
        <v>1993</v>
      </c>
      <c r="K165" s="27"/>
      <c r="L165" s="96"/>
      <c r="M165" s="101"/>
      <c r="N165" s="6"/>
    </row>
    <row r="166" spans="1:14" ht="15.75">
      <c r="A166" s="99"/>
      <c r="B166" s="102" t="s">
        <v>120</v>
      </c>
      <c r="C166" s="63"/>
      <c r="D166" s="63"/>
      <c r="E166" s="63"/>
      <c r="F166" s="27"/>
      <c r="G166" s="27"/>
      <c r="H166" s="27"/>
      <c r="I166" s="27">
        <v>1</v>
      </c>
      <c r="J166" s="100">
        <v>70</v>
      </c>
      <c r="K166" s="27"/>
      <c r="L166" s="96"/>
      <c r="M166" s="101"/>
      <c r="N166" s="6"/>
    </row>
    <row r="167" spans="1:14" ht="15.75">
      <c r="A167" s="99"/>
      <c r="B167" s="102" t="s">
        <v>121</v>
      </c>
      <c r="C167" s="63"/>
      <c r="D167" s="63"/>
      <c r="E167" s="63"/>
      <c r="F167" s="27"/>
      <c r="G167" s="27"/>
      <c r="H167" s="27"/>
      <c r="I167" s="27"/>
      <c r="J167" s="103" t="s">
        <v>186</v>
      </c>
      <c r="K167" s="27"/>
      <c r="L167" s="96"/>
      <c r="M167" s="101"/>
      <c r="N167" s="6"/>
    </row>
    <row r="168" spans="1:14" ht="15.75">
      <c r="A168" s="104"/>
      <c r="B168" s="102" t="s">
        <v>122</v>
      </c>
      <c r="C168" s="63"/>
      <c r="D168" s="91"/>
      <c r="E168" s="91"/>
      <c r="F168" s="91"/>
      <c r="G168" s="27"/>
      <c r="H168" s="27"/>
      <c r="I168" s="27"/>
      <c r="J168" s="103"/>
      <c r="K168" s="27"/>
      <c r="L168" s="96"/>
      <c r="M168" s="105"/>
      <c r="N168" s="6"/>
    </row>
    <row r="169" spans="1:14" ht="15.75">
      <c r="A169" s="99"/>
      <c r="B169" s="91" t="s">
        <v>123</v>
      </c>
      <c r="C169" s="63"/>
      <c r="D169" s="63"/>
      <c r="E169" s="63"/>
      <c r="F169" s="63"/>
      <c r="G169" s="27"/>
      <c r="H169" s="27"/>
      <c r="I169" s="27">
        <v>16</v>
      </c>
      <c r="J169" s="100">
        <f>L121</f>
        <v>379</v>
      </c>
      <c r="K169" s="27"/>
      <c r="L169" s="96"/>
      <c r="M169" s="105"/>
      <c r="N169" s="6"/>
    </row>
    <row r="170" spans="1:14" ht="15.75">
      <c r="A170" s="99"/>
      <c r="B170" s="91" t="s">
        <v>124</v>
      </c>
      <c r="C170" s="63"/>
      <c r="D170" s="63"/>
      <c r="E170" s="63"/>
      <c r="F170" s="63"/>
      <c r="G170" s="27"/>
      <c r="H170" s="27"/>
      <c r="I170" s="27">
        <v>106</v>
      </c>
      <c r="J170" s="100">
        <v>2498</v>
      </c>
      <c r="K170" s="27"/>
      <c r="L170" s="96"/>
      <c r="M170" s="105"/>
      <c r="N170" s="6"/>
    </row>
    <row r="171" spans="1:14" ht="15.75">
      <c r="A171" s="104"/>
      <c r="B171" s="102" t="s">
        <v>125</v>
      </c>
      <c r="C171" s="63"/>
      <c r="D171" s="91"/>
      <c r="E171" s="91"/>
      <c r="F171" s="91"/>
      <c r="G171" s="27"/>
      <c r="H171" s="27"/>
      <c r="I171" s="27"/>
      <c r="J171" s="100"/>
      <c r="K171" s="27"/>
      <c r="L171" s="96"/>
      <c r="M171" s="105"/>
      <c r="N171" s="6"/>
    </row>
    <row r="172" spans="1:14" ht="15.75">
      <c r="A172" s="104"/>
      <c r="B172" s="91" t="s">
        <v>126</v>
      </c>
      <c r="C172" s="63"/>
      <c r="D172" s="91"/>
      <c r="E172" s="91"/>
      <c r="F172" s="91"/>
      <c r="G172" s="27"/>
      <c r="H172" s="27"/>
      <c r="I172" s="27">
        <v>11</v>
      </c>
      <c r="J172" s="100">
        <v>766</v>
      </c>
      <c r="K172" s="27"/>
      <c r="L172" s="96"/>
      <c r="M172" s="105"/>
      <c r="N172" s="6"/>
    </row>
    <row r="173" spans="1:14" ht="15.75">
      <c r="A173" s="99"/>
      <c r="B173" s="91" t="s">
        <v>127</v>
      </c>
      <c r="C173" s="63"/>
      <c r="D173" s="106"/>
      <c r="E173" s="106"/>
      <c r="F173" s="107"/>
      <c r="G173" s="27"/>
      <c r="H173" s="27"/>
      <c r="I173" s="27"/>
      <c r="J173" s="103">
        <v>26.294</v>
      </c>
      <c r="K173" s="27"/>
      <c r="L173" s="96"/>
      <c r="M173" s="105"/>
      <c r="N173" s="6"/>
    </row>
    <row r="174" spans="1:14" ht="15.75">
      <c r="A174" s="99"/>
      <c r="B174" s="91" t="s">
        <v>128</v>
      </c>
      <c r="C174" s="63"/>
      <c r="D174" s="106"/>
      <c r="E174" s="106"/>
      <c r="F174" s="107"/>
      <c r="G174" s="27"/>
      <c r="H174" s="27"/>
      <c r="I174" s="27"/>
      <c r="J174" s="103">
        <v>5.73</v>
      </c>
      <c r="K174" s="27"/>
      <c r="L174" s="96"/>
      <c r="M174" s="105"/>
      <c r="N174" s="6"/>
    </row>
    <row r="175" spans="1:14" ht="15.75">
      <c r="A175" s="99"/>
      <c r="B175" s="91" t="s">
        <v>129</v>
      </c>
      <c r="C175" s="63"/>
      <c r="D175" s="109"/>
      <c r="E175" s="106"/>
      <c r="F175" s="107"/>
      <c r="G175" s="27"/>
      <c r="H175" s="27"/>
      <c r="I175" s="27"/>
      <c r="J175" s="110">
        <v>1.201</v>
      </c>
      <c r="K175" s="27"/>
      <c r="L175" s="96"/>
      <c r="M175" s="105"/>
      <c r="N175" s="6"/>
    </row>
    <row r="176" spans="1:14" ht="15.75">
      <c r="A176" s="99"/>
      <c r="B176" s="91"/>
      <c r="C176" s="63"/>
      <c r="D176" s="109"/>
      <c r="E176" s="106"/>
      <c r="F176" s="107"/>
      <c r="G176" s="27"/>
      <c r="H176" s="27"/>
      <c r="I176" s="27"/>
      <c r="J176" s="110"/>
      <c r="K176" s="27"/>
      <c r="L176" s="96"/>
      <c r="M176" s="105"/>
      <c r="N176" s="6"/>
    </row>
    <row r="177" spans="1:14" ht="15.75">
      <c r="A177" s="8"/>
      <c r="B177" s="17" t="s">
        <v>130</v>
      </c>
      <c r="C177" s="20"/>
      <c r="D177" s="98"/>
      <c r="E177" s="20"/>
      <c r="F177" s="98"/>
      <c r="G177" s="20"/>
      <c r="H177" s="98" t="s">
        <v>171</v>
      </c>
      <c r="I177" s="20" t="s">
        <v>172</v>
      </c>
      <c r="J177" s="98" t="s">
        <v>187</v>
      </c>
      <c r="K177" s="20" t="s">
        <v>172</v>
      </c>
      <c r="L177" s="18"/>
      <c r="M177" s="111"/>
      <c r="N177" s="6"/>
    </row>
    <row r="178" spans="1:14" ht="15.75">
      <c r="A178" s="26"/>
      <c r="B178" s="63" t="s">
        <v>131</v>
      </c>
      <c r="C178" s="112"/>
      <c r="D178" s="63"/>
      <c r="E178" s="112"/>
      <c r="F178" s="27"/>
      <c r="G178" s="112"/>
      <c r="H178" s="63">
        <f>164+1509</f>
        <v>1673</v>
      </c>
      <c r="I178" s="113">
        <f>H178/H184</f>
        <v>0.6673314718787395</v>
      </c>
      <c r="J178" s="62">
        <f>5373+65520</f>
        <v>70893</v>
      </c>
      <c r="K178" s="113">
        <f>J178/J184</f>
        <v>0.6135744021602721</v>
      </c>
      <c r="L178" s="96"/>
      <c r="M178" s="105"/>
      <c r="N178" s="6"/>
    </row>
    <row r="179" spans="1:14" ht="15.75">
      <c r="A179" s="26"/>
      <c r="B179" s="63" t="s">
        <v>132</v>
      </c>
      <c r="C179" s="112"/>
      <c r="D179" s="63"/>
      <c r="E179" s="112"/>
      <c r="F179" s="27"/>
      <c r="G179" s="114"/>
      <c r="H179" s="63">
        <f>50+22</f>
        <v>72</v>
      </c>
      <c r="I179" s="112">
        <f>H179/H184</f>
        <v>0.028719585161547666</v>
      </c>
      <c r="J179" s="62">
        <f>1769+965</f>
        <v>2734</v>
      </c>
      <c r="K179" s="113">
        <f>J179/J184</f>
        <v>0.023662595961606702</v>
      </c>
      <c r="L179" s="96"/>
      <c r="M179" s="105"/>
      <c r="N179" s="6"/>
    </row>
    <row r="180" spans="1:14" ht="15.75">
      <c r="A180" s="26"/>
      <c r="B180" s="63" t="s">
        <v>133</v>
      </c>
      <c r="C180" s="112"/>
      <c r="D180" s="63"/>
      <c r="E180" s="112"/>
      <c r="F180" s="27"/>
      <c r="G180" s="114"/>
      <c r="H180" s="63">
        <f>30+14</f>
        <v>44</v>
      </c>
      <c r="I180" s="112">
        <f>H180/H184</f>
        <v>0.017550857598723574</v>
      </c>
      <c r="J180" s="62">
        <f>1184+532</f>
        <v>1716</v>
      </c>
      <c r="K180" s="113">
        <f>J180/J184</f>
        <v>0.014851870764490528</v>
      </c>
      <c r="L180" s="96"/>
      <c r="M180" s="105"/>
      <c r="N180" s="6"/>
    </row>
    <row r="181" spans="1:14" ht="15.75">
      <c r="A181" s="26"/>
      <c r="B181" s="63" t="s">
        <v>134</v>
      </c>
      <c r="C181" s="112"/>
      <c r="D181" s="63"/>
      <c r="E181" s="112"/>
      <c r="F181" s="27"/>
      <c r="G181" s="114"/>
      <c r="H181" s="63">
        <f>23+683+3+9</f>
        <v>718</v>
      </c>
      <c r="I181" s="112">
        <f>H181/H184</f>
        <v>0.2863980853609892</v>
      </c>
      <c r="J181" s="62">
        <f>769+32765+199+66+327+19-3+6056</f>
        <v>40198</v>
      </c>
      <c r="K181" s="113">
        <f>J181/J184</f>
        <v>0.34791113111363065</v>
      </c>
      <c r="L181" s="96"/>
      <c r="M181" s="105"/>
      <c r="N181" s="6"/>
    </row>
    <row r="182" spans="1:14" ht="15.75">
      <c r="A182" s="26"/>
      <c r="B182" s="30"/>
      <c r="C182" s="112"/>
      <c r="D182" s="63"/>
      <c r="E182" s="112"/>
      <c r="F182" s="27"/>
      <c r="G182" s="114"/>
      <c r="H182" s="63"/>
      <c r="I182" s="112"/>
      <c r="J182" s="62"/>
      <c r="K182" s="113"/>
      <c r="L182" s="96"/>
      <c r="M182" s="105"/>
      <c r="N182" s="6"/>
    </row>
    <row r="183" spans="1:14" ht="15.75">
      <c r="A183" s="26"/>
      <c r="B183" s="63"/>
      <c r="C183" s="115"/>
      <c r="D183" s="101"/>
      <c r="E183" s="115"/>
      <c r="F183" s="27"/>
      <c r="G183" s="115"/>
      <c r="H183" s="101"/>
      <c r="I183" s="115"/>
      <c r="J183" s="62"/>
      <c r="K183" s="113"/>
      <c r="L183" s="96"/>
      <c r="M183" s="105"/>
      <c r="N183" s="6"/>
    </row>
    <row r="184" spans="1:14" ht="15.75">
      <c r="A184" s="26"/>
      <c r="B184" s="27"/>
      <c r="C184" s="27"/>
      <c r="D184" s="27"/>
      <c r="E184" s="27"/>
      <c r="F184" s="27"/>
      <c r="G184" s="27"/>
      <c r="H184" s="38">
        <f>SUM(H178:H182)</f>
        <v>2507</v>
      </c>
      <c r="I184" s="116">
        <f>SUM(I178:I183)</f>
        <v>1</v>
      </c>
      <c r="J184" s="62">
        <f>SUM(J178:J183)</f>
        <v>115541</v>
      </c>
      <c r="K184" s="116">
        <f>SUM(K178:K183)</f>
        <v>1</v>
      </c>
      <c r="L184" s="27"/>
      <c r="M184" s="27"/>
      <c r="N184" s="6"/>
    </row>
    <row r="185" spans="1:14" ht="15.75">
      <c r="A185" s="26"/>
      <c r="B185" s="27"/>
      <c r="C185" s="27"/>
      <c r="D185" s="27"/>
      <c r="E185" s="27"/>
      <c r="F185" s="27"/>
      <c r="G185" s="27"/>
      <c r="H185" s="38"/>
      <c r="I185" s="116"/>
      <c r="J185" s="62"/>
      <c r="K185" s="116"/>
      <c r="L185" s="27"/>
      <c r="M185" s="27"/>
      <c r="N185" s="6"/>
    </row>
    <row r="186" spans="1:14" ht="15.75">
      <c r="A186" s="8"/>
      <c r="B186" s="10"/>
      <c r="C186" s="10"/>
      <c r="D186" s="10"/>
      <c r="E186" s="10"/>
      <c r="F186" s="10"/>
      <c r="G186" s="10"/>
      <c r="H186" s="64"/>
      <c r="I186" s="119"/>
      <c r="J186" s="120"/>
      <c r="K186" s="119"/>
      <c r="L186" s="10"/>
      <c r="M186" s="10"/>
      <c r="N186" s="6"/>
    </row>
    <row r="187" spans="1:14" ht="15.75">
      <c r="A187" s="124"/>
      <c r="B187" s="17" t="s">
        <v>136</v>
      </c>
      <c r="C187" s="122"/>
      <c r="D187" s="20" t="s">
        <v>151</v>
      </c>
      <c r="E187" s="18"/>
      <c r="F187" s="17" t="s">
        <v>161</v>
      </c>
      <c r="G187" s="15"/>
      <c r="H187" s="15"/>
      <c r="I187" s="15"/>
      <c r="J187" s="15"/>
      <c r="K187" s="15"/>
      <c r="L187" s="15"/>
      <c r="M187" s="15"/>
      <c r="N187" s="6"/>
    </row>
    <row r="188" spans="1:14" ht="15.75">
      <c r="A188" s="124"/>
      <c r="B188" s="15"/>
      <c r="C188" s="15"/>
      <c r="D188" s="10"/>
      <c r="E188" s="10"/>
      <c r="F188" s="10"/>
      <c r="G188" s="15"/>
      <c r="H188" s="15"/>
      <c r="I188" s="15"/>
      <c r="J188" s="15"/>
      <c r="K188" s="15"/>
      <c r="L188" s="15"/>
      <c r="M188" s="15"/>
      <c r="N188" s="6"/>
    </row>
    <row r="189" spans="1:14" ht="15.75">
      <c r="A189" s="124"/>
      <c r="B189" s="16" t="s">
        <v>137</v>
      </c>
      <c r="C189" s="125"/>
      <c r="D189" s="126" t="s">
        <v>152</v>
      </c>
      <c r="E189" s="16"/>
      <c r="F189" s="16" t="s">
        <v>162</v>
      </c>
      <c r="G189" s="125"/>
      <c r="H189" s="125"/>
      <c r="I189" s="125"/>
      <c r="J189" s="125"/>
      <c r="K189" s="15"/>
      <c r="L189" s="15"/>
      <c r="M189" s="15"/>
      <c r="N189" s="6"/>
    </row>
    <row r="190" spans="1:14" ht="15.75">
      <c r="A190" s="124"/>
      <c r="B190" s="16" t="s">
        <v>138</v>
      </c>
      <c r="C190" s="125"/>
      <c r="D190" s="126" t="s">
        <v>153</v>
      </c>
      <c r="E190" s="16"/>
      <c r="F190" s="16" t="s">
        <v>163</v>
      </c>
      <c r="G190" s="125"/>
      <c r="H190" s="125"/>
      <c r="I190" s="125"/>
      <c r="J190" s="125"/>
      <c r="K190" s="15"/>
      <c r="L190" s="15"/>
      <c r="M190" s="15"/>
      <c r="N190" s="6"/>
    </row>
    <row r="191" spans="1:14" ht="15">
      <c r="A191" s="15"/>
      <c r="B191" s="15"/>
      <c r="C191" s="15"/>
      <c r="D191" s="135"/>
      <c r="E191" s="15"/>
      <c r="F191" s="15"/>
      <c r="G191" s="15"/>
      <c r="H191" s="15"/>
      <c r="I191" s="15"/>
      <c r="J191" s="15"/>
      <c r="K191" s="15"/>
      <c r="L191" s="15"/>
      <c r="M191" s="15"/>
      <c r="N191" s="6"/>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6.xml><?xml version="1.0" encoding="utf-8"?>
<worksheet xmlns="http://schemas.openxmlformats.org/spreadsheetml/2006/main" xmlns:r="http://schemas.openxmlformats.org/officeDocument/2006/relationships">
  <dimension ref="A1:N191"/>
  <sheetViews>
    <sheetView showOutlineSymbols="0" zoomScale="70" zoomScaleNormal="70" workbookViewId="0" topLeftCell="D1">
      <selection activeCell="O10" sqref="O10"/>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1.10546875" style="1" customWidth="1"/>
    <col min="14" max="16384" width="9.6640625" style="1" customWidth="1"/>
  </cols>
  <sheetData>
    <row r="1" spans="1:14" ht="20.25">
      <c r="A1" s="2"/>
      <c r="B1" s="3" t="s">
        <v>0</v>
      </c>
      <c r="C1" s="4"/>
      <c r="D1" s="5"/>
      <c r="E1" s="5"/>
      <c r="F1" s="5"/>
      <c r="G1" s="5"/>
      <c r="H1" s="5"/>
      <c r="I1" s="5"/>
      <c r="J1" s="5"/>
      <c r="K1" s="5"/>
      <c r="L1" s="5"/>
      <c r="M1" s="5"/>
      <c r="N1" s="6"/>
    </row>
    <row r="2" spans="1:14" ht="15.75">
      <c r="A2" s="8"/>
      <c r="B2" s="9"/>
      <c r="C2" s="9"/>
      <c r="D2" s="10"/>
      <c r="E2" s="10"/>
      <c r="F2" s="10"/>
      <c r="G2" s="10"/>
      <c r="H2" s="10"/>
      <c r="I2" s="10"/>
      <c r="J2" s="10"/>
      <c r="K2" s="10"/>
      <c r="L2" s="10"/>
      <c r="M2" s="10"/>
      <c r="N2" s="6"/>
    </row>
    <row r="3" spans="1:14" ht="15.75">
      <c r="A3" s="11"/>
      <c r="B3" s="12" t="s">
        <v>1</v>
      </c>
      <c r="C3" s="10"/>
      <c r="D3" s="10"/>
      <c r="E3" s="10"/>
      <c r="F3" s="10"/>
      <c r="G3" s="10"/>
      <c r="H3" s="10"/>
      <c r="I3" s="10"/>
      <c r="J3" s="10"/>
      <c r="K3" s="10"/>
      <c r="L3" s="10"/>
      <c r="M3" s="10"/>
      <c r="N3" s="6"/>
    </row>
    <row r="4" spans="1:14" ht="15.75">
      <c r="A4" s="8"/>
      <c r="B4" s="9"/>
      <c r="C4" s="9"/>
      <c r="D4" s="10"/>
      <c r="E4" s="10"/>
      <c r="F4" s="10"/>
      <c r="G4" s="10"/>
      <c r="H4" s="10"/>
      <c r="I4" s="10"/>
      <c r="J4" s="10"/>
      <c r="K4" s="10"/>
      <c r="L4" s="10"/>
      <c r="M4" s="10"/>
      <c r="N4" s="6"/>
    </row>
    <row r="5" spans="1:14" ht="15.75">
      <c r="A5" s="8"/>
      <c r="B5" s="13" t="s">
        <v>2</v>
      </c>
      <c r="C5" s="14"/>
      <c r="D5" s="10"/>
      <c r="E5" s="10"/>
      <c r="F5" s="10"/>
      <c r="G5" s="10"/>
      <c r="H5" s="10"/>
      <c r="I5" s="10"/>
      <c r="J5" s="10"/>
      <c r="K5" s="10"/>
      <c r="L5" s="10"/>
      <c r="M5" s="10"/>
      <c r="N5" s="6"/>
    </row>
    <row r="6" spans="1:14" ht="15.75">
      <c r="A6" s="8"/>
      <c r="B6" s="13" t="s">
        <v>3</v>
      </c>
      <c r="C6" s="14"/>
      <c r="D6" s="10"/>
      <c r="E6" s="10"/>
      <c r="F6" s="10"/>
      <c r="G6" s="10"/>
      <c r="H6" s="10"/>
      <c r="I6" s="10"/>
      <c r="J6" s="10"/>
      <c r="K6" s="10"/>
      <c r="L6" s="10"/>
      <c r="M6" s="10"/>
      <c r="N6" s="6"/>
    </row>
    <row r="7" spans="1:14" ht="15.75">
      <c r="A7" s="8"/>
      <c r="B7" s="13" t="s">
        <v>4</v>
      </c>
      <c r="C7" s="14"/>
      <c r="D7" s="10"/>
      <c r="E7" s="10"/>
      <c r="F7" s="10"/>
      <c r="G7" s="10"/>
      <c r="H7" s="10"/>
      <c r="I7" s="10"/>
      <c r="J7" s="10"/>
      <c r="K7" s="10"/>
      <c r="L7" s="10"/>
      <c r="M7" s="10"/>
      <c r="N7" s="6"/>
    </row>
    <row r="8" spans="1:14" ht="15.75">
      <c r="A8" s="8"/>
      <c r="B8" s="13" t="s">
        <v>5</v>
      </c>
      <c r="C8" s="14"/>
      <c r="D8" s="10"/>
      <c r="E8" s="10"/>
      <c r="F8" s="10"/>
      <c r="G8" s="10"/>
      <c r="H8" s="10"/>
      <c r="I8" s="10"/>
      <c r="J8" s="10"/>
      <c r="K8" s="10"/>
      <c r="L8" s="10"/>
      <c r="M8" s="10"/>
      <c r="N8" s="6"/>
    </row>
    <row r="9" spans="1:14" ht="15.75">
      <c r="A9" s="8"/>
      <c r="B9" s="15"/>
      <c r="C9" s="14"/>
      <c r="D9" s="10"/>
      <c r="E9" s="10"/>
      <c r="F9" s="10"/>
      <c r="G9" s="10"/>
      <c r="H9" s="10"/>
      <c r="I9" s="10"/>
      <c r="J9" s="10"/>
      <c r="K9" s="10"/>
      <c r="L9" s="10"/>
      <c r="M9" s="10"/>
      <c r="N9" s="6"/>
    </row>
    <row r="10" spans="1:14" ht="15.75">
      <c r="A10" s="8"/>
      <c r="B10" s="13"/>
      <c r="C10" s="14"/>
      <c r="D10" s="16"/>
      <c r="E10" s="16"/>
      <c r="F10" s="10"/>
      <c r="G10" s="10"/>
      <c r="H10" s="10"/>
      <c r="I10" s="10"/>
      <c r="J10" s="10"/>
      <c r="K10" s="10"/>
      <c r="L10" s="10"/>
      <c r="M10" s="10"/>
      <c r="N10" s="6"/>
    </row>
    <row r="11" spans="1:14" ht="15.75">
      <c r="A11" s="8"/>
      <c r="B11" s="16" t="s">
        <v>6</v>
      </c>
      <c r="C11" s="16"/>
      <c r="D11" s="10"/>
      <c r="E11" s="10"/>
      <c r="F11" s="10"/>
      <c r="G11" s="10"/>
      <c r="H11" s="10"/>
      <c r="I11" s="10"/>
      <c r="J11" s="10"/>
      <c r="K11" s="10"/>
      <c r="L11" s="10"/>
      <c r="M11" s="10"/>
      <c r="N11" s="6"/>
    </row>
    <row r="12" spans="1:14" ht="15.75">
      <c r="A12" s="8"/>
      <c r="B12" s="16"/>
      <c r="C12" s="16"/>
      <c r="D12" s="10"/>
      <c r="E12" s="10"/>
      <c r="F12" s="10"/>
      <c r="G12" s="10"/>
      <c r="H12" s="10"/>
      <c r="I12" s="10"/>
      <c r="J12" s="10"/>
      <c r="K12" s="10"/>
      <c r="L12" s="10"/>
      <c r="M12" s="10"/>
      <c r="N12" s="6"/>
    </row>
    <row r="13" spans="1:14" ht="15.75">
      <c r="A13" s="2"/>
      <c r="B13" s="5"/>
      <c r="C13" s="5"/>
      <c r="D13" s="5"/>
      <c r="E13" s="5"/>
      <c r="F13" s="5"/>
      <c r="G13" s="5"/>
      <c r="H13" s="5"/>
      <c r="I13" s="5"/>
      <c r="J13" s="5"/>
      <c r="K13" s="5"/>
      <c r="L13" s="5"/>
      <c r="M13" s="5"/>
      <c r="N13" s="6"/>
    </row>
    <row r="14" spans="1:14" ht="15.75">
      <c r="A14" s="8"/>
      <c r="B14" s="17" t="s">
        <v>7</v>
      </c>
      <c r="C14" s="17"/>
      <c r="D14" s="18"/>
      <c r="E14" s="18"/>
      <c r="F14" s="18"/>
      <c r="G14" s="18"/>
      <c r="H14" s="18"/>
      <c r="I14" s="18"/>
      <c r="J14" s="18"/>
      <c r="K14" s="18"/>
      <c r="L14" s="19" t="s">
        <v>190</v>
      </c>
      <c r="M14" s="18"/>
      <c r="N14" s="6"/>
    </row>
    <row r="15" spans="1:14" ht="15.75">
      <c r="A15" s="8"/>
      <c r="B15" s="17" t="s">
        <v>8</v>
      </c>
      <c r="C15" s="17"/>
      <c r="D15" s="18"/>
      <c r="E15" s="18"/>
      <c r="F15" s="18"/>
      <c r="G15" s="18"/>
      <c r="H15" s="18"/>
      <c r="I15" s="18"/>
      <c r="J15" s="18"/>
      <c r="K15" s="18"/>
      <c r="L15" s="20" t="s">
        <v>191</v>
      </c>
      <c r="M15" s="18"/>
      <c r="N15" s="6"/>
    </row>
    <row r="16" spans="1:14" ht="15.75">
      <c r="A16" s="8"/>
      <c r="B16" s="17" t="s">
        <v>9</v>
      </c>
      <c r="C16" s="17"/>
      <c r="D16" s="18"/>
      <c r="E16" s="18"/>
      <c r="F16" s="18"/>
      <c r="G16" s="18"/>
      <c r="H16" s="18"/>
      <c r="I16" s="18"/>
      <c r="J16" s="18"/>
      <c r="K16" s="18"/>
      <c r="L16" s="130">
        <v>36815</v>
      </c>
      <c r="M16" s="18"/>
      <c r="N16" s="6"/>
    </row>
    <row r="17" spans="1:14" ht="15.75">
      <c r="A17" s="8"/>
      <c r="B17" s="10"/>
      <c r="C17" s="10"/>
      <c r="D17" s="10"/>
      <c r="E17" s="10"/>
      <c r="F17" s="10"/>
      <c r="G17" s="10"/>
      <c r="H17" s="10"/>
      <c r="I17" s="10"/>
      <c r="J17" s="10"/>
      <c r="K17" s="10"/>
      <c r="L17" s="21"/>
      <c r="M17" s="10"/>
      <c r="N17" s="6"/>
    </row>
    <row r="18" spans="1:14" ht="15.75">
      <c r="A18" s="8"/>
      <c r="B18" s="22" t="s">
        <v>10</v>
      </c>
      <c r="C18" s="10"/>
      <c r="D18" s="10"/>
      <c r="E18" s="10"/>
      <c r="F18" s="10"/>
      <c r="G18" s="10"/>
      <c r="H18" s="10"/>
      <c r="I18" s="10"/>
      <c r="J18" s="21" t="s">
        <v>173</v>
      </c>
      <c r="K18" s="10"/>
      <c r="L18" s="15"/>
      <c r="M18" s="10"/>
      <c r="N18" s="6"/>
    </row>
    <row r="19" spans="1:14" ht="15.75">
      <c r="A19" s="8"/>
      <c r="B19" s="10"/>
      <c r="C19" s="10"/>
      <c r="D19" s="10"/>
      <c r="E19" s="10"/>
      <c r="F19" s="10"/>
      <c r="G19" s="10"/>
      <c r="H19" s="10"/>
      <c r="I19" s="10"/>
      <c r="J19" s="10"/>
      <c r="K19" s="10"/>
      <c r="L19" s="23"/>
      <c r="M19" s="10"/>
      <c r="N19" s="6"/>
    </row>
    <row r="20" spans="1:14" ht="15.75">
      <c r="A20" s="8"/>
      <c r="B20" s="10"/>
      <c r="C20" s="24" t="s">
        <v>139</v>
      </c>
      <c r="D20" s="25" t="s">
        <v>143</v>
      </c>
      <c r="E20" s="25"/>
      <c r="F20" s="25" t="s">
        <v>154</v>
      </c>
      <c r="G20" s="25"/>
      <c r="H20" s="25" t="s">
        <v>164</v>
      </c>
      <c r="I20" s="25"/>
      <c r="J20" s="25" t="s">
        <v>174</v>
      </c>
      <c r="K20" s="137"/>
      <c r="L20" s="137"/>
      <c r="M20" s="10"/>
      <c r="N20" s="6"/>
    </row>
    <row r="21" spans="1:14" ht="15.75">
      <c r="A21" s="26"/>
      <c r="B21" s="27" t="s">
        <v>11</v>
      </c>
      <c r="C21" s="28" t="s">
        <v>140</v>
      </c>
      <c r="D21" s="29" t="s">
        <v>144</v>
      </c>
      <c r="E21" s="29"/>
      <c r="F21" s="29" t="s">
        <v>144</v>
      </c>
      <c r="G21" s="29"/>
      <c r="H21" s="29" t="s">
        <v>165</v>
      </c>
      <c r="I21" s="29"/>
      <c r="J21" s="29" t="s">
        <v>175</v>
      </c>
      <c r="K21" s="30"/>
      <c r="L21" s="30"/>
      <c r="M21" s="27"/>
      <c r="N21" s="6"/>
    </row>
    <row r="22" spans="1:14" ht="15.75">
      <c r="A22" s="131"/>
      <c r="B22" s="31" t="s">
        <v>12</v>
      </c>
      <c r="C22" s="138" t="s">
        <v>165</v>
      </c>
      <c r="D22" s="32" t="s">
        <v>144</v>
      </c>
      <c r="E22" s="32"/>
      <c r="F22" s="32" t="s">
        <v>144</v>
      </c>
      <c r="G22" s="32"/>
      <c r="H22" s="32" t="s">
        <v>165</v>
      </c>
      <c r="I22" s="32"/>
      <c r="J22" s="32" t="s">
        <v>175</v>
      </c>
      <c r="K22" s="33"/>
      <c r="L22" s="33"/>
      <c r="M22" s="27"/>
      <c r="N22" s="6"/>
    </row>
    <row r="23" spans="1:14" ht="15.75">
      <c r="A23" s="26"/>
      <c r="B23" s="27" t="s">
        <v>13</v>
      </c>
      <c r="C23" s="27"/>
      <c r="D23" s="34" t="s">
        <v>145</v>
      </c>
      <c r="E23" s="29"/>
      <c r="F23" s="34" t="s">
        <v>155</v>
      </c>
      <c r="G23" s="29"/>
      <c r="H23" s="34" t="s">
        <v>166</v>
      </c>
      <c r="I23" s="29"/>
      <c r="J23" s="34" t="s">
        <v>176</v>
      </c>
      <c r="K23" s="30"/>
      <c r="L23" s="30"/>
      <c r="M23" s="27"/>
      <c r="N23" s="6"/>
    </row>
    <row r="24" spans="1:14" ht="15.75">
      <c r="A24" s="26"/>
      <c r="B24" s="27"/>
      <c r="C24" s="27"/>
      <c r="D24" s="27"/>
      <c r="E24" s="29"/>
      <c r="F24" s="29"/>
      <c r="G24" s="29"/>
      <c r="H24" s="29"/>
      <c r="I24" s="29"/>
      <c r="J24" s="29"/>
      <c r="K24" s="30"/>
      <c r="L24" s="30"/>
      <c r="M24" s="27"/>
      <c r="N24" s="6"/>
    </row>
    <row r="25" spans="1:14" ht="15.75">
      <c r="A25" s="26"/>
      <c r="B25" s="27" t="s">
        <v>14</v>
      </c>
      <c r="C25" s="27"/>
      <c r="D25" s="35">
        <v>55000</v>
      </c>
      <c r="E25" s="36"/>
      <c r="F25" s="35">
        <v>77000</v>
      </c>
      <c r="G25" s="35"/>
      <c r="H25" s="35">
        <v>33000</v>
      </c>
      <c r="I25" s="35"/>
      <c r="J25" s="35">
        <v>10000</v>
      </c>
      <c r="K25" s="37"/>
      <c r="L25" s="35">
        <f>J25+H25+F25+D25</f>
        <v>175000</v>
      </c>
      <c r="M25" s="38"/>
      <c r="N25" s="6"/>
    </row>
    <row r="26" spans="1:14" ht="15.75">
      <c r="A26" s="26"/>
      <c r="B26" s="27" t="s">
        <v>15</v>
      </c>
      <c r="C26" s="39">
        <v>0.834535</v>
      </c>
      <c r="D26" s="35">
        <v>0</v>
      </c>
      <c r="E26" s="36"/>
      <c r="F26" s="35">
        <f>77000*C26</f>
        <v>64259.195</v>
      </c>
      <c r="G26" s="35"/>
      <c r="H26" s="35">
        <v>33000</v>
      </c>
      <c r="I26" s="35"/>
      <c r="J26" s="35">
        <v>10000</v>
      </c>
      <c r="K26" s="37"/>
      <c r="L26" s="35">
        <f>J26+H26+F26+D26</f>
        <v>107259.195</v>
      </c>
      <c r="M26" s="38"/>
      <c r="N26" s="6"/>
    </row>
    <row r="27" spans="1:14" ht="15.75">
      <c r="A27" s="26"/>
      <c r="B27" s="31" t="s">
        <v>16</v>
      </c>
      <c r="C27" s="39">
        <v>0.735898</v>
      </c>
      <c r="D27" s="40">
        <v>0</v>
      </c>
      <c r="E27" s="41"/>
      <c r="F27" s="40">
        <f>77000*C27</f>
        <v>56664.146</v>
      </c>
      <c r="G27" s="40"/>
      <c r="H27" s="40">
        <v>33000</v>
      </c>
      <c r="I27" s="40"/>
      <c r="J27" s="40">
        <v>10000</v>
      </c>
      <c r="K27" s="42"/>
      <c r="L27" s="40">
        <f>J27+H27+F27+D27</f>
        <v>99664.14600000001</v>
      </c>
      <c r="M27" s="38"/>
      <c r="N27" s="6"/>
    </row>
    <row r="28" spans="1:14" ht="15.75">
      <c r="A28" s="26"/>
      <c r="B28" s="27" t="s">
        <v>17</v>
      </c>
      <c r="C28" s="27"/>
      <c r="D28" s="34" t="s">
        <v>146</v>
      </c>
      <c r="E28" s="27"/>
      <c r="F28" s="34" t="s">
        <v>156</v>
      </c>
      <c r="G28" s="34"/>
      <c r="H28" s="34" t="s">
        <v>167</v>
      </c>
      <c r="I28" s="34"/>
      <c r="J28" s="34" t="s">
        <v>177</v>
      </c>
      <c r="K28" s="30"/>
      <c r="L28" s="30"/>
      <c r="M28" s="27"/>
      <c r="N28" s="6"/>
    </row>
    <row r="29" spans="1:14" ht="15.75">
      <c r="A29" s="26"/>
      <c r="B29" s="27" t="s">
        <v>18</v>
      </c>
      <c r="C29" s="27"/>
      <c r="D29" s="45"/>
      <c r="E29" s="27"/>
      <c r="F29" s="45">
        <v>0.0640484</v>
      </c>
      <c r="G29" s="46"/>
      <c r="H29" s="45">
        <v>0.0662484</v>
      </c>
      <c r="I29" s="46"/>
      <c r="J29" s="45">
        <v>0.0714484</v>
      </c>
      <c r="K29" s="30"/>
      <c r="L29" s="46">
        <f>SUMPRODUCT(D29:J29,D26:J26)/L26</f>
        <v>0.06541518258679827</v>
      </c>
      <c r="M29" s="27"/>
      <c r="N29" s="6"/>
    </row>
    <row r="30" spans="1:14" ht="15.75">
      <c r="A30" s="26"/>
      <c r="B30" s="27" t="s">
        <v>19</v>
      </c>
      <c r="C30" s="27"/>
      <c r="D30" s="45"/>
      <c r="E30" s="27"/>
      <c r="F30" s="45">
        <v>0.0643125</v>
      </c>
      <c r="G30" s="46"/>
      <c r="H30" s="45">
        <v>0.0665125</v>
      </c>
      <c r="I30" s="46"/>
      <c r="J30" s="45">
        <v>0.0717125</v>
      </c>
      <c r="K30" s="30"/>
      <c r="L30" s="30"/>
      <c r="M30" s="27"/>
      <c r="N30" s="6"/>
    </row>
    <row r="31" spans="1:14" ht="15.75">
      <c r="A31" s="26"/>
      <c r="B31" s="27" t="s">
        <v>20</v>
      </c>
      <c r="C31" s="27"/>
      <c r="D31" s="34" t="s">
        <v>147</v>
      </c>
      <c r="E31" s="27"/>
      <c r="F31" s="34" t="s">
        <v>157</v>
      </c>
      <c r="G31" s="34"/>
      <c r="H31" s="34" t="s">
        <v>157</v>
      </c>
      <c r="I31" s="34"/>
      <c r="J31" s="34" t="s">
        <v>157</v>
      </c>
      <c r="K31" s="30"/>
      <c r="L31" s="30"/>
      <c r="M31" s="27"/>
      <c r="N31" s="6"/>
    </row>
    <row r="32" spans="1:14" ht="15.75">
      <c r="A32" s="26"/>
      <c r="B32" s="27" t="s">
        <v>21</v>
      </c>
      <c r="C32" s="27"/>
      <c r="D32" s="34" t="s">
        <v>148</v>
      </c>
      <c r="E32" s="27"/>
      <c r="F32" s="34" t="s">
        <v>158</v>
      </c>
      <c r="G32" s="34"/>
      <c r="H32" s="34" t="s">
        <v>158</v>
      </c>
      <c r="I32" s="34"/>
      <c r="J32" s="34" t="s">
        <v>158</v>
      </c>
      <c r="K32" s="30"/>
      <c r="L32" s="30"/>
      <c r="M32" s="27"/>
      <c r="N32" s="6"/>
    </row>
    <row r="33" spans="1:14" ht="15.75">
      <c r="A33" s="26"/>
      <c r="B33" s="27" t="s">
        <v>22</v>
      </c>
      <c r="C33" s="27"/>
      <c r="D33" s="34" t="s">
        <v>149</v>
      </c>
      <c r="E33" s="27"/>
      <c r="F33" s="34" t="s">
        <v>159</v>
      </c>
      <c r="G33" s="34"/>
      <c r="H33" s="34" t="s">
        <v>168</v>
      </c>
      <c r="I33" s="34"/>
      <c r="J33" s="34" t="s">
        <v>178</v>
      </c>
      <c r="K33" s="30"/>
      <c r="L33" s="30"/>
      <c r="M33" s="27"/>
      <c r="N33" s="6"/>
    </row>
    <row r="34" spans="1:14" ht="15.75">
      <c r="A34" s="26"/>
      <c r="B34" s="27"/>
      <c r="C34" s="27"/>
      <c r="D34" s="47"/>
      <c r="E34" s="47"/>
      <c r="F34" s="27"/>
      <c r="G34" s="47"/>
      <c r="H34" s="47"/>
      <c r="I34" s="47"/>
      <c r="J34" s="47"/>
      <c r="K34" s="47"/>
      <c r="L34" s="47"/>
      <c r="M34" s="27"/>
      <c r="N34" s="6"/>
    </row>
    <row r="35" spans="1:14" ht="15.75">
      <c r="A35" s="26"/>
      <c r="B35" s="27" t="s">
        <v>23</v>
      </c>
      <c r="C35" s="27"/>
      <c r="D35" s="27"/>
      <c r="E35" s="27"/>
      <c r="F35" s="27"/>
      <c r="G35" s="27"/>
      <c r="H35" s="27"/>
      <c r="I35" s="27"/>
      <c r="J35" s="27"/>
      <c r="K35" s="27"/>
      <c r="L35" s="46">
        <f>(H25+J25)/(D25+F25)</f>
        <v>0.32575757575757575</v>
      </c>
      <c r="M35" s="27"/>
      <c r="N35" s="6"/>
    </row>
    <row r="36" spans="1:14" ht="15.75">
      <c r="A36" s="26"/>
      <c r="B36" s="27" t="s">
        <v>24</v>
      </c>
      <c r="C36" s="133"/>
      <c r="D36" s="27"/>
      <c r="E36" s="27"/>
      <c r="F36" s="27"/>
      <c r="G36" s="27"/>
      <c r="H36" s="27"/>
      <c r="I36" s="27"/>
      <c r="J36" s="27"/>
      <c r="K36" s="27"/>
      <c r="L36" s="46">
        <f>(H27+J27)/(D27+F27)</f>
        <v>0.7588572851693556</v>
      </c>
      <c r="M36" s="27"/>
      <c r="N36" s="6"/>
    </row>
    <row r="37" spans="1:14" ht="15.75">
      <c r="A37" s="26"/>
      <c r="B37" s="27" t="s">
        <v>25</v>
      </c>
      <c r="C37" s="133"/>
      <c r="D37" s="27"/>
      <c r="E37" s="27"/>
      <c r="F37" s="27"/>
      <c r="G37" s="27"/>
      <c r="H37" s="27"/>
      <c r="I37" s="27"/>
      <c r="J37" s="34" t="s">
        <v>179</v>
      </c>
      <c r="K37" s="34" t="s">
        <v>188</v>
      </c>
      <c r="L37" s="35">
        <v>44500000</v>
      </c>
      <c r="M37" s="27"/>
      <c r="N37" s="6"/>
    </row>
    <row r="38" spans="1:14" ht="15.75">
      <c r="A38" s="26"/>
      <c r="B38" s="27"/>
      <c r="C38" s="133"/>
      <c r="D38" s="27"/>
      <c r="E38" s="27"/>
      <c r="F38" s="27"/>
      <c r="G38" s="27"/>
      <c r="H38" s="27"/>
      <c r="I38" s="27"/>
      <c r="J38" s="27"/>
      <c r="K38" s="27"/>
      <c r="L38" s="48"/>
      <c r="M38" s="27"/>
      <c r="N38" s="6"/>
    </row>
    <row r="39" spans="1:14" ht="15.75">
      <c r="A39" s="26"/>
      <c r="B39" s="27" t="s">
        <v>26</v>
      </c>
      <c r="C39" s="133"/>
      <c r="D39" s="27"/>
      <c r="E39" s="27"/>
      <c r="F39" s="27"/>
      <c r="G39" s="27"/>
      <c r="H39" s="27"/>
      <c r="I39" s="27"/>
      <c r="J39" s="34"/>
      <c r="K39" s="34"/>
      <c r="L39" s="34" t="s">
        <v>193</v>
      </c>
      <c r="M39" s="27"/>
      <c r="N39" s="6"/>
    </row>
    <row r="40" spans="1:14" ht="15.75">
      <c r="A40" s="131"/>
      <c r="B40" s="31" t="s">
        <v>27</v>
      </c>
      <c r="C40" s="31"/>
      <c r="D40" s="31"/>
      <c r="E40" s="31"/>
      <c r="F40" s="31"/>
      <c r="G40" s="31"/>
      <c r="H40" s="31"/>
      <c r="I40" s="31"/>
      <c r="J40" s="49"/>
      <c r="K40" s="49"/>
      <c r="L40" s="50">
        <v>36798</v>
      </c>
      <c r="M40" s="31"/>
      <c r="N40" s="6"/>
    </row>
    <row r="41" spans="1:14" ht="15.75">
      <c r="A41" s="26"/>
      <c r="B41" s="27" t="s">
        <v>28</v>
      </c>
      <c r="C41" s="27"/>
      <c r="D41" s="27"/>
      <c r="E41" s="27"/>
      <c r="F41" s="27"/>
      <c r="G41" s="27"/>
      <c r="H41" s="27"/>
      <c r="I41" s="27">
        <f>L41-J41+1</f>
        <v>91</v>
      </c>
      <c r="J41" s="51">
        <v>36616</v>
      </c>
      <c r="K41" s="52"/>
      <c r="L41" s="51">
        <v>36706</v>
      </c>
      <c r="M41" s="27"/>
      <c r="N41" s="6"/>
    </row>
    <row r="42" spans="1:14" ht="15.75">
      <c r="A42" s="26"/>
      <c r="B42" s="27" t="s">
        <v>29</v>
      </c>
      <c r="C42" s="27"/>
      <c r="D42" s="27"/>
      <c r="E42" s="27"/>
      <c r="F42" s="27"/>
      <c r="G42" s="27"/>
      <c r="H42" s="27"/>
      <c r="I42" s="27">
        <f>L42-J42+1</f>
        <v>91</v>
      </c>
      <c r="J42" s="51">
        <v>36707</v>
      </c>
      <c r="K42" s="52"/>
      <c r="L42" s="51">
        <v>36797</v>
      </c>
      <c r="M42" s="27"/>
      <c r="N42" s="6"/>
    </row>
    <row r="43" spans="1:14" ht="15.75">
      <c r="A43" s="26"/>
      <c r="B43" s="27" t="s">
        <v>30</v>
      </c>
      <c r="C43" s="27"/>
      <c r="D43" s="27"/>
      <c r="E43" s="27"/>
      <c r="F43" s="27"/>
      <c r="G43" s="27"/>
      <c r="H43" s="27"/>
      <c r="I43" s="27"/>
      <c r="J43" s="51"/>
      <c r="K43" s="52"/>
      <c r="L43" s="51" t="s">
        <v>205</v>
      </c>
      <c r="M43" s="27"/>
      <c r="N43" s="6"/>
    </row>
    <row r="44" spans="1:14" ht="15.75">
      <c r="A44" s="26"/>
      <c r="B44" s="27" t="s">
        <v>31</v>
      </c>
      <c r="C44" s="27"/>
      <c r="D44" s="27"/>
      <c r="E44" s="27"/>
      <c r="F44" s="27"/>
      <c r="G44" s="27"/>
      <c r="H44" s="27"/>
      <c r="I44" s="27"/>
      <c r="J44" s="51"/>
      <c r="K44" s="52"/>
      <c r="L44" s="51">
        <v>36789</v>
      </c>
      <c r="M44" s="27"/>
      <c r="N44" s="6"/>
    </row>
    <row r="45" spans="1:14" ht="15.75">
      <c r="A45" s="26"/>
      <c r="B45" s="27"/>
      <c r="C45" s="27"/>
      <c r="D45" s="27"/>
      <c r="E45" s="27"/>
      <c r="F45" s="27"/>
      <c r="G45" s="27"/>
      <c r="H45" s="27"/>
      <c r="I45" s="27"/>
      <c r="J45" s="27"/>
      <c r="K45" s="27"/>
      <c r="L45" s="53"/>
      <c r="M45" s="27"/>
      <c r="N45" s="6"/>
    </row>
    <row r="46" spans="1:14" ht="15.75">
      <c r="A46" s="8"/>
      <c r="B46" s="10"/>
      <c r="C46" s="10"/>
      <c r="D46" s="10"/>
      <c r="E46" s="10"/>
      <c r="F46" s="10"/>
      <c r="G46" s="10"/>
      <c r="H46" s="10"/>
      <c r="I46" s="10"/>
      <c r="J46" s="10"/>
      <c r="K46" s="10"/>
      <c r="L46" s="58"/>
      <c r="M46" s="10"/>
      <c r="N46" s="6"/>
    </row>
    <row r="47" spans="1:14" ht="15.75">
      <c r="A47" s="2"/>
      <c r="B47" s="55" t="s">
        <v>32</v>
      </c>
      <c r="C47" s="56"/>
      <c r="D47" s="5"/>
      <c r="E47" s="5"/>
      <c r="F47" s="5"/>
      <c r="G47" s="5"/>
      <c r="H47" s="5"/>
      <c r="I47" s="5"/>
      <c r="J47" s="5"/>
      <c r="K47" s="5"/>
      <c r="L47" s="57"/>
      <c r="M47" s="5"/>
      <c r="N47" s="6"/>
    </row>
    <row r="48" spans="1:14" ht="15.75">
      <c r="A48" s="8"/>
      <c r="B48" s="16"/>
      <c r="C48" s="16"/>
      <c r="D48" s="10"/>
      <c r="E48" s="10"/>
      <c r="F48" s="10"/>
      <c r="G48" s="10"/>
      <c r="H48" s="10"/>
      <c r="I48" s="10"/>
      <c r="J48" s="10"/>
      <c r="K48" s="10"/>
      <c r="L48" s="58"/>
      <c r="M48" s="10"/>
      <c r="N48" s="6"/>
    </row>
    <row r="49" spans="1:14" ht="63">
      <c r="A49" s="8"/>
      <c r="B49" s="59" t="s">
        <v>33</v>
      </c>
      <c r="C49" s="60" t="s">
        <v>141</v>
      </c>
      <c r="D49" s="60" t="s">
        <v>150</v>
      </c>
      <c r="E49" s="60"/>
      <c r="F49" s="60" t="s">
        <v>160</v>
      </c>
      <c r="G49" s="60"/>
      <c r="H49" s="60" t="s">
        <v>169</v>
      </c>
      <c r="I49" s="60"/>
      <c r="J49" s="60" t="s">
        <v>180</v>
      </c>
      <c r="K49" s="60"/>
      <c r="L49" s="61" t="s">
        <v>195</v>
      </c>
      <c r="M49" s="12"/>
      <c r="N49" s="6"/>
    </row>
    <row r="50" spans="1:14" ht="15.75">
      <c r="A50" s="26"/>
      <c r="B50" s="27" t="s">
        <v>34</v>
      </c>
      <c r="C50" s="38">
        <v>165784</v>
      </c>
      <c r="D50" s="62">
        <v>109485</v>
      </c>
      <c r="E50" s="38"/>
      <c r="F50" s="38">
        <f>6057+242</f>
        <v>6299</v>
      </c>
      <c r="G50" s="38"/>
      <c r="H50" s="38">
        <v>0</v>
      </c>
      <c r="I50" s="38"/>
      <c r="J50" s="38">
        <v>0</v>
      </c>
      <c r="K50" s="38"/>
      <c r="L50" s="62">
        <f>D50-F50+H50-J50</f>
        <v>103186</v>
      </c>
      <c r="M50" s="27"/>
      <c r="N50" s="6"/>
    </row>
    <row r="51" spans="1:14" ht="15.75">
      <c r="A51" s="26"/>
      <c r="B51" s="27" t="s">
        <v>35</v>
      </c>
      <c r="C51" s="38">
        <v>19105</v>
      </c>
      <c r="D51" s="62">
        <v>6056</v>
      </c>
      <c r="E51" s="38"/>
      <c r="F51" s="38">
        <v>529</v>
      </c>
      <c r="G51" s="38"/>
      <c r="H51" s="38">
        <v>0</v>
      </c>
      <c r="I51" s="38"/>
      <c r="J51" s="38">
        <v>0</v>
      </c>
      <c r="K51" s="38"/>
      <c r="L51" s="62">
        <f>D51-F51</f>
        <v>5527</v>
      </c>
      <c r="M51" s="27"/>
      <c r="N51" s="6"/>
    </row>
    <row r="52" spans="1:14" ht="15.75">
      <c r="A52" s="26"/>
      <c r="B52" s="27"/>
      <c r="C52" s="38"/>
      <c r="D52" s="62"/>
      <c r="E52" s="38"/>
      <c r="F52" s="38"/>
      <c r="G52" s="38"/>
      <c r="H52" s="38"/>
      <c r="I52" s="38"/>
      <c r="J52" s="38"/>
      <c r="K52" s="38"/>
      <c r="L52" s="62"/>
      <c r="M52" s="27"/>
      <c r="N52" s="6"/>
    </row>
    <row r="53" spans="1:14" ht="15.75">
      <c r="A53" s="26"/>
      <c r="B53" s="27" t="s">
        <v>36</v>
      </c>
      <c r="C53" s="38">
        <f>SUM(C50:C52)</f>
        <v>184889</v>
      </c>
      <c r="D53" s="63">
        <v>115541</v>
      </c>
      <c r="E53" s="38"/>
      <c r="F53" s="38">
        <f>SUM(F50:F52)</f>
        <v>6828</v>
      </c>
      <c r="G53" s="38"/>
      <c r="H53" s="38">
        <f>SUM(H50:H52)</f>
        <v>0</v>
      </c>
      <c r="I53" s="38"/>
      <c r="J53" s="38">
        <f>SUM(J50:J52)</f>
        <v>0</v>
      </c>
      <c r="K53" s="38"/>
      <c r="L53" s="63">
        <f>SUM(L50:L52)</f>
        <v>108713</v>
      </c>
      <c r="M53" s="27"/>
      <c r="N53" s="6"/>
    </row>
    <row r="54" spans="1:14" ht="15.75">
      <c r="A54" s="26"/>
      <c r="B54" s="27"/>
      <c r="C54" s="38"/>
      <c r="D54" s="63"/>
      <c r="E54" s="38"/>
      <c r="F54" s="38"/>
      <c r="G54" s="38"/>
      <c r="H54" s="38"/>
      <c r="I54" s="38"/>
      <c r="J54" s="38"/>
      <c r="K54" s="38"/>
      <c r="L54" s="63"/>
      <c r="M54" s="27"/>
      <c r="N54" s="6"/>
    </row>
    <row r="55" spans="1:14" ht="15.75">
      <c r="A55" s="8"/>
      <c r="B55" s="12" t="s">
        <v>37</v>
      </c>
      <c r="C55" s="64"/>
      <c r="D55" s="65"/>
      <c r="E55" s="64"/>
      <c r="F55" s="64"/>
      <c r="G55" s="64"/>
      <c r="H55" s="64"/>
      <c r="I55" s="64"/>
      <c r="J55" s="64"/>
      <c r="K55" s="64"/>
      <c r="L55" s="65"/>
      <c r="M55" s="10"/>
      <c r="N55" s="6"/>
    </row>
    <row r="56" spans="1:14" ht="15.75">
      <c r="A56" s="8"/>
      <c r="B56" s="10"/>
      <c r="C56" s="64"/>
      <c r="D56" s="65"/>
      <c r="E56" s="64"/>
      <c r="F56" s="64"/>
      <c r="G56" s="64"/>
      <c r="H56" s="64"/>
      <c r="I56" s="64"/>
      <c r="J56" s="64"/>
      <c r="K56" s="64"/>
      <c r="L56" s="65"/>
      <c r="M56" s="10"/>
      <c r="N56" s="6"/>
    </row>
    <row r="57" spans="1:14" ht="15.75">
      <c r="A57" s="26"/>
      <c r="B57" s="27" t="s">
        <v>34</v>
      </c>
      <c r="C57" s="38"/>
      <c r="D57" s="63"/>
      <c r="E57" s="38"/>
      <c r="F57" s="38"/>
      <c r="G57" s="38"/>
      <c r="H57" s="38"/>
      <c r="I57" s="38"/>
      <c r="J57" s="38"/>
      <c r="K57" s="38"/>
      <c r="L57" s="63"/>
      <c r="M57" s="27"/>
      <c r="N57" s="6"/>
    </row>
    <row r="58" spans="1:14" ht="15.75">
      <c r="A58" s="26"/>
      <c r="B58" s="27" t="s">
        <v>35</v>
      </c>
      <c r="C58" s="38"/>
      <c r="D58" s="63"/>
      <c r="E58" s="38"/>
      <c r="F58" s="38"/>
      <c r="G58" s="38"/>
      <c r="H58" s="38"/>
      <c r="I58" s="38"/>
      <c r="J58" s="38"/>
      <c r="K58" s="38"/>
      <c r="L58" s="63"/>
      <c r="M58" s="27"/>
      <c r="N58" s="6"/>
    </row>
    <row r="59" spans="1:14" ht="15.75">
      <c r="A59" s="26"/>
      <c r="B59" s="27"/>
      <c r="C59" s="38"/>
      <c r="D59" s="63"/>
      <c r="E59" s="38"/>
      <c r="F59" s="38"/>
      <c r="G59" s="38"/>
      <c r="H59" s="38"/>
      <c r="I59" s="38"/>
      <c r="J59" s="38"/>
      <c r="K59" s="38"/>
      <c r="L59" s="63"/>
      <c r="M59" s="27"/>
      <c r="N59" s="6"/>
    </row>
    <row r="60" spans="1:14" ht="15.75">
      <c r="A60" s="26"/>
      <c r="B60" s="27" t="s">
        <v>36</v>
      </c>
      <c r="C60" s="38"/>
      <c r="D60" s="38"/>
      <c r="E60" s="38"/>
      <c r="F60" s="38"/>
      <c r="G60" s="38"/>
      <c r="H60" s="38"/>
      <c r="I60" s="38"/>
      <c r="J60" s="38"/>
      <c r="K60" s="38"/>
      <c r="L60" s="38"/>
      <c r="M60" s="27"/>
      <c r="N60" s="6"/>
    </row>
    <row r="61" spans="1:14" ht="15.75">
      <c r="A61" s="26"/>
      <c r="B61" s="27"/>
      <c r="C61" s="38"/>
      <c r="D61" s="38"/>
      <c r="E61" s="38"/>
      <c r="F61" s="38"/>
      <c r="G61" s="38"/>
      <c r="H61" s="38"/>
      <c r="I61" s="38"/>
      <c r="J61" s="38"/>
      <c r="K61" s="38"/>
      <c r="L61" s="38"/>
      <c r="M61" s="27"/>
      <c r="N61" s="6"/>
    </row>
    <row r="62" spans="1:14" ht="15.75">
      <c r="A62" s="26"/>
      <c r="B62" s="27" t="s">
        <v>38</v>
      </c>
      <c r="C62" s="38">
        <v>-9889</v>
      </c>
      <c r="D62" s="62">
        <v>-9889</v>
      </c>
      <c r="E62" s="38"/>
      <c r="F62" s="38"/>
      <c r="G62" s="38"/>
      <c r="H62" s="38"/>
      <c r="I62" s="38"/>
      <c r="J62" s="38"/>
      <c r="K62" s="38"/>
      <c r="L62" s="62">
        <f>D62-F62+H62-J62</f>
        <v>-9889</v>
      </c>
      <c r="M62" s="27"/>
      <c r="N62" s="6"/>
    </row>
    <row r="63" spans="1:14" ht="15.75">
      <c r="A63" s="26"/>
      <c r="B63" s="27" t="s">
        <v>39</v>
      </c>
      <c r="C63" s="38">
        <v>0</v>
      </c>
      <c r="D63" s="63">
        <v>0</v>
      </c>
      <c r="E63" s="38"/>
      <c r="F63" s="38"/>
      <c r="G63" s="38"/>
      <c r="H63" s="38"/>
      <c r="I63" s="38"/>
      <c r="J63" s="38"/>
      <c r="K63" s="38"/>
      <c r="L63" s="63">
        <v>0</v>
      </c>
      <c r="M63" s="27"/>
      <c r="N63" s="6"/>
    </row>
    <row r="64" spans="1:14" ht="15.75">
      <c r="A64" s="26"/>
      <c r="B64" s="27" t="s">
        <v>40</v>
      </c>
      <c r="C64" s="38">
        <v>0</v>
      </c>
      <c r="D64" s="63">
        <v>1607</v>
      </c>
      <c r="E64" s="38"/>
      <c r="F64" s="38"/>
      <c r="G64" s="38"/>
      <c r="H64" s="38"/>
      <c r="I64" s="38"/>
      <c r="J64" s="38"/>
      <c r="K64" s="38"/>
      <c r="L64" s="63">
        <v>840</v>
      </c>
      <c r="M64" s="27"/>
      <c r="N64" s="6"/>
    </row>
    <row r="65" spans="1:14" ht="15.75">
      <c r="A65" s="26"/>
      <c r="B65" s="27" t="s">
        <v>41</v>
      </c>
      <c r="C65" s="63">
        <f>SUM(C53:C64)</f>
        <v>175000</v>
      </c>
      <c r="D65" s="63">
        <f>SUM(D53:D64)</f>
        <v>107259</v>
      </c>
      <c r="E65" s="38"/>
      <c r="F65" s="63"/>
      <c r="G65" s="38"/>
      <c r="H65" s="63"/>
      <c r="I65" s="38"/>
      <c r="J65" s="63"/>
      <c r="K65" s="38"/>
      <c r="L65" s="63">
        <f>SUM(L53:L64)</f>
        <v>99664</v>
      </c>
      <c r="M65" s="27"/>
      <c r="N65" s="6"/>
    </row>
    <row r="66" spans="1:14" ht="15.75">
      <c r="A66" s="26"/>
      <c r="B66" s="27"/>
      <c r="C66" s="38"/>
      <c r="D66" s="38"/>
      <c r="E66" s="38"/>
      <c r="F66" s="38"/>
      <c r="G66" s="38"/>
      <c r="H66" s="38"/>
      <c r="I66" s="38"/>
      <c r="J66" s="38"/>
      <c r="K66" s="38"/>
      <c r="L66" s="63"/>
      <c r="M66" s="27"/>
      <c r="N66" s="6"/>
    </row>
    <row r="67" spans="1:14" ht="15.75">
      <c r="A67" s="8"/>
      <c r="B67" s="10"/>
      <c r="C67" s="10"/>
      <c r="D67" s="10"/>
      <c r="E67" s="10"/>
      <c r="F67" s="10"/>
      <c r="G67" s="10"/>
      <c r="H67" s="10"/>
      <c r="I67" s="10"/>
      <c r="J67" s="10"/>
      <c r="K67" s="10"/>
      <c r="L67" s="10"/>
      <c r="M67" s="10"/>
      <c r="N67" s="6"/>
    </row>
    <row r="68" spans="1:14" ht="15.75">
      <c r="A68" s="8"/>
      <c r="B68" s="67" t="s">
        <v>42</v>
      </c>
      <c r="C68" s="17"/>
      <c r="D68" s="17"/>
      <c r="E68" s="17"/>
      <c r="F68" s="17"/>
      <c r="G68" s="17"/>
      <c r="H68" s="17"/>
      <c r="I68" s="20"/>
      <c r="J68" s="20" t="s">
        <v>181</v>
      </c>
      <c r="K68" s="20"/>
      <c r="L68" s="20" t="s">
        <v>196</v>
      </c>
      <c r="M68" s="17"/>
      <c r="N68" s="6"/>
    </row>
    <row r="69" spans="1:14" ht="15.75">
      <c r="A69" s="26"/>
      <c r="B69" s="27" t="s">
        <v>43</v>
      </c>
      <c r="C69" s="27"/>
      <c r="D69" s="27"/>
      <c r="E69" s="27"/>
      <c r="F69" s="27"/>
      <c r="G69" s="27"/>
      <c r="H69" s="27"/>
      <c r="I69" s="27"/>
      <c r="J69" s="38">
        <v>0</v>
      </c>
      <c r="K69" s="27"/>
      <c r="L69" s="62">
        <v>0</v>
      </c>
      <c r="M69" s="27"/>
      <c r="N69" s="6"/>
    </row>
    <row r="70" spans="1:14" ht="15.75">
      <c r="A70" s="26"/>
      <c r="B70" s="27" t="s">
        <v>44</v>
      </c>
      <c r="C70" s="47" t="s">
        <v>142</v>
      </c>
      <c r="D70" s="68">
        <f>L44</f>
        <v>36789</v>
      </c>
      <c r="E70" s="27"/>
      <c r="F70" s="27"/>
      <c r="G70" s="27"/>
      <c r="H70" s="27"/>
      <c r="I70" s="27"/>
      <c r="J70" s="38">
        <f>6299-242+1009</f>
        <v>7066</v>
      </c>
      <c r="K70" s="27"/>
      <c r="L70" s="62"/>
      <c r="M70" s="27"/>
      <c r="N70" s="6"/>
    </row>
    <row r="71" spans="1:14" ht="15.75">
      <c r="A71" s="26"/>
      <c r="B71" s="27" t="s">
        <v>45</v>
      </c>
      <c r="C71" s="27"/>
      <c r="D71" s="27"/>
      <c r="E71" s="27"/>
      <c r="F71" s="27"/>
      <c r="G71" s="27"/>
      <c r="H71" s="27"/>
      <c r="I71" s="27"/>
      <c r="J71" s="38"/>
      <c r="K71" s="27"/>
      <c r="L71" s="62">
        <f>2598+922+99+214-430-22+1</f>
        <v>3382</v>
      </c>
      <c r="M71" s="27"/>
      <c r="N71" s="6"/>
    </row>
    <row r="72" spans="1:14" ht="15.75">
      <c r="A72" s="26"/>
      <c r="B72" s="27" t="s">
        <v>46</v>
      </c>
      <c r="C72" s="27"/>
      <c r="D72" s="27"/>
      <c r="E72" s="27"/>
      <c r="F72" s="27"/>
      <c r="G72" s="27"/>
      <c r="H72" s="27"/>
      <c r="I72" s="27"/>
      <c r="J72" s="38"/>
      <c r="K72" s="27"/>
      <c r="L72" s="62"/>
      <c r="M72" s="27"/>
      <c r="N72" s="6"/>
    </row>
    <row r="73" spans="1:14" ht="15.75">
      <c r="A73" s="26"/>
      <c r="B73" s="27" t="s">
        <v>47</v>
      </c>
      <c r="C73" s="27"/>
      <c r="D73" s="27"/>
      <c r="E73" s="27"/>
      <c r="F73" s="27"/>
      <c r="G73" s="27"/>
      <c r="H73" s="27"/>
      <c r="I73" s="27"/>
      <c r="J73" s="38">
        <f>SUM(J69:J72)</f>
        <v>7066</v>
      </c>
      <c r="K73" s="27"/>
      <c r="L73" s="63">
        <f>SUM(L69:L72)</f>
        <v>3382</v>
      </c>
      <c r="M73" s="27"/>
      <c r="N73" s="6"/>
    </row>
    <row r="74" spans="1:14" ht="15.75">
      <c r="A74" s="26"/>
      <c r="B74" s="27" t="s">
        <v>48</v>
      </c>
      <c r="C74" s="27"/>
      <c r="D74" s="27"/>
      <c r="E74" s="27"/>
      <c r="F74" s="27"/>
      <c r="G74" s="27"/>
      <c r="H74" s="27"/>
      <c r="I74" s="27"/>
      <c r="J74" s="38">
        <f>-L74</f>
        <v>529</v>
      </c>
      <c r="K74" s="27"/>
      <c r="L74" s="62">
        <f>-F51</f>
        <v>-529</v>
      </c>
      <c r="M74" s="27"/>
      <c r="N74" s="6"/>
    </row>
    <row r="75" spans="1:14" ht="15.75">
      <c r="A75" s="26"/>
      <c r="B75" s="27" t="s">
        <v>49</v>
      </c>
      <c r="C75" s="27"/>
      <c r="D75" s="27"/>
      <c r="E75" s="27"/>
      <c r="F75" s="27"/>
      <c r="G75" s="27"/>
      <c r="H75" s="27"/>
      <c r="I75" s="27"/>
      <c r="J75" s="38">
        <f>J73+J74</f>
        <v>7595</v>
      </c>
      <c r="K75" s="27"/>
      <c r="L75" s="63">
        <f>L73+L74</f>
        <v>2853</v>
      </c>
      <c r="M75" s="27"/>
      <c r="N75" s="6"/>
    </row>
    <row r="76" spans="1:14" ht="15.75">
      <c r="A76" s="26"/>
      <c r="B76" s="69" t="s">
        <v>50</v>
      </c>
      <c r="C76" s="70"/>
      <c r="D76" s="27"/>
      <c r="E76" s="27"/>
      <c r="F76" s="27"/>
      <c r="G76" s="27"/>
      <c r="H76" s="27"/>
      <c r="I76" s="27"/>
      <c r="J76" s="38"/>
      <c r="K76" s="27"/>
      <c r="L76" s="62"/>
      <c r="M76" s="27"/>
      <c r="N76" s="6"/>
    </row>
    <row r="77" spans="1:14" ht="15.75">
      <c r="A77" s="26">
        <v>1</v>
      </c>
      <c r="B77" s="27" t="s">
        <v>51</v>
      </c>
      <c r="C77" s="27"/>
      <c r="D77" s="27"/>
      <c r="E77" s="27"/>
      <c r="F77" s="27"/>
      <c r="G77" s="27"/>
      <c r="H77" s="27"/>
      <c r="I77" s="27"/>
      <c r="J77" s="27"/>
      <c r="K77" s="27"/>
      <c r="L77" s="62">
        <v>0</v>
      </c>
      <c r="M77" s="27"/>
      <c r="N77" s="6"/>
    </row>
    <row r="78" spans="1:14" ht="15.75">
      <c r="A78" s="26">
        <v>2</v>
      </c>
      <c r="B78" s="27" t="s">
        <v>52</v>
      </c>
      <c r="C78" s="27"/>
      <c r="D78" s="27"/>
      <c r="E78" s="27"/>
      <c r="F78" s="27"/>
      <c r="G78" s="27"/>
      <c r="H78" s="27"/>
      <c r="I78" s="27"/>
      <c r="J78" s="27"/>
      <c r="K78" s="27"/>
      <c r="L78" s="62">
        <v>-4</v>
      </c>
      <c r="M78" s="27"/>
      <c r="N78" s="6"/>
    </row>
    <row r="79" spans="1:14" ht="15.75">
      <c r="A79" s="26">
        <v>3</v>
      </c>
      <c r="B79" s="27" t="s">
        <v>53</v>
      </c>
      <c r="C79" s="27"/>
      <c r="D79" s="27"/>
      <c r="E79" s="27"/>
      <c r="F79" s="27"/>
      <c r="G79" s="27"/>
      <c r="H79" s="27"/>
      <c r="I79" s="27"/>
      <c r="J79" s="27"/>
      <c r="K79" s="27"/>
      <c r="L79" s="62">
        <v>-163</v>
      </c>
      <c r="M79" s="27"/>
      <c r="N79" s="6"/>
    </row>
    <row r="80" spans="1:14" ht="15.75">
      <c r="A80" s="26">
        <v>4</v>
      </c>
      <c r="B80" s="27" t="s">
        <v>54</v>
      </c>
      <c r="C80" s="27"/>
      <c r="D80" s="27"/>
      <c r="E80" s="27"/>
      <c r="F80" s="27"/>
      <c r="G80" s="27"/>
      <c r="H80" s="27"/>
      <c r="I80" s="27"/>
      <c r="J80" s="27"/>
      <c r="K80" s="27"/>
      <c r="L80" s="62">
        <v>-44</v>
      </c>
      <c r="M80" s="27"/>
      <c r="N80" s="6"/>
    </row>
    <row r="81" spans="1:14" ht="15.75">
      <c r="A81" s="26">
        <v>5</v>
      </c>
      <c r="B81" s="27" t="s">
        <v>55</v>
      </c>
      <c r="C81" s="27"/>
      <c r="D81" s="27"/>
      <c r="E81" s="27"/>
      <c r="F81" s="27"/>
      <c r="G81" s="27"/>
      <c r="H81" s="27"/>
      <c r="I81" s="27"/>
      <c r="J81" s="27"/>
      <c r="K81" s="27"/>
      <c r="L81" s="62">
        <v>-1023</v>
      </c>
      <c r="M81" s="27"/>
      <c r="N81" s="6"/>
    </row>
    <row r="82" spans="1:14" ht="15.75">
      <c r="A82" s="26">
        <v>6</v>
      </c>
      <c r="B82" s="27" t="s">
        <v>56</v>
      </c>
      <c r="C82" s="27"/>
      <c r="D82" s="27"/>
      <c r="E82" s="27"/>
      <c r="F82" s="27"/>
      <c r="G82" s="27"/>
      <c r="H82" s="27"/>
      <c r="I82" s="27"/>
      <c r="J82" s="27"/>
      <c r="K82" s="27"/>
      <c r="L82" s="62">
        <v>-3</v>
      </c>
      <c r="M82" s="27"/>
      <c r="N82" s="6"/>
    </row>
    <row r="83" spans="1:14" ht="15.75">
      <c r="A83" s="26">
        <v>7</v>
      </c>
      <c r="B83" s="27" t="s">
        <v>57</v>
      </c>
      <c r="C83" s="27"/>
      <c r="D83" s="27"/>
      <c r="E83" s="27"/>
      <c r="F83" s="27"/>
      <c r="G83" s="27"/>
      <c r="H83" s="27"/>
      <c r="I83" s="27"/>
      <c r="J83" s="27"/>
      <c r="K83" s="27"/>
      <c r="L83" s="62">
        <v>-544</v>
      </c>
      <c r="M83" s="27"/>
      <c r="N83" s="6"/>
    </row>
    <row r="84" spans="1:14" ht="15.75">
      <c r="A84" s="26">
        <v>8</v>
      </c>
      <c r="B84" s="27" t="s">
        <v>58</v>
      </c>
      <c r="C84" s="27"/>
      <c r="D84" s="27"/>
      <c r="E84" s="27"/>
      <c r="F84" s="27"/>
      <c r="G84" s="27"/>
      <c r="H84" s="27"/>
      <c r="I84" s="27"/>
      <c r="J84" s="27"/>
      <c r="K84" s="27"/>
      <c r="L84" s="62">
        <v>-178</v>
      </c>
      <c r="M84" s="27"/>
      <c r="N84" s="6"/>
    </row>
    <row r="85" spans="1:14" ht="15.75">
      <c r="A85" s="26">
        <v>9</v>
      </c>
      <c r="B85" s="27" t="s">
        <v>59</v>
      </c>
      <c r="C85" s="27"/>
      <c r="D85" s="27"/>
      <c r="E85" s="27"/>
      <c r="F85" s="27"/>
      <c r="G85" s="27"/>
      <c r="H85" s="27"/>
      <c r="I85" s="27"/>
      <c r="J85" s="27"/>
      <c r="K85" s="27"/>
      <c r="L85" s="62">
        <v>0</v>
      </c>
      <c r="M85" s="27"/>
      <c r="N85" s="6"/>
    </row>
    <row r="86" spans="1:14" ht="15.75">
      <c r="A86" s="26">
        <v>10</v>
      </c>
      <c r="B86" s="27" t="s">
        <v>60</v>
      </c>
      <c r="C86" s="27"/>
      <c r="D86" s="27"/>
      <c r="E86" s="27"/>
      <c r="F86" s="27"/>
      <c r="G86" s="27"/>
      <c r="H86" s="27"/>
      <c r="I86" s="27"/>
      <c r="J86" s="27"/>
      <c r="K86" s="27"/>
      <c r="L86" s="62">
        <v>0</v>
      </c>
      <c r="M86" s="27"/>
      <c r="N86" s="6"/>
    </row>
    <row r="87" spans="1:14" ht="15.75">
      <c r="A87" s="26">
        <v>11</v>
      </c>
      <c r="B87" s="27" t="s">
        <v>61</v>
      </c>
      <c r="C87" s="27"/>
      <c r="D87" s="27"/>
      <c r="E87" s="27"/>
      <c r="F87" s="27"/>
      <c r="G87" s="27"/>
      <c r="H87" s="27"/>
      <c r="I87" s="27"/>
      <c r="J87" s="27"/>
      <c r="K87" s="27"/>
      <c r="L87" s="62">
        <v>-840</v>
      </c>
      <c r="M87" s="27"/>
      <c r="N87" s="6"/>
    </row>
    <row r="88" spans="1:14" ht="15.75">
      <c r="A88" s="26">
        <v>12</v>
      </c>
      <c r="B88" s="27" t="s">
        <v>62</v>
      </c>
      <c r="C88" s="27"/>
      <c r="D88" s="27"/>
      <c r="E88" s="27"/>
      <c r="F88" s="27"/>
      <c r="G88" s="27"/>
      <c r="H88" s="27"/>
      <c r="I88" s="27"/>
      <c r="J88" s="27"/>
      <c r="K88" s="27"/>
      <c r="L88" s="62">
        <v>-54</v>
      </c>
      <c r="M88" s="27"/>
      <c r="N88" s="6"/>
    </row>
    <row r="89" spans="1:14" ht="15.75">
      <c r="A89" s="26">
        <v>13</v>
      </c>
      <c r="B89" s="27" t="s">
        <v>63</v>
      </c>
      <c r="C89" s="27"/>
      <c r="D89" s="27"/>
      <c r="E89" s="27"/>
      <c r="F89" s="27"/>
      <c r="G89" s="27"/>
      <c r="H89" s="27"/>
      <c r="I89" s="27"/>
      <c r="J89" s="27"/>
      <c r="K89" s="27"/>
      <c r="L89" s="62">
        <f>L75+SUM(L77:L88)</f>
        <v>0</v>
      </c>
      <c r="M89" s="27"/>
      <c r="N89" s="6"/>
    </row>
    <row r="90" spans="1:14" ht="15.75">
      <c r="A90" s="26"/>
      <c r="B90" s="69" t="s">
        <v>64</v>
      </c>
      <c r="C90" s="70"/>
      <c r="D90" s="27"/>
      <c r="E90" s="27"/>
      <c r="F90" s="27"/>
      <c r="G90" s="27"/>
      <c r="H90" s="27"/>
      <c r="I90" s="27"/>
      <c r="J90" s="27"/>
      <c r="K90" s="27"/>
      <c r="L90" s="71"/>
      <c r="M90" s="27"/>
      <c r="N90" s="6"/>
    </row>
    <row r="91" spans="1:14" ht="15.75">
      <c r="A91" s="26"/>
      <c r="B91" s="27" t="s">
        <v>65</v>
      </c>
      <c r="C91" s="70"/>
      <c r="D91" s="27"/>
      <c r="E91" s="27"/>
      <c r="F91" s="27"/>
      <c r="G91" s="27"/>
      <c r="H91" s="27"/>
      <c r="I91" s="38"/>
      <c r="J91" s="38">
        <v>0</v>
      </c>
      <c r="K91" s="38"/>
      <c r="L91" s="62"/>
      <c r="M91" s="27"/>
      <c r="N91" s="6"/>
    </row>
    <row r="92" spans="1:14" ht="15.75">
      <c r="A92" s="26"/>
      <c r="B92" s="27" t="s">
        <v>66</v>
      </c>
      <c r="C92" s="27"/>
      <c r="D92" s="27"/>
      <c r="E92" s="27"/>
      <c r="F92" s="27"/>
      <c r="G92" s="27"/>
      <c r="H92" s="27"/>
      <c r="I92" s="38"/>
      <c r="J92" s="38">
        <v>0</v>
      </c>
      <c r="K92" s="38"/>
      <c r="L92" s="62"/>
      <c r="M92" s="27"/>
      <c r="N92" s="6"/>
    </row>
    <row r="93" spans="1:14" ht="15.75">
      <c r="A93" s="26"/>
      <c r="B93" s="27" t="s">
        <v>67</v>
      </c>
      <c r="C93" s="27"/>
      <c r="D93" s="27"/>
      <c r="E93" s="27"/>
      <c r="F93" s="27"/>
      <c r="G93" s="27"/>
      <c r="H93" s="27"/>
      <c r="I93" s="27"/>
      <c r="J93" s="38"/>
      <c r="K93" s="38"/>
      <c r="L93" s="62"/>
      <c r="M93" s="27"/>
      <c r="N93" s="6"/>
    </row>
    <row r="94" spans="1:14" ht="15.75">
      <c r="A94" s="26"/>
      <c r="B94" s="27" t="s">
        <v>68</v>
      </c>
      <c r="C94" s="27"/>
      <c r="D94" s="27"/>
      <c r="E94" s="27"/>
      <c r="F94" s="27"/>
      <c r="G94" s="27"/>
      <c r="H94" s="27"/>
      <c r="I94" s="27"/>
      <c r="J94" s="38">
        <v>-7595</v>
      </c>
      <c r="K94" s="38"/>
      <c r="L94" s="62"/>
      <c r="M94" s="27"/>
      <c r="N94" s="6"/>
    </row>
    <row r="95" spans="1:14" ht="15.75">
      <c r="A95" s="26"/>
      <c r="B95" s="27" t="s">
        <v>69</v>
      </c>
      <c r="C95" s="27"/>
      <c r="D95" s="27"/>
      <c r="E95" s="27"/>
      <c r="F95" s="27"/>
      <c r="G95" s="27"/>
      <c r="H95" s="27"/>
      <c r="I95" s="27"/>
      <c r="J95" s="38">
        <v>0</v>
      </c>
      <c r="K95" s="38"/>
      <c r="L95" s="62"/>
      <c r="M95" s="27"/>
      <c r="N95" s="6"/>
    </row>
    <row r="96" spans="1:14" ht="15.75">
      <c r="A96" s="26"/>
      <c r="B96" s="27" t="s">
        <v>70</v>
      </c>
      <c r="C96" s="27"/>
      <c r="D96" s="27"/>
      <c r="E96" s="27"/>
      <c r="F96" s="27"/>
      <c r="G96" s="27"/>
      <c r="H96" s="27"/>
      <c r="I96" s="27"/>
      <c r="J96" s="38">
        <f>SUM(J76:J95)</f>
        <v>-7595</v>
      </c>
      <c r="K96" s="38"/>
      <c r="L96" s="38">
        <f>SUM(L76:L95)</f>
        <v>-2853</v>
      </c>
      <c r="M96" s="27"/>
      <c r="N96" s="6"/>
    </row>
    <row r="97" spans="1:14" ht="15.75">
      <c r="A97" s="26"/>
      <c r="B97" s="27" t="s">
        <v>71</v>
      </c>
      <c r="C97" s="27"/>
      <c r="D97" s="27"/>
      <c r="E97" s="27"/>
      <c r="F97" s="27"/>
      <c r="G97" s="27"/>
      <c r="H97" s="27"/>
      <c r="I97" s="27"/>
      <c r="J97" s="38">
        <f>J75+J96</f>
        <v>0</v>
      </c>
      <c r="K97" s="38"/>
      <c r="L97" s="38">
        <f>L75+L96</f>
        <v>0</v>
      </c>
      <c r="M97" s="27"/>
      <c r="N97" s="6"/>
    </row>
    <row r="98" spans="1:14" ht="15.75">
      <c r="A98" s="26"/>
      <c r="B98" s="27"/>
      <c r="C98" s="27"/>
      <c r="D98" s="27"/>
      <c r="E98" s="27"/>
      <c r="F98" s="27"/>
      <c r="G98" s="27"/>
      <c r="H98" s="27"/>
      <c r="I98" s="27"/>
      <c r="J98" s="38"/>
      <c r="K98" s="38"/>
      <c r="L98" s="38"/>
      <c r="M98" s="27"/>
      <c r="N98" s="6"/>
    </row>
    <row r="99" spans="1:14" ht="15.75">
      <c r="A99" s="8"/>
      <c r="B99" s="10"/>
      <c r="C99" s="10"/>
      <c r="D99" s="10"/>
      <c r="E99" s="10"/>
      <c r="F99" s="10"/>
      <c r="G99" s="10"/>
      <c r="H99" s="10"/>
      <c r="I99" s="10"/>
      <c r="J99" s="10"/>
      <c r="K99" s="10"/>
      <c r="L99" s="58"/>
      <c r="M99" s="10"/>
      <c r="N99" s="6"/>
    </row>
    <row r="100" spans="1:14" ht="15.75">
      <c r="A100" s="8"/>
      <c r="B100" s="10"/>
      <c r="C100" s="10"/>
      <c r="D100" s="10"/>
      <c r="E100" s="10"/>
      <c r="F100" s="10"/>
      <c r="G100" s="10"/>
      <c r="H100" s="10"/>
      <c r="I100" s="10"/>
      <c r="J100" s="10"/>
      <c r="K100" s="10"/>
      <c r="L100" s="58"/>
      <c r="M100" s="10"/>
      <c r="N100" s="6"/>
    </row>
    <row r="101" spans="1:14" ht="15.75">
      <c r="A101" s="2"/>
      <c r="B101" s="55" t="s">
        <v>72</v>
      </c>
      <c r="C101" s="56"/>
      <c r="D101" s="5"/>
      <c r="E101" s="5"/>
      <c r="F101" s="5"/>
      <c r="G101" s="5"/>
      <c r="H101" s="5"/>
      <c r="I101" s="5"/>
      <c r="J101" s="5"/>
      <c r="K101" s="5"/>
      <c r="L101" s="57"/>
      <c r="M101" s="5"/>
      <c r="N101" s="6"/>
    </row>
    <row r="102" spans="1:14" ht="15.75">
      <c r="A102" s="8"/>
      <c r="B102" s="22"/>
      <c r="C102" s="16"/>
      <c r="D102" s="10"/>
      <c r="E102" s="10"/>
      <c r="F102" s="10"/>
      <c r="G102" s="10"/>
      <c r="H102" s="10"/>
      <c r="I102" s="10"/>
      <c r="J102" s="10"/>
      <c r="K102" s="10"/>
      <c r="L102" s="58"/>
      <c r="M102" s="10"/>
      <c r="N102" s="6"/>
    </row>
    <row r="103" spans="1:14" ht="15.75">
      <c r="A103" s="8"/>
      <c r="B103" s="72" t="s">
        <v>73</v>
      </c>
      <c r="C103" s="16"/>
      <c r="D103" s="10"/>
      <c r="E103" s="10"/>
      <c r="F103" s="10"/>
      <c r="G103" s="10"/>
      <c r="H103" s="10"/>
      <c r="I103" s="10"/>
      <c r="J103" s="10"/>
      <c r="K103" s="10"/>
      <c r="L103" s="58"/>
      <c r="M103" s="10"/>
      <c r="N103" s="6"/>
    </row>
    <row r="104" spans="1:14" ht="15.75">
      <c r="A104" s="26"/>
      <c r="B104" s="27" t="s">
        <v>74</v>
      </c>
      <c r="C104" s="27"/>
      <c r="D104" s="27"/>
      <c r="E104" s="27"/>
      <c r="F104" s="27"/>
      <c r="G104" s="27"/>
      <c r="H104" s="27"/>
      <c r="I104" s="27"/>
      <c r="J104" s="27"/>
      <c r="K104" s="27"/>
      <c r="L104" s="62">
        <v>3698</v>
      </c>
      <c r="M104" s="27"/>
      <c r="N104" s="6"/>
    </row>
    <row r="105" spans="1:14" ht="15.75">
      <c r="A105" s="26"/>
      <c r="B105" s="27" t="s">
        <v>75</v>
      </c>
      <c r="C105" s="27"/>
      <c r="D105" s="27"/>
      <c r="E105" s="27"/>
      <c r="F105" s="27"/>
      <c r="G105" s="27"/>
      <c r="H105" s="27"/>
      <c r="I105" s="27"/>
      <c r="J105" s="27"/>
      <c r="K105" s="27"/>
      <c r="L105" s="62">
        <v>3698</v>
      </c>
      <c r="M105" s="27"/>
      <c r="N105" s="6"/>
    </row>
    <row r="106" spans="1:14" ht="15.75">
      <c r="A106" s="26"/>
      <c r="B106" s="27" t="s">
        <v>76</v>
      </c>
      <c r="C106" s="27"/>
      <c r="D106" s="27"/>
      <c r="E106" s="27"/>
      <c r="F106" s="27"/>
      <c r="G106" s="27"/>
      <c r="H106" s="27"/>
      <c r="I106" s="27"/>
      <c r="J106" s="27"/>
      <c r="K106" s="27"/>
      <c r="L106" s="62">
        <v>0</v>
      </c>
      <c r="M106" s="27"/>
      <c r="N106" s="6"/>
    </row>
    <row r="107" spans="1:14" ht="15.75">
      <c r="A107" s="26"/>
      <c r="B107" s="27" t="s">
        <v>77</v>
      </c>
      <c r="C107" s="27"/>
      <c r="D107" s="27"/>
      <c r="E107" s="27"/>
      <c r="F107" s="27"/>
      <c r="G107" s="27"/>
      <c r="H107" s="27"/>
      <c r="I107" s="27"/>
      <c r="J107" s="27"/>
      <c r="K107" s="27"/>
      <c r="L107" s="62">
        <v>0</v>
      </c>
      <c r="M107" s="27"/>
      <c r="N107" s="6"/>
    </row>
    <row r="108" spans="1:14" ht="15.75">
      <c r="A108" s="26"/>
      <c r="B108" s="27" t="s">
        <v>78</v>
      </c>
      <c r="C108" s="27"/>
      <c r="D108" s="27"/>
      <c r="E108" s="27"/>
      <c r="F108" s="27"/>
      <c r="G108" s="27"/>
      <c r="H108" s="27"/>
      <c r="I108" s="27"/>
      <c r="J108" s="27"/>
      <c r="K108" s="27"/>
      <c r="L108" s="62">
        <v>0</v>
      </c>
      <c r="M108" s="27"/>
      <c r="N108" s="6"/>
    </row>
    <row r="109" spans="1:14" ht="15.75">
      <c r="A109" s="26"/>
      <c r="B109" s="27" t="s">
        <v>55</v>
      </c>
      <c r="C109" s="27"/>
      <c r="D109" s="27"/>
      <c r="E109" s="27"/>
      <c r="F109" s="27"/>
      <c r="G109" s="27"/>
      <c r="H109" s="27"/>
      <c r="I109" s="27"/>
      <c r="J109" s="27"/>
      <c r="K109" s="27"/>
      <c r="L109" s="62">
        <v>0</v>
      </c>
      <c r="M109" s="27"/>
      <c r="N109" s="6"/>
    </row>
    <row r="110" spans="1:14" ht="15.75">
      <c r="A110" s="26"/>
      <c r="B110" s="27" t="s">
        <v>57</v>
      </c>
      <c r="C110" s="27"/>
      <c r="D110" s="27"/>
      <c r="E110" s="27"/>
      <c r="F110" s="27"/>
      <c r="G110" s="27"/>
      <c r="H110" s="27"/>
      <c r="I110" s="27"/>
      <c r="J110" s="27"/>
      <c r="K110" s="27"/>
      <c r="L110" s="62">
        <v>0</v>
      </c>
      <c r="M110" s="27"/>
      <c r="N110" s="6"/>
    </row>
    <row r="111" spans="1:14" ht="15.75">
      <c r="A111" s="26"/>
      <c r="B111" s="27" t="s">
        <v>79</v>
      </c>
      <c r="C111" s="27"/>
      <c r="D111" s="27"/>
      <c r="E111" s="27"/>
      <c r="F111" s="27"/>
      <c r="G111" s="27"/>
      <c r="H111" s="27"/>
      <c r="I111" s="27"/>
      <c r="J111" s="27"/>
      <c r="K111" s="27"/>
      <c r="L111" s="62">
        <f>SUM(L105:L109)</f>
        <v>3698</v>
      </c>
      <c r="M111" s="27"/>
      <c r="N111" s="6"/>
    </row>
    <row r="112" spans="1:14" ht="15.75">
      <c r="A112" s="26"/>
      <c r="B112" s="27"/>
      <c r="C112" s="27"/>
      <c r="D112" s="27"/>
      <c r="E112" s="27"/>
      <c r="F112" s="27"/>
      <c r="G112" s="27"/>
      <c r="H112" s="27"/>
      <c r="I112" s="27"/>
      <c r="J112" s="27"/>
      <c r="K112" s="27"/>
      <c r="L112" s="54"/>
      <c r="M112" s="27"/>
      <c r="N112" s="6"/>
    </row>
    <row r="113" spans="1:14" ht="15.75">
      <c r="A113" s="8"/>
      <c r="B113" s="72" t="s">
        <v>39</v>
      </c>
      <c r="C113" s="10"/>
      <c r="D113" s="10"/>
      <c r="E113" s="10"/>
      <c r="F113" s="10"/>
      <c r="G113" s="10"/>
      <c r="H113" s="10"/>
      <c r="I113" s="10"/>
      <c r="J113" s="10"/>
      <c r="K113" s="10"/>
      <c r="L113" s="58"/>
      <c r="M113" s="10"/>
      <c r="N113" s="6"/>
    </row>
    <row r="114" spans="1:14" ht="15.75">
      <c r="A114" s="26"/>
      <c r="B114" s="27" t="s">
        <v>80</v>
      </c>
      <c r="C114" s="27"/>
      <c r="D114" s="73"/>
      <c r="E114" s="27"/>
      <c r="F114" s="27"/>
      <c r="G114" s="27"/>
      <c r="H114" s="27"/>
      <c r="I114" s="27"/>
      <c r="J114" s="27"/>
      <c r="K114" s="27"/>
      <c r="L114" s="62">
        <f>1848891.08/1000</f>
        <v>1848.89108</v>
      </c>
      <c r="M114" s="27"/>
      <c r="N114" s="6"/>
    </row>
    <row r="115" spans="1:14" ht="15.75">
      <c r="A115" s="26"/>
      <c r="B115" s="27" t="s">
        <v>81</v>
      </c>
      <c r="C115" s="30"/>
      <c r="D115" s="30"/>
      <c r="E115" s="30"/>
      <c r="F115" s="30"/>
      <c r="G115" s="30"/>
      <c r="H115" s="30"/>
      <c r="I115" s="30"/>
      <c r="J115" s="30"/>
      <c r="K115" s="30"/>
      <c r="L115" s="63">
        <v>0</v>
      </c>
      <c r="M115" s="27"/>
      <c r="N115" s="6"/>
    </row>
    <row r="116" spans="1:14" ht="15.75">
      <c r="A116" s="26"/>
      <c r="B116" s="27" t="s">
        <v>82</v>
      </c>
      <c r="C116" s="27"/>
      <c r="D116" s="27"/>
      <c r="E116" s="27"/>
      <c r="F116" s="27"/>
      <c r="G116" s="27"/>
      <c r="H116" s="27"/>
      <c r="I116" s="27"/>
      <c r="J116" s="27"/>
      <c r="K116" s="27"/>
      <c r="L116" s="62">
        <f>-L88</f>
        <v>54</v>
      </c>
      <c r="M116" s="27"/>
      <c r="N116" s="6"/>
    </row>
    <row r="117" spans="1:14" ht="15.75">
      <c r="A117" s="26"/>
      <c r="B117" s="27" t="s">
        <v>83</v>
      </c>
      <c r="C117" s="27"/>
      <c r="D117" s="27"/>
      <c r="E117" s="27"/>
      <c r="F117" s="27"/>
      <c r="G117" s="27"/>
      <c r="H117" s="27"/>
      <c r="I117" s="27"/>
      <c r="J117" s="27"/>
      <c r="K117" s="27"/>
      <c r="L117" s="62">
        <f>L114-L115-L116</f>
        <v>1794.89108</v>
      </c>
      <c r="M117" s="27"/>
      <c r="N117" s="6"/>
    </row>
    <row r="118" spans="1:14" ht="15.75">
      <c r="A118" s="26"/>
      <c r="B118" s="27"/>
      <c r="C118" s="27"/>
      <c r="D118" s="27"/>
      <c r="E118" s="27"/>
      <c r="F118" s="27"/>
      <c r="G118" s="27"/>
      <c r="H118" s="27"/>
      <c r="I118" s="27"/>
      <c r="J118" s="27"/>
      <c r="K118" s="27"/>
      <c r="L118" s="54"/>
      <c r="M118" s="27"/>
      <c r="N118" s="6"/>
    </row>
    <row r="119" spans="1:14" ht="15.75">
      <c r="A119" s="8"/>
      <c r="B119" s="72" t="s">
        <v>84</v>
      </c>
      <c r="C119" s="16"/>
      <c r="D119" s="10"/>
      <c r="E119" s="10"/>
      <c r="F119" s="10"/>
      <c r="G119" s="10"/>
      <c r="H119" s="10"/>
      <c r="I119" s="10"/>
      <c r="J119" s="10"/>
      <c r="K119" s="10"/>
      <c r="L119" s="74"/>
      <c r="M119" s="10"/>
      <c r="N119" s="6"/>
    </row>
    <row r="120" spans="1:14" ht="15.75">
      <c r="A120" s="26"/>
      <c r="B120" s="27" t="s">
        <v>85</v>
      </c>
      <c r="C120" s="27"/>
      <c r="D120" s="27"/>
      <c r="E120" s="27"/>
      <c r="F120" s="27"/>
      <c r="G120" s="27"/>
      <c r="H120" s="27"/>
      <c r="I120" s="27"/>
      <c r="J120" s="27"/>
      <c r="K120" s="27"/>
      <c r="L120" s="62">
        <f>Jun00!L124</f>
        <v>598</v>
      </c>
      <c r="M120" s="27"/>
      <c r="N120" s="6"/>
    </row>
    <row r="121" spans="1:14" ht="15.75">
      <c r="A121" s="26"/>
      <c r="B121" s="27" t="s">
        <v>86</v>
      </c>
      <c r="C121" s="27"/>
      <c r="D121" s="27"/>
      <c r="E121" s="27"/>
      <c r="F121" s="27"/>
      <c r="G121" s="27"/>
      <c r="H121" s="27"/>
      <c r="I121" s="27"/>
      <c r="J121" s="27"/>
      <c r="K121" s="27"/>
      <c r="L121" s="62">
        <v>242</v>
      </c>
      <c r="M121" s="27"/>
      <c r="N121" s="6"/>
    </row>
    <row r="122" spans="1:14" ht="15.75">
      <c r="A122" s="26"/>
      <c r="B122" s="27" t="s">
        <v>87</v>
      </c>
      <c r="C122" s="27"/>
      <c r="D122" s="27"/>
      <c r="E122" s="27"/>
      <c r="F122" s="27"/>
      <c r="G122" s="27"/>
      <c r="H122" s="27"/>
      <c r="I122" s="27"/>
      <c r="J122" s="27"/>
      <c r="K122" s="27"/>
      <c r="L122" s="62">
        <f>L121+L120</f>
        <v>840</v>
      </c>
      <c r="M122" s="27"/>
      <c r="N122" s="6"/>
    </row>
    <row r="123" spans="1:14" ht="15.75">
      <c r="A123" s="26"/>
      <c r="B123" s="27" t="s">
        <v>88</v>
      </c>
      <c r="C123" s="27"/>
      <c r="D123" s="27"/>
      <c r="E123" s="27"/>
      <c r="F123" s="27"/>
      <c r="G123" s="27"/>
      <c r="H123" s="75"/>
      <c r="I123" s="27"/>
      <c r="J123" s="27"/>
      <c r="K123" s="27"/>
      <c r="L123" s="62">
        <v>-840</v>
      </c>
      <c r="M123" s="27"/>
      <c r="N123" s="6"/>
    </row>
    <row r="124" spans="1:14" ht="15.75">
      <c r="A124" s="26"/>
      <c r="B124" s="27" t="s">
        <v>89</v>
      </c>
      <c r="C124" s="27"/>
      <c r="D124" s="27"/>
      <c r="E124" s="27"/>
      <c r="F124" s="27"/>
      <c r="G124" s="27"/>
      <c r="H124" s="27"/>
      <c r="I124" s="27"/>
      <c r="J124" s="27"/>
      <c r="K124" s="27"/>
      <c r="L124" s="62">
        <f>L122+L123</f>
        <v>0</v>
      </c>
      <c r="M124" s="27"/>
      <c r="N124" s="6"/>
    </row>
    <row r="125" spans="1:14" ht="15.75">
      <c r="A125" s="26"/>
      <c r="B125" s="27"/>
      <c r="C125" s="27"/>
      <c r="D125" s="27"/>
      <c r="E125" s="27"/>
      <c r="F125" s="27"/>
      <c r="G125" s="27"/>
      <c r="H125" s="27"/>
      <c r="I125" s="27"/>
      <c r="J125" s="27"/>
      <c r="K125" s="27"/>
      <c r="L125" s="54"/>
      <c r="M125" s="27"/>
      <c r="N125" s="6"/>
    </row>
    <row r="126" spans="1:14" ht="15.75">
      <c r="A126" s="2"/>
      <c r="B126" s="5"/>
      <c r="C126" s="5"/>
      <c r="D126" s="5"/>
      <c r="E126" s="5"/>
      <c r="F126" s="5"/>
      <c r="G126" s="5"/>
      <c r="H126" s="5"/>
      <c r="I126" s="5"/>
      <c r="J126" s="5"/>
      <c r="K126" s="5"/>
      <c r="L126" s="57"/>
      <c r="M126" s="5"/>
      <c r="N126" s="6"/>
    </row>
    <row r="127" spans="1:14" ht="15.75">
      <c r="A127" s="8"/>
      <c r="B127" s="72" t="s">
        <v>90</v>
      </c>
      <c r="C127" s="16"/>
      <c r="D127" s="10"/>
      <c r="E127" s="10"/>
      <c r="F127" s="10"/>
      <c r="G127" s="10"/>
      <c r="H127" s="10"/>
      <c r="I127" s="10"/>
      <c r="J127" s="10"/>
      <c r="K127" s="10"/>
      <c r="L127" s="58"/>
      <c r="M127" s="10"/>
      <c r="N127" s="6"/>
    </row>
    <row r="128" spans="1:14" ht="15.75">
      <c r="A128" s="8"/>
      <c r="B128" s="22"/>
      <c r="C128" s="16"/>
      <c r="D128" s="10"/>
      <c r="E128" s="10"/>
      <c r="F128" s="10"/>
      <c r="G128" s="10"/>
      <c r="H128" s="10"/>
      <c r="I128" s="10"/>
      <c r="J128" s="10"/>
      <c r="K128" s="10"/>
      <c r="L128" s="58"/>
      <c r="M128" s="10"/>
      <c r="N128" s="6"/>
    </row>
    <row r="129" spans="1:14" ht="15.75">
      <c r="A129" s="26"/>
      <c r="B129" s="27" t="s">
        <v>91</v>
      </c>
      <c r="C129" s="76"/>
      <c r="D129" s="27"/>
      <c r="E129" s="27"/>
      <c r="F129" s="27"/>
      <c r="G129" s="27"/>
      <c r="H129" s="27"/>
      <c r="I129" s="27"/>
      <c r="J129" s="27"/>
      <c r="K129" s="27"/>
      <c r="L129" s="62">
        <f>L53</f>
        <v>108713</v>
      </c>
      <c r="M129" s="27"/>
      <c r="N129" s="6"/>
    </row>
    <row r="130" spans="1:14" ht="15.75">
      <c r="A130" s="26"/>
      <c r="B130" s="27" t="s">
        <v>92</v>
      </c>
      <c r="C130" s="76"/>
      <c r="D130" s="27"/>
      <c r="E130" s="27"/>
      <c r="F130" s="27"/>
      <c r="G130" s="27"/>
      <c r="H130" s="27"/>
      <c r="I130" s="27"/>
      <c r="J130" s="27"/>
      <c r="K130" s="27"/>
      <c r="L130" s="62">
        <f>L65</f>
        <v>99664</v>
      </c>
      <c r="M130" s="27"/>
      <c r="N130" s="6"/>
    </row>
    <row r="131" spans="1:14" ht="15.75">
      <c r="A131" s="26"/>
      <c r="B131" s="27"/>
      <c r="C131" s="27"/>
      <c r="D131" s="27"/>
      <c r="E131" s="27"/>
      <c r="F131" s="27"/>
      <c r="G131" s="27"/>
      <c r="H131" s="27"/>
      <c r="I131" s="27"/>
      <c r="J131" s="27"/>
      <c r="K131" s="27"/>
      <c r="L131" s="54"/>
      <c r="M131" s="27"/>
      <c r="N131" s="6"/>
    </row>
    <row r="132" spans="1:14" ht="15.75">
      <c r="A132" s="2"/>
      <c r="B132" s="5"/>
      <c r="C132" s="5"/>
      <c r="D132" s="5"/>
      <c r="E132" s="5"/>
      <c r="F132" s="5"/>
      <c r="G132" s="5"/>
      <c r="H132" s="5"/>
      <c r="I132" s="5"/>
      <c r="J132" s="5"/>
      <c r="K132" s="5"/>
      <c r="L132" s="57"/>
      <c r="M132" s="5"/>
      <c r="N132" s="6"/>
    </row>
    <row r="133" spans="1:14" ht="15.75">
      <c r="A133" s="8"/>
      <c r="B133" s="72" t="s">
        <v>93</v>
      </c>
      <c r="C133" s="16"/>
      <c r="D133" s="10"/>
      <c r="E133" s="10"/>
      <c r="F133" s="10"/>
      <c r="G133" s="10"/>
      <c r="H133" s="77" t="s">
        <v>170</v>
      </c>
      <c r="I133" s="77"/>
      <c r="J133" s="77" t="s">
        <v>182</v>
      </c>
      <c r="K133" s="12"/>
      <c r="L133" s="78" t="s">
        <v>197</v>
      </c>
      <c r="M133" s="10"/>
      <c r="N133" s="6"/>
    </row>
    <row r="134" spans="1:14" ht="15.75">
      <c r="A134" s="26"/>
      <c r="B134" s="27" t="s">
        <v>94</v>
      </c>
      <c r="C134" s="27"/>
      <c r="D134" s="27"/>
      <c r="E134" s="27"/>
      <c r="F134" s="27"/>
      <c r="G134" s="27"/>
      <c r="H134" s="62">
        <v>31500</v>
      </c>
      <c r="I134" s="27"/>
      <c r="J134" s="47" t="s">
        <v>183</v>
      </c>
      <c r="K134" s="27"/>
      <c r="L134" s="62"/>
      <c r="M134" s="27"/>
      <c r="N134" s="6"/>
    </row>
    <row r="135" spans="1:14" ht="15.75">
      <c r="A135" s="26"/>
      <c r="B135" s="27" t="s">
        <v>95</v>
      </c>
      <c r="C135" s="27"/>
      <c r="D135" s="27"/>
      <c r="E135" s="27"/>
      <c r="F135" s="27"/>
      <c r="G135" s="27"/>
      <c r="H135" s="62">
        <v>111</v>
      </c>
      <c r="I135" s="27"/>
      <c r="J135" s="27">
        <v>23</v>
      </c>
      <c r="K135" s="27"/>
      <c r="L135" s="62">
        <f>J135+H135</f>
        <v>134</v>
      </c>
      <c r="M135" s="27"/>
      <c r="N135" s="6"/>
    </row>
    <row r="136" spans="1:14" ht="15.75">
      <c r="A136" s="26"/>
      <c r="B136" s="27" t="s">
        <v>96</v>
      </c>
      <c r="C136" s="27"/>
      <c r="D136" s="27"/>
      <c r="E136" s="27"/>
      <c r="F136" s="27"/>
      <c r="G136" s="27"/>
      <c r="H136" s="62">
        <v>0</v>
      </c>
      <c r="I136" s="27"/>
      <c r="J136" s="38">
        <v>0</v>
      </c>
      <c r="K136" s="27"/>
      <c r="L136" s="62">
        <f>J136+H136</f>
        <v>0</v>
      </c>
      <c r="M136" s="27"/>
      <c r="N136" s="6"/>
    </row>
    <row r="137" spans="1:14" ht="15.75">
      <c r="A137" s="26"/>
      <c r="B137" s="27" t="s">
        <v>97</v>
      </c>
      <c r="C137" s="27"/>
      <c r="D137" s="27"/>
      <c r="E137" s="27"/>
      <c r="F137" s="27"/>
      <c r="G137" s="27"/>
      <c r="H137" s="62">
        <f>H136+H135</f>
        <v>111</v>
      </c>
      <c r="I137" s="27"/>
      <c r="J137" s="62">
        <f>J136+J135</f>
        <v>23</v>
      </c>
      <c r="K137" s="27"/>
      <c r="L137" s="62">
        <f>J137+H137</f>
        <v>134</v>
      </c>
      <c r="M137" s="27"/>
      <c r="N137" s="6"/>
    </row>
    <row r="138" spans="1:14" ht="15.75">
      <c r="A138" s="26"/>
      <c r="B138" s="27" t="s">
        <v>98</v>
      </c>
      <c r="C138" s="27"/>
      <c r="D138" s="27"/>
      <c r="E138" s="27"/>
      <c r="F138" s="27"/>
      <c r="G138" s="27"/>
      <c r="H138" s="62">
        <f>H134-H137</f>
        <v>31389</v>
      </c>
      <c r="I138" s="27"/>
      <c r="J138" s="47" t="s">
        <v>183</v>
      </c>
      <c r="K138" s="27"/>
      <c r="L138" s="62"/>
      <c r="M138" s="27"/>
      <c r="N138" s="6"/>
    </row>
    <row r="139" spans="1:14" ht="15.75">
      <c r="A139" s="26"/>
      <c r="B139" s="27"/>
      <c r="C139" s="27"/>
      <c r="D139" s="27"/>
      <c r="E139" s="27"/>
      <c r="F139" s="27"/>
      <c r="G139" s="27"/>
      <c r="H139" s="27"/>
      <c r="I139" s="27"/>
      <c r="J139" s="27"/>
      <c r="K139" s="27"/>
      <c r="L139" s="54"/>
      <c r="M139" s="27"/>
      <c r="N139" s="6"/>
    </row>
    <row r="140" spans="1:14" ht="15.75">
      <c r="A140" s="2"/>
      <c r="B140" s="5"/>
      <c r="C140" s="5"/>
      <c r="D140" s="5"/>
      <c r="E140" s="5"/>
      <c r="F140" s="5"/>
      <c r="G140" s="5"/>
      <c r="H140" s="5"/>
      <c r="I140" s="5"/>
      <c r="J140" s="5"/>
      <c r="K140" s="5"/>
      <c r="L140" s="57"/>
      <c r="M140" s="5"/>
      <c r="N140" s="6"/>
    </row>
    <row r="141" spans="1:14" ht="15.75">
      <c r="A141" s="8"/>
      <c r="B141" s="72" t="s">
        <v>99</v>
      </c>
      <c r="C141" s="16"/>
      <c r="D141" s="10"/>
      <c r="E141" s="10"/>
      <c r="F141" s="10"/>
      <c r="G141" s="10"/>
      <c r="H141" s="10"/>
      <c r="I141" s="10"/>
      <c r="J141" s="10"/>
      <c r="K141" s="10"/>
      <c r="L141" s="79"/>
      <c r="M141" s="10"/>
      <c r="N141" s="6"/>
    </row>
    <row r="142" spans="1:14" ht="15.75">
      <c r="A142" s="26"/>
      <c r="B142" s="27" t="s">
        <v>100</v>
      </c>
      <c r="C142" s="27"/>
      <c r="D142" s="27"/>
      <c r="E142" s="27"/>
      <c r="F142" s="27"/>
      <c r="G142" s="27"/>
      <c r="H142" s="27"/>
      <c r="I142" s="27"/>
      <c r="J142" s="27"/>
      <c r="K142" s="27"/>
      <c r="L142" s="71">
        <f>SUM(L75:L80)/-L81</f>
        <v>2.5826001955034212</v>
      </c>
      <c r="M142" s="27" t="s">
        <v>198</v>
      </c>
      <c r="N142" s="6"/>
    </row>
    <row r="143" spans="1:14" ht="15.75">
      <c r="A143" s="26"/>
      <c r="B143" s="27" t="s">
        <v>101</v>
      </c>
      <c r="C143" s="27"/>
      <c r="D143" s="27"/>
      <c r="E143" s="27"/>
      <c r="F143" s="27"/>
      <c r="G143" s="27"/>
      <c r="H143" s="27"/>
      <c r="I143" s="27"/>
      <c r="J143" s="27"/>
      <c r="K143" s="27"/>
      <c r="L143" s="71">
        <v>1.6</v>
      </c>
      <c r="M143" s="27" t="s">
        <v>198</v>
      </c>
      <c r="N143" s="6"/>
    </row>
    <row r="144" spans="1:14" ht="15.75">
      <c r="A144" s="26"/>
      <c r="B144" s="27" t="s">
        <v>102</v>
      </c>
      <c r="C144" s="27"/>
      <c r="D144" s="27"/>
      <c r="E144" s="27"/>
      <c r="F144" s="27"/>
      <c r="G144" s="27"/>
      <c r="H144" s="27"/>
      <c r="I144" s="27"/>
      <c r="J144" s="27"/>
      <c r="K144" s="27"/>
      <c r="L144" s="71">
        <f>SUM(L75:L82)/-L83</f>
        <v>2.9705882352941178</v>
      </c>
      <c r="M144" s="27" t="s">
        <v>198</v>
      </c>
      <c r="N144" s="6"/>
    </row>
    <row r="145" spans="1:14" ht="15.75">
      <c r="A145" s="26"/>
      <c r="B145" s="27" t="s">
        <v>103</v>
      </c>
      <c r="C145" s="27"/>
      <c r="D145" s="27"/>
      <c r="E145" s="27"/>
      <c r="F145" s="27"/>
      <c r="G145" s="27"/>
      <c r="H145" s="27"/>
      <c r="I145" s="27"/>
      <c r="J145" s="27"/>
      <c r="K145" s="27"/>
      <c r="L145" s="71">
        <v>1.79</v>
      </c>
      <c r="M145" s="27" t="s">
        <v>198</v>
      </c>
      <c r="N145" s="6"/>
    </row>
    <row r="146" spans="1:14" ht="15.75">
      <c r="A146" s="26"/>
      <c r="B146" s="27" t="s">
        <v>104</v>
      </c>
      <c r="C146" s="27"/>
      <c r="D146" s="27"/>
      <c r="E146" s="27"/>
      <c r="F146" s="27"/>
      <c r="G146" s="27"/>
      <c r="H146" s="27"/>
      <c r="I146" s="27"/>
      <c r="J146" s="27"/>
      <c r="K146" s="27"/>
      <c r="L146" s="71">
        <f>SUM(L75:L83)/-L84</f>
        <v>6.022471910112359</v>
      </c>
      <c r="M146" s="27" t="s">
        <v>198</v>
      </c>
      <c r="N146" s="6"/>
    </row>
    <row r="147" spans="1:14" ht="15.75">
      <c r="A147" s="26"/>
      <c r="B147" s="27" t="s">
        <v>105</v>
      </c>
      <c r="C147" s="27"/>
      <c r="D147" s="27"/>
      <c r="E147" s="27"/>
      <c r="F147" s="27"/>
      <c r="G147" s="27"/>
      <c r="H147" s="27"/>
      <c r="I147" s="27"/>
      <c r="J147" s="27"/>
      <c r="K147" s="27"/>
      <c r="L147" s="71">
        <v>2.42</v>
      </c>
      <c r="M147" s="27" t="s">
        <v>198</v>
      </c>
      <c r="N147" s="6"/>
    </row>
    <row r="148" spans="1:14" ht="15.75">
      <c r="A148" s="26"/>
      <c r="B148" s="27"/>
      <c r="C148" s="27"/>
      <c r="D148" s="27"/>
      <c r="E148" s="27"/>
      <c r="F148" s="27"/>
      <c r="G148" s="27"/>
      <c r="H148" s="27"/>
      <c r="I148" s="27"/>
      <c r="J148" s="27"/>
      <c r="K148" s="27"/>
      <c r="L148" s="27"/>
      <c r="M148" s="27"/>
      <c r="N148" s="6"/>
    </row>
    <row r="149" spans="1:14" ht="15.75">
      <c r="A149" s="8"/>
      <c r="B149" s="15"/>
      <c r="C149" s="15"/>
      <c r="D149" s="15"/>
      <c r="E149" s="15"/>
      <c r="F149" s="15"/>
      <c r="G149" s="15"/>
      <c r="H149" s="15"/>
      <c r="I149" s="15"/>
      <c r="J149" s="15"/>
      <c r="K149" s="15"/>
      <c r="L149" s="15"/>
      <c r="M149" s="15"/>
      <c r="N149" s="6"/>
    </row>
    <row r="150" spans="1:14" ht="15.75">
      <c r="A150" s="139"/>
      <c r="B150" s="55" t="s">
        <v>106</v>
      </c>
      <c r="C150" s="83"/>
      <c r="D150" s="83"/>
      <c r="E150" s="83"/>
      <c r="F150" s="83"/>
      <c r="G150" s="84"/>
      <c r="H150" s="84"/>
      <c r="I150" s="84"/>
      <c r="J150" s="84">
        <v>36799</v>
      </c>
      <c r="K150" s="5"/>
      <c r="L150" s="5"/>
      <c r="M150" s="5"/>
      <c r="N150" s="6"/>
    </row>
    <row r="151" spans="1:14" ht="15.75">
      <c r="A151" s="86"/>
      <c r="B151" s="87"/>
      <c r="C151" s="88"/>
      <c r="D151" s="88"/>
      <c r="E151" s="88"/>
      <c r="F151" s="88"/>
      <c r="G151" s="89"/>
      <c r="H151" s="89"/>
      <c r="I151" s="89"/>
      <c r="J151" s="89"/>
      <c r="K151" s="10"/>
      <c r="L151" s="10"/>
      <c r="M151" s="10"/>
      <c r="N151" s="6"/>
    </row>
    <row r="152" spans="1:14" ht="15.75">
      <c r="A152" s="90"/>
      <c r="B152" s="91" t="s">
        <v>107</v>
      </c>
      <c r="C152" s="92"/>
      <c r="D152" s="92"/>
      <c r="E152" s="92"/>
      <c r="F152" s="92"/>
      <c r="G152" s="75"/>
      <c r="H152" s="75"/>
      <c r="I152" s="75"/>
      <c r="J152" s="93">
        <v>0.104</v>
      </c>
      <c r="K152" s="27"/>
      <c r="L152" s="27"/>
      <c r="M152" s="27"/>
      <c r="N152" s="6"/>
    </row>
    <row r="153" spans="1:14" ht="15.75">
      <c r="A153" s="90"/>
      <c r="B153" s="91" t="s">
        <v>108</v>
      </c>
      <c r="C153" s="92"/>
      <c r="D153" s="92"/>
      <c r="E153" s="92"/>
      <c r="F153" s="92"/>
      <c r="G153" s="75"/>
      <c r="H153" s="75"/>
      <c r="I153" s="75"/>
      <c r="J153" s="46">
        <v>0.093</v>
      </c>
      <c r="K153" s="27"/>
      <c r="L153" s="27"/>
      <c r="M153" s="27"/>
      <c r="N153" s="6"/>
    </row>
    <row r="154" spans="1:14" ht="15.75">
      <c r="A154" s="90"/>
      <c r="B154" s="91" t="s">
        <v>109</v>
      </c>
      <c r="C154" s="92"/>
      <c r="D154" s="92"/>
      <c r="E154" s="92"/>
      <c r="F154" s="92"/>
      <c r="G154" s="75"/>
      <c r="H154" s="75"/>
      <c r="I154" s="75"/>
      <c r="J154" s="93">
        <f>J152-J153</f>
        <v>0.010999999999999996</v>
      </c>
      <c r="K154" s="27"/>
      <c r="L154" s="27"/>
      <c r="M154" s="27"/>
      <c r="N154" s="6"/>
    </row>
    <row r="155" spans="1:14" ht="15.75">
      <c r="A155" s="90"/>
      <c r="B155" s="91" t="s">
        <v>110</v>
      </c>
      <c r="C155" s="92"/>
      <c r="D155" s="92"/>
      <c r="E155" s="92"/>
      <c r="F155" s="92"/>
      <c r="G155" s="75"/>
      <c r="H155" s="75"/>
      <c r="I155" s="75"/>
      <c r="J155" s="93">
        <v>0.09273</v>
      </c>
      <c r="K155" s="27"/>
      <c r="L155" s="27"/>
      <c r="M155" s="27"/>
      <c r="N155" s="6"/>
    </row>
    <row r="156" spans="1:14" ht="15.75">
      <c r="A156" s="90"/>
      <c r="B156" s="91" t="s">
        <v>111</v>
      </c>
      <c r="C156" s="92"/>
      <c r="D156" s="92"/>
      <c r="E156" s="92"/>
      <c r="F156" s="92"/>
      <c r="G156" s="75"/>
      <c r="H156" s="75"/>
      <c r="I156" s="75"/>
      <c r="J156" s="93">
        <f>L29</f>
        <v>0.06541518258679827</v>
      </c>
      <c r="K156" s="27"/>
      <c r="L156" s="27"/>
      <c r="M156" s="27"/>
      <c r="N156" s="6"/>
    </row>
    <row r="157" spans="1:14" ht="15.75">
      <c r="A157" s="90"/>
      <c r="B157" s="91" t="s">
        <v>112</v>
      </c>
      <c r="C157" s="92"/>
      <c r="D157" s="92"/>
      <c r="E157" s="92"/>
      <c r="F157" s="92"/>
      <c r="G157" s="75"/>
      <c r="H157" s="75"/>
      <c r="I157" s="75"/>
      <c r="J157" s="93">
        <f>J155-J156</f>
        <v>0.027314817413201742</v>
      </c>
      <c r="K157" s="27"/>
      <c r="L157" s="27"/>
      <c r="M157" s="27"/>
      <c r="N157" s="6"/>
    </row>
    <row r="158" spans="1:14" ht="15.75">
      <c r="A158" s="90"/>
      <c r="B158" s="91" t="s">
        <v>113</v>
      </c>
      <c r="C158" s="92"/>
      <c r="D158" s="92"/>
      <c r="E158" s="92"/>
      <c r="F158" s="92"/>
      <c r="G158" s="75"/>
      <c r="H158" s="75"/>
      <c r="I158" s="75"/>
      <c r="J158" s="94" t="s">
        <v>184</v>
      </c>
      <c r="K158" s="27"/>
      <c r="L158" s="27"/>
      <c r="M158" s="27"/>
      <c r="N158" s="6"/>
    </row>
    <row r="159" spans="1:14" ht="15.75">
      <c r="A159" s="90"/>
      <c r="B159" s="91" t="s">
        <v>114</v>
      </c>
      <c r="C159" s="92"/>
      <c r="D159" s="92"/>
      <c r="E159" s="92"/>
      <c r="F159" s="92"/>
      <c r="G159" s="75"/>
      <c r="H159" s="75"/>
      <c r="I159" s="75"/>
      <c r="J159" s="95">
        <v>17.6</v>
      </c>
      <c r="K159" s="27" t="s">
        <v>189</v>
      </c>
      <c r="L159" s="27"/>
      <c r="M159" s="27"/>
      <c r="N159" s="6"/>
    </row>
    <row r="160" spans="1:14" ht="15.75">
      <c r="A160" s="90"/>
      <c r="B160" s="91" t="s">
        <v>115</v>
      </c>
      <c r="C160" s="92"/>
      <c r="D160" s="92"/>
      <c r="E160" s="92"/>
      <c r="F160" s="92"/>
      <c r="G160" s="75"/>
      <c r="H160" s="75"/>
      <c r="I160" s="75"/>
      <c r="J160" s="95">
        <v>15.524</v>
      </c>
      <c r="K160" s="27" t="s">
        <v>189</v>
      </c>
      <c r="L160" s="27"/>
      <c r="M160" s="27"/>
      <c r="N160" s="6"/>
    </row>
    <row r="161" spans="1:14" ht="15.75">
      <c r="A161" s="90"/>
      <c r="B161" s="91" t="s">
        <v>116</v>
      </c>
      <c r="C161" s="92"/>
      <c r="D161" s="92"/>
      <c r="E161" s="92"/>
      <c r="F161" s="92"/>
      <c r="G161" s="75"/>
      <c r="H161" s="75"/>
      <c r="I161" s="75"/>
      <c r="J161" s="93">
        <f>F53/D53*4</f>
        <v>0.2363836213984646</v>
      </c>
      <c r="K161" s="27"/>
      <c r="L161" s="27"/>
      <c r="M161" s="27"/>
      <c r="N161" s="6"/>
    </row>
    <row r="162" spans="1:14" ht="15.75">
      <c r="A162" s="90"/>
      <c r="B162" s="91"/>
      <c r="C162" s="91"/>
      <c r="D162" s="91"/>
      <c r="E162" s="91"/>
      <c r="F162" s="91"/>
      <c r="G162" s="27"/>
      <c r="H162" s="27"/>
      <c r="I162" s="27"/>
      <c r="J162" s="54"/>
      <c r="K162" s="27"/>
      <c r="L162" s="96"/>
      <c r="M162" s="27"/>
      <c r="N162" s="6"/>
    </row>
    <row r="163" spans="1:14" ht="15.75">
      <c r="A163" s="97"/>
      <c r="B163" s="17" t="s">
        <v>117</v>
      </c>
      <c r="C163" s="20"/>
      <c r="D163" s="98"/>
      <c r="E163" s="20"/>
      <c r="F163" s="98"/>
      <c r="G163" s="20"/>
      <c r="H163" s="98"/>
      <c r="I163" s="20" t="s">
        <v>171</v>
      </c>
      <c r="J163" s="98" t="s">
        <v>185</v>
      </c>
      <c r="K163" s="18"/>
      <c r="L163" s="18"/>
      <c r="M163" s="10"/>
      <c r="N163" s="6"/>
    </row>
    <row r="164" spans="1:14" ht="15.75">
      <c r="A164" s="99"/>
      <c r="B164" s="91" t="s">
        <v>118</v>
      </c>
      <c r="C164" s="63"/>
      <c r="D164" s="63"/>
      <c r="E164" s="63"/>
      <c r="F164" s="27"/>
      <c r="G164" s="27"/>
      <c r="H164" s="27"/>
      <c r="I164" s="27">
        <v>289</v>
      </c>
      <c r="J164" s="100">
        <v>21816</v>
      </c>
      <c r="K164" s="27"/>
      <c r="L164" s="96"/>
      <c r="M164" s="101"/>
      <c r="N164" s="6"/>
    </row>
    <row r="165" spans="1:14" ht="15.75">
      <c r="A165" s="99"/>
      <c r="B165" s="91" t="s">
        <v>119</v>
      </c>
      <c r="C165" s="63"/>
      <c r="D165" s="63"/>
      <c r="E165" s="63"/>
      <c r="F165" s="27"/>
      <c r="G165" s="27"/>
      <c r="H165" s="27"/>
      <c r="I165" s="27">
        <v>17</v>
      </c>
      <c r="J165" s="100">
        <v>1366</v>
      </c>
      <c r="K165" s="27"/>
      <c r="L165" s="96"/>
      <c r="M165" s="101"/>
      <c r="N165" s="6"/>
    </row>
    <row r="166" spans="1:14" ht="15.75">
      <c r="A166" s="99"/>
      <c r="B166" s="102" t="s">
        <v>120</v>
      </c>
      <c r="C166" s="63"/>
      <c r="D166" s="63"/>
      <c r="E166" s="63"/>
      <c r="F166" s="27"/>
      <c r="G166" s="27"/>
      <c r="H166" s="27"/>
      <c r="I166" s="27">
        <v>1</v>
      </c>
      <c r="J166" s="100">
        <v>70</v>
      </c>
      <c r="K166" s="27"/>
      <c r="L166" s="96"/>
      <c r="M166" s="101"/>
      <c r="N166" s="6"/>
    </row>
    <row r="167" spans="1:14" ht="15.75">
      <c r="A167" s="99"/>
      <c r="B167" s="102" t="s">
        <v>121</v>
      </c>
      <c r="C167" s="63"/>
      <c r="D167" s="63"/>
      <c r="E167" s="63"/>
      <c r="F167" s="27"/>
      <c r="G167" s="27"/>
      <c r="H167" s="27"/>
      <c r="I167" s="27"/>
      <c r="J167" s="103" t="s">
        <v>186</v>
      </c>
      <c r="K167" s="27"/>
      <c r="L167" s="96"/>
      <c r="M167" s="101"/>
      <c r="N167" s="6"/>
    </row>
    <row r="168" spans="1:14" ht="15.75">
      <c r="A168" s="104"/>
      <c r="B168" s="102" t="s">
        <v>122</v>
      </c>
      <c r="C168" s="63"/>
      <c r="D168" s="91"/>
      <c r="E168" s="91"/>
      <c r="F168" s="91"/>
      <c r="G168" s="27"/>
      <c r="H168" s="27"/>
      <c r="I168" s="27"/>
      <c r="J168" s="103"/>
      <c r="K168" s="27"/>
      <c r="L168" s="96"/>
      <c r="M168" s="105"/>
      <c r="N168" s="6"/>
    </row>
    <row r="169" spans="1:14" ht="15.75">
      <c r="A169" s="99"/>
      <c r="B169" s="91" t="s">
        <v>123</v>
      </c>
      <c r="C169" s="63"/>
      <c r="D169" s="63"/>
      <c r="E169" s="63"/>
      <c r="F169" s="63"/>
      <c r="G169" s="27"/>
      <c r="H169" s="27"/>
      <c r="I169" s="27">
        <v>10</v>
      </c>
      <c r="J169" s="100">
        <v>241</v>
      </c>
      <c r="K169" s="27"/>
      <c r="L169" s="96"/>
      <c r="M169" s="105"/>
      <c r="N169" s="6"/>
    </row>
    <row r="170" spans="1:14" ht="15.75">
      <c r="A170" s="99"/>
      <c r="B170" s="91" t="s">
        <v>124</v>
      </c>
      <c r="C170" s="63"/>
      <c r="D170" s="63"/>
      <c r="E170" s="63"/>
      <c r="F170" s="63"/>
      <c r="G170" s="27"/>
      <c r="H170" s="27"/>
      <c r="I170" s="27">
        <v>116</v>
      </c>
      <c r="J170" s="100">
        <v>2740</v>
      </c>
      <c r="K170" s="27"/>
      <c r="L170" s="96"/>
      <c r="M170" s="105"/>
      <c r="N170" s="6"/>
    </row>
    <row r="171" spans="1:14" ht="15.75">
      <c r="A171" s="104"/>
      <c r="B171" s="102" t="s">
        <v>125</v>
      </c>
      <c r="C171" s="63"/>
      <c r="D171" s="91"/>
      <c r="E171" s="91"/>
      <c r="F171" s="91"/>
      <c r="G171" s="27"/>
      <c r="H171" s="27"/>
      <c r="I171" s="27"/>
      <c r="J171" s="100"/>
      <c r="K171" s="27"/>
      <c r="L171" s="96"/>
      <c r="M171" s="105"/>
      <c r="N171" s="6"/>
    </row>
    <row r="172" spans="1:14" ht="15.75">
      <c r="A172" s="104"/>
      <c r="B172" s="91" t="s">
        <v>126</v>
      </c>
      <c r="C172" s="63"/>
      <c r="D172" s="91"/>
      <c r="E172" s="91"/>
      <c r="F172" s="91"/>
      <c r="G172" s="27"/>
      <c r="H172" s="27"/>
      <c r="I172" s="27">
        <v>11</v>
      </c>
      <c r="J172" s="100">
        <v>814</v>
      </c>
      <c r="K172" s="27"/>
      <c r="L172" s="96"/>
      <c r="M172" s="105"/>
      <c r="N172" s="6"/>
    </row>
    <row r="173" spans="1:14" ht="15.75">
      <c r="A173" s="99"/>
      <c r="B173" s="91" t="s">
        <v>127</v>
      </c>
      <c r="C173" s="63"/>
      <c r="D173" s="106"/>
      <c r="E173" s="106"/>
      <c r="F173" s="107"/>
      <c r="G173" s="27"/>
      <c r="H173" s="27"/>
      <c r="I173" s="27"/>
      <c r="J173" s="103">
        <v>24.334</v>
      </c>
      <c r="K173" s="27"/>
      <c r="L173" s="96"/>
      <c r="M173" s="105"/>
      <c r="N173" s="6"/>
    </row>
    <row r="174" spans="1:14" ht="15.75">
      <c r="A174" s="99"/>
      <c r="B174" s="91" t="s">
        <v>128</v>
      </c>
      <c r="C174" s="63"/>
      <c r="D174" s="106"/>
      <c r="E174" s="106"/>
      <c r="F174" s="107"/>
      <c r="G174" s="27"/>
      <c r="H174" s="27"/>
      <c r="I174" s="27"/>
      <c r="J174" s="103">
        <v>5.55</v>
      </c>
      <c r="K174" s="27"/>
      <c r="L174" s="96"/>
      <c r="M174" s="105"/>
      <c r="N174" s="6"/>
    </row>
    <row r="175" spans="1:14" ht="15.75">
      <c r="A175" s="99"/>
      <c r="B175" s="91" t="s">
        <v>129</v>
      </c>
      <c r="C175" s="63"/>
      <c r="D175" s="109"/>
      <c r="E175" s="106"/>
      <c r="F175" s="107"/>
      <c r="G175" s="27"/>
      <c r="H175" s="27"/>
      <c r="I175" s="27"/>
      <c r="J175" s="110">
        <v>1.175</v>
      </c>
      <c r="K175" s="27"/>
      <c r="L175" s="96"/>
      <c r="M175" s="105"/>
      <c r="N175" s="6"/>
    </row>
    <row r="176" spans="1:14" ht="15.75">
      <c r="A176" s="99"/>
      <c r="B176" s="91"/>
      <c r="C176" s="63"/>
      <c r="D176" s="109"/>
      <c r="E176" s="106"/>
      <c r="F176" s="107"/>
      <c r="G176" s="27"/>
      <c r="H176" s="27"/>
      <c r="I176" s="27"/>
      <c r="J176" s="110"/>
      <c r="K176" s="27"/>
      <c r="L176" s="96"/>
      <c r="M176" s="105"/>
      <c r="N176" s="6"/>
    </row>
    <row r="177" spans="1:14" ht="15.75">
      <c r="A177" s="8"/>
      <c r="B177" s="17" t="s">
        <v>130</v>
      </c>
      <c r="C177" s="20"/>
      <c r="D177" s="98"/>
      <c r="E177" s="20"/>
      <c r="F177" s="98"/>
      <c r="G177" s="20"/>
      <c r="H177" s="98" t="s">
        <v>171</v>
      </c>
      <c r="I177" s="20" t="s">
        <v>172</v>
      </c>
      <c r="J177" s="98" t="s">
        <v>187</v>
      </c>
      <c r="K177" s="20" t="s">
        <v>172</v>
      </c>
      <c r="L177" s="18"/>
      <c r="M177" s="111"/>
      <c r="N177" s="6"/>
    </row>
    <row r="178" spans="1:14" ht="15.75">
      <c r="A178" s="26"/>
      <c r="B178" s="63" t="s">
        <v>131</v>
      </c>
      <c r="C178" s="112"/>
      <c r="D178" s="63"/>
      <c r="E178" s="112"/>
      <c r="F178" s="27"/>
      <c r="G178" s="112"/>
      <c r="H178" s="63">
        <f>157+1447</f>
        <v>1604</v>
      </c>
      <c r="I178" s="113">
        <f>H178/H184</f>
        <v>0.6733837111670865</v>
      </c>
      <c r="J178" s="62">
        <f>5381+62272</f>
        <v>67653</v>
      </c>
      <c r="K178" s="113">
        <f>J178/J184</f>
        <v>0.622308279598576</v>
      </c>
      <c r="L178" s="96"/>
      <c r="M178" s="105"/>
      <c r="N178" s="6"/>
    </row>
    <row r="179" spans="1:14" ht="15.75">
      <c r="A179" s="26"/>
      <c r="B179" s="63" t="s">
        <v>132</v>
      </c>
      <c r="C179" s="112"/>
      <c r="D179" s="63"/>
      <c r="E179" s="112"/>
      <c r="F179" s="27"/>
      <c r="G179" s="114"/>
      <c r="H179" s="63">
        <f>46+17</f>
        <v>63</v>
      </c>
      <c r="I179" s="112">
        <f>H179/H184</f>
        <v>0.02644836272040302</v>
      </c>
      <c r="J179" s="62">
        <f>1556+706</f>
        <v>2262</v>
      </c>
      <c r="K179" s="113">
        <f>J179/J184</f>
        <v>0.02080707919016125</v>
      </c>
      <c r="L179" s="96"/>
      <c r="M179" s="105"/>
      <c r="N179" s="6"/>
    </row>
    <row r="180" spans="1:14" ht="15.75">
      <c r="A180" s="26"/>
      <c r="B180" s="63" t="s">
        <v>133</v>
      </c>
      <c r="C180" s="112"/>
      <c r="D180" s="63"/>
      <c r="E180" s="112"/>
      <c r="F180" s="27"/>
      <c r="G180" s="114"/>
      <c r="H180" s="63">
        <f>30+13</f>
        <v>43</v>
      </c>
      <c r="I180" s="112">
        <f>H180/H184</f>
        <v>0.018052057094878254</v>
      </c>
      <c r="J180" s="62">
        <f>910+527</f>
        <v>1437</v>
      </c>
      <c r="K180" s="113">
        <f>J180/J184</f>
        <v>0.013218290360858406</v>
      </c>
      <c r="L180" s="96"/>
      <c r="M180" s="105"/>
      <c r="N180" s="6"/>
    </row>
    <row r="181" spans="1:14" ht="15.75">
      <c r="A181" s="26"/>
      <c r="B181" s="63" t="s">
        <v>134</v>
      </c>
      <c r="C181" s="112"/>
      <c r="D181" s="63"/>
      <c r="E181" s="112"/>
      <c r="F181" s="27"/>
      <c r="G181" s="114"/>
      <c r="H181" s="63">
        <f>18+640+5+9</f>
        <v>672</v>
      </c>
      <c r="I181" s="112">
        <f>H181/H184</f>
        <v>0.28211586901763225</v>
      </c>
      <c r="J181" s="62">
        <f>666+30609+103+130+301+25+5527</f>
        <v>37361</v>
      </c>
      <c r="K181" s="113">
        <f>J181/J184</f>
        <v>0.34366635085040426</v>
      </c>
      <c r="L181" s="96"/>
      <c r="M181" s="105"/>
      <c r="N181" s="6"/>
    </row>
    <row r="182" spans="1:14" ht="15.75">
      <c r="A182" s="26"/>
      <c r="B182" s="30"/>
      <c r="C182" s="112"/>
      <c r="D182" s="63"/>
      <c r="E182" s="112"/>
      <c r="F182" s="27"/>
      <c r="G182" s="114"/>
      <c r="H182" s="63"/>
      <c r="I182" s="112"/>
      <c r="J182" s="62"/>
      <c r="K182" s="113"/>
      <c r="L182" s="96"/>
      <c r="M182" s="105"/>
      <c r="N182" s="6"/>
    </row>
    <row r="183" spans="1:14" ht="15.75">
      <c r="A183" s="26"/>
      <c r="B183" s="63"/>
      <c r="C183" s="115"/>
      <c r="D183" s="101"/>
      <c r="E183" s="115"/>
      <c r="F183" s="27"/>
      <c r="G183" s="115"/>
      <c r="H183" s="101"/>
      <c r="I183" s="115"/>
      <c r="J183" s="62"/>
      <c r="K183" s="113"/>
      <c r="L183" s="96"/>
      <c r="M183" s="105"/>
      <c r="N183" s="6"/>
    </row>
    <row r="184" spans="1:14" ht="15.75">
      <c r="A184" s="26"/>
      <c r="B184" s="27"/>
      <c r="C184" s="27"/>
      <c r="D184" s="27"/>
      <c r="E184" s="27"/>
      <c r="F184" s="27"/>
      <c r="G184" s="27"/>
      <c r="H184" s="38">
        <f>SUM(H178:H182)</f>
        <v>2382</v>
      </c>
      <c r="I184" s="116">
        <f>SUM(I178:I183)</f>
        <v>1</v>
      </c>
      <c r="J184" s="62">
        <f>SUM(J178:J183)</f>
        <v>108713</v>
      </c>
      <c r="K184" s="116">
        <f>SUM(K178:K183)</f>
        <v>1</v>
      </c>
      <c r="L184" s="27"/>
      <c r="M184" s="27"/>
      <c r="N184" s="6"/>
    </row>
    <row r="185" spans="1:14" ht="15.75">
      <c r="A185" s="26"/>
      <c r="B185" s="27"/>
      <c r="C185" s="27"/>
      <c r="D185" s="27"/>
      <c r="E185" s="27"/>
      <c r="F185" s="27"/>
      <c r="G185" s="27"/>
      <c r="H185" s="38"/>
      <c r="I185" s="116"/>
      <c r="J185" s="62"/>
      <c r="K185" s="116"/>
      <c r="L185" s="27"/>
      <c r="M185" s="27"/>
      <c r="N185" s="6"/>
    </row>
    <row r="186" spans="1:14" ht="15.75">
      <c r="A186" s="8"/>
      <c r="B186" s="10"/>
      <c r="C186" s="10"/>
      <c r="D186" s="10"/>
      <c r="E186" s="10"/>
      <c r="F186" s="10"/>
      <c r="G186" s="10"/>
      <c r="H186" s="64"/>
      <c r="I186" s="119"/>
      <c r="J186" s="120"/>
      <c r="K186" s="119"/>
      <c r="L186" s="10"/>
      <c r="M186" s="10"/>
      <c r="N186" s="6"/>
    </row>
    <row r="187" spans="1:14" ht="15.75">
      <c r="A187" s="124"/>
      <c r="B187" s="17" t="s">
        <v>136</v>
      </c>
      <c r="C187" s="122"/>
      <c r="D187" s="20" t="s">
        <v>151</v>
      </c>
      <c r="E187" s="18"/>
      <c r="F187" s="17" t="s">
        <v>161</v>
      </c>
      <c r="G187" s="15"/>
      <c r="H187" s="15"/>
      <c r="I187" s="15"/>
      <c r="J187" s="15"/>
      <c r="K187" s="15"/>
      <c r="L187" s="15"/>
      <c r="M187" s="15"/>
      <c r="N187" s="6"/>
    </row>
    <row r="188" spans="1:14" ht="15.75">
      <c r="A188" s="124"/>
      <c r="B188" s="15"/>
      <c r="C188" s="15"/>
      <c r="D188" s="10"/>
      <c r="E188" s="10"/>
      <c r="F188" s="10"/>
      <c r="G188" s="15"/>
      <c r="H188" s="15"/>
      <c r="I188" s="15"/>
      <c r="J188" s="15"/>
      <c r="K188" s="15"/>
      <c r="L188" s="15"/>
      <c r="M188" s="15"/>
      <c r="N188" s="6"/>
    </row>
    <row r="189" spans="1:14" ht="15.75">
      <c r="A189" s="124"/>
      <c r="B189" s="16" t="s">
        <v>137</v>
      </c>
      <c r="C189" s="125"/>
      <c r="D189" s="126" t="s">
        <v>152</v>
      </c>
      <c r="E189" s="16"/>
      <c r="F189" s="16" t="s">
        <v>162</v>
      </c>
      <c r="G189" s="125"/>
      <c r="H189" s="125"/>
      <c r="I189" s="125"/>
      <c r="J189" s="125"/>
      <c r="K189" s="15"/>
      <c r="L189" s="15"/>
      <c r="M189" s="15"/>
      <c r="N189" s="6"/>
    </row>
    <row r="190" spans="1:14" ht="15.75">
      <c r="A190" s="124"/>
      <c r="B190" s="16" t="s">
        <v>138</v>
      </c>
      <c r="C190" s="125"/>
      <c r="D190" s="126" t="s">
        <v>153</v>
      </c>
      <c r="E190" s="16"/>
      <c r="F190" s="16" t="s">
        <v>163</v>
      </c>
      <c r="G190" s="125"/>
      <c r="H190" s="125"/>
      <c r="I190" s="125"/>
      <c r="J190" s="125"/>
      <c r="K190" s="15"/>
      <c r="L190" s="15"/>
      <c r="M190" s="15"/>
      <c r="N190" s="6"/>
    </row>
    <row r="191" spans="1:13" ht="15">
      <c r="A191" s="140"/>
      <c r="B191" s="140"/>
      <c r="C191" s="140"/>
      <c r="D191" s="140"/>
      <c r="E191" s="140"/>
      <c r="F191" s="140"/>
      <c r="G191" s="140"/>
      <c r="H191" s="140"/>
      <c r="I191" s="140"/>
      <c r="J191" s="140"/>
      <c r="K191" s="140"/>
      <c r="L191" s="140"/>
      <c r="M191" s="140"/>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7.xml><?xml version="1.0" encoding="utf-8"?>
<worksheet xmlns="http://schemas.openxmlformats.org/spreadsheetml/2006/main" xmlns:r="http://schemas.openxmlformats.org/officeDocument/2006/relationships">
  <dimension ref="A1:N191"/>
  <sheetViews>
    <sheetView showOutlineSymbols="0" zoomScale="70" zoomScaleNormal="70" workbookViewId="0" topLeftCell="C1">
      <selection activeCell="N9" sqref="N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0.99609375" style="1" customWidth="1"/>
    <col min="14" max="16384" width="9.6640625" style="1" customWidth="1"/>
  </cols>
  <sheetData>
    <row r="1" spans="1:14" ht="20.25">
      <c r="A1" s="2"/>
      <c r="B1" s="3" t="s">
        <v>0</v>
      </c>
      <c r="C1" s="4"/>
      <c r="D1" s="5"/>
      <c r="E1" s="5"/>
      <c r="F1" s="5"/>
      <c r="G1" s="5"/>
      <c r="H1" s="5"/>
      <c r="I1" s="5"/>
      <c r="J1" s="5"/>
      <c r="K1" s="5"/>
      <c r="L1" s="5"/>
      <c r="M1" s="5"/>
      <c r="N1" s="141"/>
    </row>
    <row r="2" spans="1:14" ht="15.75">
      <c r="A2" s="8"/>
      <c r="B2" s="9"/>
      <c r="C2" s="9"/>
      <c r="D2" s="10"/>
      <c r="E2" s="10"/>
      <c r="F2" s="10"/>
      <c r="G2" s="10"/>
      <c r="H2" s="10"/>
      <c r="I2" s="10"/>
      <c r="J2" s="10"/>
      <c r="K2" s="10"/>
      <c r="L2" s="10"/>
      <c r="M2" s="10"/>
      <c r="N2" s="141"/>
    </row>
    <row r="3" spans="1:14" ht="15.75">
      <c r="A3" s="11"/>
      <c r="B3" s="12" t="s">
        <v>1</v>
      </c>
      <c r="C3" s="10"/>
      <c r="D3" s="10"/>
      <c r="E3" s="10"/>
      <c r="F3" s="10"/>
      <c r="G3" s="10"/>
      <c r="H3" s="10"/>
      <c r="I3" s="10"/>
      <c r="J3" s="10"/>
      <c r="K3" s="10"/>
      <c r="L3" s="10"/>
      <c r="M3" s="10"/>
      <c r="N3" s="141"/>
    </row>
    <row r="4" spans="1:14" ht="15.75">
      <c r="A4" s="8"/>
      <c r="B4" s="9"/>
      <c r="C4" s="9"/>
      <c r="D4" s="10"/>
      <c r="E4" s="10"/>
      <c r="F4" s="10"/>
      <c r="G4" s="10"/>
      <c r="H4" s="10"/>
      <c r="I4" s="10"/>
      <c r="J4" s="10"/>
      <c r="K4" s="10"/>
      <c r="L4" s="10"/>
      <c r="M4" s="10"/>
      <c r="N4" s="141"/>
    </row>
    <row r="5" spans="1:14" ht="15.75">
      <c r="A5" s="8"/>
      <c r="B5" s="13" t="s">
        <v>2</v>
      </c>
      <c r="C5" s="14"/>
      <c r="D5" s="10"/>
      <c r="E5" s="10"/>
      <c r="F5" s="10"/>
      <c r="G5" s="10"/>
      <c r="H5" s="10"/>
      <c r="I5" s="10"/>
      <c r="J5" s="10"/>
      <c r="K5" s="10"/>
      <c r="L5" s="10"/>
      <c r="M5" s="10"/>
      <c r="N5" s="141"/>
    </row>
    <row r="6" spans="1:14" ht="15.75">
      <c r="A6" s="8"/>
      <c r="B6" s="13" t="s">
        <v>3</v>
      </c>
      <c r="C6" s="14"/>
      <c r="D6" s="10"/>
      <c r="E6" s="10"/>
      <c r="F6" s="10"/>
      <c r="G6" s="10"/>
      <c r="H6" s="10"/>
      <c r="I6" s="10"/>
      <c r="J6" s="10"/>
      <c r="K6" s="10"/>
      <c r="L6" s="10"/>
      <c r="M6" s="10"/>
      <c r="N6" s="141"/>
    </row>
    <row r="7" spans="1:14" ht="15.75">
      <c r="A7" s="8"/>
      <c r="B7" s="13" t="s">
        <v>4</v>
      </c>
      <c r="C7" s="14"/>
      <c r="D7" s="10"/>
      <c r="E7" s="10"/>
      <c r="F7" s="10"/>
      <c r="G7" s="10"/>
      <c r="H7" s="10"/>
      <c r="I7" s="10"/>
      <c r="J7" s="10"/>
      <c r="K7" s="10"/>
      <c r="L7" s="10"/>
      <c r="M7" s="10"/>
      <c r="N7" s="141"/>
    </row>
    <row r="8" spans="1:14" ht="15.75">
      <c r="A8" s="8"/>
      <c r="B8" s="13" t="s">
        <v>5</v>
      </c>
      <c r="C8" s="14"/>
      <c r="D8" s="10"/>
      <c r="E8" s="10"/>
      <c r="F8" s="10"/>
      <c r="G8" s="10"/>
      <c r="H8" s="10"/>
      <c r="I8" s="10"/>
      <c r="J8" s="10"/>
      <c r="K8" s="10"/>
      <c r="L8" s="10"/>
      <c r="M8" s="10"/>
      <c r="N8" s="141"/>
    </row>
    <row r="9" spans="1:14" ht="15.75">
      <c r="A9" s="8"/>
      <c r="B9" s="15"/>
      <c r="C9" s="14"/>
      <c r="D9" s="10"/>
      <c r="E9" s="10"/>
      <c r="F9" s="10"/>
      <c r="G9" s="10"/>
      <c r="H9" s="10"/>
      <c r="I9" s="10"/>
      <c r="J9" s="10"/>
      <c r="K9" s="10"/>
      <c r="L9" s="10"/>
      <c r="M9" s="10"/>
      <c r="N9" s="141"/>
    </row>
    <row r="10" spans="1:14" ht="15.75">
      <c r="A10" s="8"/>
      <c r="B10" s="13"/>
      <c r="C10" s="14"/>
      <c r="D10" s="16"/>
      <c r="E10" s="16"/>
      <c r="F10" s="10"/>
      <c r="G10" s="10"/>
      <c r="H10" s="10"/>
      <c r="I10" s="10"/>
      <c r="J10" s="10"/>
      <c r="K10" s="10"/>
      <c r="L10" s="10"/>
      <c r="M10" s="10"/>
      <c r="N10" s="141"/>
    </row>
    <row r="11" spans="1:14" ht="15.75">
      <c r="A11" s="8"/>
      <c r="B11" s="16" t="s">
        <v>6</v>
      </c>
      <c r="C11" s="16"/>
      <c r="D11" s="10"/>
      <c r="E11" s="10"/>
      <c r="F11" s="10"/>
      <c r="G11" s="10"/>
      <c r="H11" s="10"/>
      <c r="I11" s="10"/>
      <c r="J11" s="10"/>
      <c r="K11" s="10"/>
      <c r="L11" s="10"/>
      <c r="M11" s="10"/>
      <c r="N11" s="141"/>
    </row>
    <row r="12" spans="1:14" ht="15.75">
      <c r="A12" s="8"/>
      <c r="B12" s="16"/>
      <c r="C12" s="16"/>
      <c r="D12" s="10"/>
      <c r="E12" s="10"/>
      <c r="F12" s="10"/>
      <c r="G12" s="10"/>
      <c r="H12" s="10"/>
      <c r="I12" s="10"/>
      <c r="J12" s="10"/>
      <c r="K12" s="10"/>
      <c r="L12" s="10"/>
      <c r="M12" s="10"/>
      <c r="N12" s="141"/>
    </row>
    <row r="13" spans="1:14" ht="15.75">
      <c r="A13" s="2"/>
      <c r="B13" s="5"/>
      <c r="C13" s="5"/>
      <c r="D13" s="5"/>
      <c r="E13" s="5"/>
      <c r="F13" s="5"/>
      <c r="G13" s="5"/>
      <c r="H13" s="5"/>
      <c r="I13" s="5"/>
      <c r="J13" s="5"/>
      <c r="K13" s="5"/>
      <c r="L13" s="5"/>
      <c r="M13" s="5"/>
      <c r="N13" s="141"/>
    </row>
    <row r="14" spans="1:14" ht="15.75">
      <c r="A14" s="8"/>
      <c r="B14" s="17" t="s">
        <v>7</v>
      </c>
      <c r="C14" s="17"/>
      <c r="D14" s="18"/>
      <c r="E14" s="18"/>
      <c r="F14" s="18"/>
      <c r="G14" s="18"/>
      <c r="H14" s="18"/>
      <c r="I14" s="18"/>
      <c r="J14" s="18"/>
      <c r="K14" s="18"/>
      <c r="L14" s="19" t="s">
        <v>190</v>
      </c>
      <c r="M14" s="18"/>
      <c r="N14" s="141"/>
    </row>
    <row r="15" spans="1:14" ht="15.75">
      <c r="A15" s="8"/>
      <c r="B15" s="17" t="s">
        <v>8</v>
      </c>
      <c r="C15" s="17"/>
      <c r="D15" s="18"/>
      <c r="E15" s="18"/>
      <c r="F15" s="18"/>
      <c r="G15" s="18"/>
      <c r="H15" s="18"/>
      <c r="I15" s="18"/>
      <c r="J15" s="18"/>
      <c r="K15" s="18"/>
      <c r="L15" s="20" t="s">
        <v>191</v>
      </c>
      <c r="M15" s="18"/>
      <c r="N15" s="141"/>
    </row>
    <row r="16" spans="1:14" ht="15.75">
      <c r="A16" s="8"/>
      <c r="B16" s="17" t="s">
        <v>9</v>
      </c>
      <c r="C16" s="17"/>
      <c r="D16" s="18"/>
      <c r="E16" s="18"/>
      <c r="F16" s="18"/>
      <c r="G16" s="18"/>
      <c r="H16" s="18"/>
      <c r="I16" s="18"/>
      <c r="J16" s="18"/>
      <c r="K16" s="18"/>
      <c r="L16" s="130">
        <v>36907</v>
      </c>
      <c r="M16" s="18"/>
      <c r="N16" s="141"/>
    </row>
    <row r="17" spans="1:14" ht="15.75">
      <c r="A17" s="8"/>
      <c r="B17" s="10"/>
      <c r="C17" s="10"/>
      <c r="D17" s="10"/>
      <c r="E17" s="10"/>
      <c r="F17" s="10"/>
      <c r="G17" s="10"/>
      <c r="H17" s="10"/>
      <c r="I17" s="10"/>
      <c r="J17" s="10"/>
      <c r="K17" s="10"/>
      <c r="L17" s="21"/>
      <c r="M17" s="10"/>
      <c r="N17" s="141"/>
    </row>
    <row r="18" spans="1:14" ht="15.75">
      <c r="A18" s="8"/>
      <c r="B18" s="22" t="s">
        <v>10</v>
      </c>
      <c r="C18" s="10"/>
      <c r="D18" s="10"/>
      <c r="E18" s="10"/>
      <c r="F18" s="10"/>
      <c r="G18" s="10"/>
      <c r="H18" s="10"/>
      <c r="I18" s="10"/>
      <c r="J18" s="21" t="s">
        <v>173</v>
      </c>
      <c r="K18" s="10"/>
      <c r="L18" s="15"/>
      <c r="M18" s="10"/>
      <c r="N18" s="141"/>
    </row>
    <row r="19" spans="1:14" ht="15.75">
      <c r="A19" s="8"/>
      <c r="B19" s="10"/>
      <c r="C19" s="10"/>
      <c r="D19" s="10"/>
      <c r="E19" s="10"/>
      <c r="F19" s="10"/>
      <c r="G19" s="10"/>
      <c r="H19" s="10"/>
      <c r="I19" s="10"/>
      <c r="J19" s="10"/>
      <c r="K19" s="10"/>
      <c r="L19" s="23"/>
      <c r="M19" s="10"/>
      <c r="N19" s="141"/>
    </row>
    <row r="20" spans="1:14" ht="15.75">
      <c r="A20" s="8"/>
      <c r="B20" s="10"/>
      <c r="C20" s="24" t="s">
        <v>139</v>
      </c>
      <c r="D20" s="25" t="s">
        <v>143</v>
      </c>
      <c r="E20" s="25"/>
      <c r="F20" s="25" t="s">
        <v>154</v>
      </c>
      <c r="G20" s="25"/>
      <c r="H20" s="25" t="s">
        <v>164</v>
      </c>
      <c r="I20" s="25"/>
      <c r="J20" s="25" t="s">
        <v>174</v>
      </c>
      <c r="K20" s="137"/>
      <c r="L20" s="137"/>
      <c r="M20" s="10"/>
      <c r="N20" s="141"/>
    </row>
    <row r="21" spans="1:14" ht="15.75">
      <c r="A21" s="26"/>
      <c r="B21" s="27" t="s">
        <v>11</v>
      </c>
      <c r="C21" s="28" t="s">
        <v>140</v>
      </c>
      <c r="D21" s="29" t="s">
        <v>144</v>
      </c>
      <c r="E21" s="29"/>
      <c r="F21" s="29" t="s">
        <v>144</v>
      </c>
      <c r="G21" s="29"/>
      <c r="H21" s="29" t="s">
        <v>165</v>
      </c>
      <c r="I21" s="29"/>
      <c r="J21" s="29" t="s">
        <v>175</v>
      </c>
      <c r="K21" s="30"/>
      <c r="L21" s="30"/>
      <c r="M21" s="27"/>
      <c r="N21" s="141"/>
    </row>
    <row r="22" spans="1:14" ht="15.75">
      <c r="A22" s="131"/>
      <c r="B22" s="31" t="s">
        <v>12</v>
      </c>
      <c r="C22" s="138" t="s">
        <v>165</v>
      </c>
      <c r="D22" s="32" t="s">
        <v>144</v>
      </c>
      <c r="E22" s="32"/>
      <c r="F22" s="32" t="s">
        <v>144</v>
      </c>
      <c r="G22" s="32"/>
      <c r="H22" s="32" t="s">
        <v>165</v>
      </c>
      <c r="I22" s="32"/>
      <c r="J22" s="32" t="s">
        <v>175</v>
      </c>
      <c r="K22" s="33"/>
      <c r="L22" s="33"/>
      <c r="M22" s="27"/>
      <c r="N22" s="141"/>
    </row>
    <row r="23" spans="1:14" ht="15.75">
      <c r="A23" s="26"/>
      <c r="B23" s="27" t="s">
        <v>13</v>
      </c>
      <c r="C23" s="27"/>
      <c r="D23" s="34" t="s">
        <v>145</v>
      </c>
      <c r="E23" s="29"/>
      <c r="F23" s="34" t="s">
        <v>155</v>
      </c>
      <c r="G23" s="29"/>
      <c r="H23" s="34" t="s">
        <v>166</v>
      </c>
      <c r="I23" s="29"/>
      <c r="J23" s="34" t="s">
        <v>176</v>
      </c>
      <c r="K23" s="30"/>
      <c r="L23" s="30"/>
      <c r="M23" s="27"/>
      <c r="N23" s="141"/>
    </row>
    <row r="24" spans="1:14" ht="15.75">
      <c r="A24" s="26"/>
      <c r="B24" s="27"/>
      <c r="C24" s="27"/>
      <c r="D24" s="27"/>
      <c r="E24" s="29"/>
      <c r="F24" s="29"/>
      <c r="G24" s="29"/>
      <c r="H24" s="29"/>
      <c r="I24" s="29"/>
      <c r="J24" s="29"/>
      <c r="K24" s="30"/>
      <c r="L24" s="30"/>
      <c r="M24" s="27"/>
      <c r="N24" s="141"/>
    </row>
    <row r="25" spans="1:14" ht="15.75">
      <c r="A25" s="26"/>
      <c r="B25" s="27" t="s">
        <v>14</v>
      </c>
      <c r="C25" s="27"/>
      <c r="D25" s="35">
        <v>55000</v>
      </c>
      <c r="E25" s="36"/>
      <c r="F25" s="35">
        <v>77000</v>
      </c>
      <c r="G25" s="35"/>
      <c r="H25" s="35">
        <v>33000</v>
      </c>
      <c r="I25" s="35"/>
      <c r="J25" s="35">
        <v>10000</v>
      </c>
      <c r="K25" s="37"/>
      <c r="L25" s="35">
        <f>J25+H25+F25+D25</f>
        <v>175000</v>
      </c>
      <c r="M25" s="38"/>
      <c r="N25" s="141"/>
    </row>
    <row r="26" spans="1:14" ht="15.75">
      <c r="A26" s="26"/>
      <c r="B26" s="27" t="s">
        <v>15</v>
      </c>
      <c r="C26" s="39">
        <v>0.735898</v>
      </c>
      <c r="D26" s="35">
        <v>0</v>
      </c>
      <c r="E26" s="36"/>
      <c r="F26" s="35">
        <f>77000*C26</f>
        <v>56664.146</v>
      </c>
      <c r="G26" s="35"/>
      <c r="H26" s="35">
        <v>33000</v>
      </c>
      <c r="I26" s="35"/>
      <c r="J26" s="35">
        <v>10000</v>
      </c>
      <c r="K26" s="37"/>
      <c r="L26" s="35">
        <f>J26+H26+F26+D26</f>
        <v>99664.14600000001</v>
      </c>
      <c r="M26" s="38"/>
      <c r="N26" s="141"/>
    </row>
    <row r="27" spans="1:14" ht="15.75">
      <c r="A27" s="26"/>
      <c r="B27" s="31" t="s">
        <v>16</v>
      </c>
      <c r="C27" s="39">
        <v>0.634721</v>
      </c>
      <c r="D27" s="40">
        <v>0</v>
      </c>
      <c r="E27" s="41"/>
      <c r="F27" s="40">
        <f>77000*C27</f>
        <v>48873.517</v>
      </c>
      <c r="G27" s="40"/>
      <c r="H27" s="40">
        <v>33000</v>
      </c>
      <c r="I27" s="40"/>
      <c r="J27" s="40">
        <v>10000</v>
      </c>
      <c r="K27" s="42"/>
      <c r="L27" s="40">
        <f>J27+H27+F27+D27</f>
        <v>91873.51699999999</v>
      </c>
      <c r="M27" s="38"/>
      <c r="N27" s="141"/>
    </row>
    <row r="28" spans="1:14" ht="15.75">
      <c r="A28" s="26"/>
      <c r="B28" s="27" t="s">
        <v>17</v>
      </c>
      <c r="C28" s="27"/>
      <c r="D28" s="34" t="s">
        <v>146</v>
      </c>
      <c r="E28" s="27"/>
      <c r="F28" s="34" t="s">
        <v>156</v>
      </c>
      <c r="G28" s="34"/>
      <c r="H28" s="34" t="s">
        <v>167</v>
      </c>
      <c r="I28" s="34"/>
      <c r="J28" s="34" t="s">
        <v>177</v>
      </c>
      <c r="K28" s="30"/>
      <c r="L28" s="30"/>
      <c r="M28" s="27"/>
      <c r="N28" s="141"/>
    </row>
    <row r="29" spans="1:14" ht="15.75">
      <c r="A29" s="26"/>
      <c r="B29" s="27" t="s">
        <v>18</v>
      </c>
      <c r="C29" s="27"/>
      <c r="D29" s="45"/>
      <c r="E29" s="27"/>
      <c r="F29" s="45">
        <v>0.063575</v>
      </c>
      <c r="G29" s="46"/>
      <c r="H29" s="45">
        <v>0.065775</v>
      </c>
      <c r="I29" s="46"/>
      <c r="J29" s="45">
        <v>0.070975</v>
      </c>
      <c r="K29" s="30"/>
      <c r="L29" s="46">
        <f>SUMPRODUCT(D29:J29,D26:J26)/L26</f>
        <v>0.06504594021153805</v>
      </c>
      <c r="M29" s="27"/>
      <c r="N29" s="141"/>
    </row>
    <row r="30" spans="1:14" ht="15.75">
      <c r="A30" s="26"/>
      <c r="B30" s="27" t="s">
        <v>19</v>
      </c>
      <c r="C30" s="27"/>
      <c r="D30" s="45"/>
      <c r="E30" s="27"/>
      <c r="F30" s="45">
        <v>0.0640484</v>
      </c>
      <c r="G30" s="46"/>
      <c r="H30" s="45">
        <v>0.0662484</v>
      </c>
      <c r="I30" s="46"/>
      <c r="J30" s="45">
        <v>0.0714484</v>
      </c>
      <c r="K30" s="30"/>
      <c r="L30" s="30"/>
      <c r="M30" s="27"/>
      <c r="N30" s="141"/>
    </row>
    <row r="31" spans="1:14" ht="15.75">
      <c r="A31" s="26"/>
      <c r="B31" s="27" t="s">
        <v>20</v>
      </c>
      <c r="C31" s="27"/>
      <c r="D31" s="34" t="s">
        <v>147</v>
      </c>
      <c r="E31" s="27"/>
      <c r="F31" s="34" t="s">
        <v>157</v>
      </c>
      <c r="G31" s="34"/>
      <c r="H31" s="34" t="s">
        <v>157</v>
      </c>
      <c r="I31" s="34"/>
      <c r="J31" s="34" t="s">
        <v>157</v>
      </c>
      <c r="K31" s="30"/>
      <c r="L31" s="30"/>
      <c r="M31" s="27"/>
      <c r="N31" s="141"/>
    </row>
    <row r="32" spans="1:14" ht="15.75">
      <c r="A32" s="26"/>
      <c r="B32" s="27" t="s">
        <v>21</v>
      </c>
      <c r="C32" s="27"/>
      <c r="D32" s="34" t="s">
        <v>148</v>
      </c>
      <c r="E32" s="27"/>
      <c r="F32" s="34" t="s">
        <v>158</v>
      </c>
      <c r="G32" s="34"/>
      <c r="H32" s="34" t="s">
        <v>158</v>
      </c>
      <c r="I32" s="34"/>
      <c r="J32" s="34" t="s">
        <v>158</v>
      </c>
      <c r="K32" s="30"/>
      <c r="L32" s="30"/>
      <c r="M32" s="27"/>
      <c r="N32" s="141"/>
    </row>
    <row r="33" spans="1:14" ht="15.75">
      <c r="A33" s="26"/>
      <c r="B33" s="27" t="s">
        <v>22</v>
      </c>
      <c r="C33" s="27"/>
      <c r="D33" s="34" t="s">
        <v>149</v>
      </c>
      <c r="E33" s="27"/>
      <c r="F33" s="34" t="s">
        <v>159</v>
      </c>
      <c r="G33" s="34"/>
      <c r="H33" s="34" t="s">
        <v>168</v>
      </c>
      <c r="I33" s="34"/>
      <c r="J33" s="34" t="s">
        <v>178</v>
      </c>
      <c r="K33" s="30"/>
      <c r="L33" s="30"/>
      <c r="M33" s="27"/>
      <c r="N33" s="141"/>
    </row>
    <row r="34" spans="1:14" ht="15.75">
      <c r="A34" s="26"/>
      <c r="B34" s="27"/>
      <c r="C34" s="27"/>
      <c r="D34" s="47"/>
      <c r="E34" s="47"/>
      <c r="F34" s="27"/>
      <c r="G34" s="47"/>
      <c r="H34" s="47"/>
      <c r="I34" s="47"/>
      <c r="J34" s="47"/>
      <c r="K34" s="47"/>
      <c r="L34" s="47"/>
      <c r="M34" s="27"/>
      <c r="N34" s="141"/>
    </row>
    <row r="35" spans="1:14" ht="15.75">
      <c r="A35" s="26"/>
      <c r="B35" s="27" t="s">
        <v>23</v>
      </c>
      <c r="C35" s="27"/>
      <c r="D35" s="27"/>
      <c r="E35" s="27"/>
      <c r="F35" s="27"/>
      <c r="G35" s="27"/>
      <c r="H35" s="27"/>
      <c r="I35" s="27"/>
      <c r="J35" s="27"/>
      <c r="K35" s="27"/>
      <c r="L35" s="46">
        <f>(H25+J25)/(D25+F25)</f>
        <v>0.32575757575757575</v>
      </c>
      <c r="M35" s="27"/>
      <c r="N35" s="141"/>
    </row>
    <row r="36" spans="1:14" ht="15.75">
      <c r="A36" s="26"/>
      <c r="B36" s="27" t="s">
        <v>24</v>
      </c>
      <c r="C36" s="133"/>
      <c r="D36" s="27"/>
      <c r="E36" s="27"/>
      <c r="F36" s="27"/>
      <c r="G36" s="27"/>
      <c r="H36" s="27"/>
      <c r="I36" s="27"/>
      <c r="J36" s="27"/>
      <c r="K36" s="27"/>
      <c r="L36" s="46">
        <f>(H27+J27)/(D27+F27)</f>
        <v>0.8798220926069225</v>
      </c>
      <c r="M36" s="27"/>
      <c r="N36" s="141"/>
    </row>
    <row r="37" spans="1:14" ht="15.75">
      <c r="A37" s="26"/>
      <c r="B37" s="27" t="s">
        <v>25</v>
      </c>
      <c r="C37" s="133"/>
      <c r="D37" s="27"/>
      <c r="E37" s="27"/>
      <c r="F37" s="27"/>
      <c r="G37" s="27"/>
      <c r="H37" s="27"/>
      <c r="I37" s="27"/>
      <c r="J37" s="34" t="s">
        <v>179</v>
      </c>
      <c r="K37" s="34" t="s">
        <v>188</v>
      </c>
      <c r="L37" s="35">
        <v>44500000</v>
      </c>
      <c r="M37" s="27"/>
      <c r="N37" s="141"/>
    </row>
    <row r="38" spans="1:14" ht="15.75">
      <c r="A38" s="26"/>
      <c r="B38" s="27"/>
      <c r="C38" s="133"/>
      <c r="D38" s="27"/>
      <c r="E38" s="27"/>
      <c r="F38" s="27"/>
      <c r="G38" s="27"/>
      <c r="H38" s="27"/>
      <c r="I38" s="27"/>
      <c r="J38" s="27"/>
      <c r="K38" s="27"/>
      <c r="L38" s="48"/>
      <c r="M38" s="27"/>
      <c r="N38" s="141"/>
    </row>
    <row r="39" spans="1:14" ht="15.75">
      <c r="A39" s="26"/>
      <c r="B39" s="27" t="s">
        <v>26</v>
      </c>
      <c r="C39" s="133"/>
      <c r="D39" s="27"/>
      <c r="E39" s="27"/>
      <c r="F39" s="27"/>
      <c r="G39" s="27"/>
      <c r="H39" s="27"/>
      <c r="I39" s="27"/>
      <c r="J39" s="34"/>
      <c r="K39" s="34"/>
      <c r="L39" s="34" t="s">
        <v>193</v>
      </c>
      <c r="M39" s="27"/>
      <c r="N39" s="141"/>
    </row>
    <row r="40" spans="1:14" ht="15.75">
      <c r="A40" s="131"/>
      <c r="B40" s="31" t="s">
        <v>27</v>
      </c>
      <c r="C40" s="31"/>
      <c r="D40" s="31"/>
      <c r="E40" s="31"/>
      <c r="F40" s="31"/>
      <c r="G40" s="31"/>
      <c r="H40" s="31"/>
      <c r="I40" s="31"/>
      <c r="J40" s="49"/>
      <c r="K40" s="49"/>
      <c r="L40" s="50">
        <v>36889</v>
      </c>
      <c r="M40" s="31"/>
      <c r="N40" s="141"/>
    </row>
    <row r="41" spans="1:14" ht="15.75">
      <c r="A41" s="26"/>
      <c r="B41" s="27" t="s">
        <v>28</v>
      </c>
      <c r="C41" s="27"/>
      <c r="D41" s="27"/>
      <c r="E41" s="27"/>
      <c r="F41" s="27"/>
      <c r="G41" s="27"/>
      <c r="H41" s="27"/>
      <c r="I41" s="27">
        <f>L41-J41+1</f>
        <v>91</v>
      </c>
      <c r="J41" s="51">
        <v>36707</v>
      </c>
      <c r="K41" s="52"/>
      <c r="L41" s="51">
        <v>36797</v>
      </c>
      <c r="M41" s="27"/>
      <c r="N41" s="141"/>
    </row>
    <row r="42" spans="1:14" ht="15.75">
      <c r="A42" s="26"/>
      <c r="B42" s="27" t="s">
        <v>29</v>
      </c>
      <c r="C42" s="27"/>
      <c r="D42" s="27"/>
      <c r="E42" s="27"/>
      <c r="F42" s="27"/>
      <c r="G42" s="27"/>
      <c r="H42" s="27"/>
      <c r="I42" s="27">
        <f>L42-J42+1</f>
        <v>91</v>
      </c>
      <c r="J42" s="51">
        <v>36798</v>
      </c>
      <c r="K42" s="52"/>
      <c r="L42" s="51">
        <v>36888</v>
      </c>
      <c r="M42" s="27"/>
      <c r="N42" s="141"/>
    </row>
    <row r="43" spans="1:14" ht="15.75">
      <c r="A43" s="26"/>
      <c r="B43" s="27" t="s">
        <v>30</v>
      </c>
      <c r="C43" s="27"/>
      <c r="D43" s="27"/>
      <c r="E43" s="27"/>
      <c r="F43" s="27"/>
      <c r="G43" s="27"/>
      <c r="H43" s="27"/>
      <c r="I43" s="27"/>
      <c r="J43" s="51"/>
      <c r="K43" s="52"/>
      <c r="L43" s="51" t="s">
        <v>205</v>
      </c>
      <c r="M43" s="27"/>
      <c r="N43" s="141"/>
    </row>
    <row r="44" spans="1:14" ht="15.75">
      <c r="A44" s="26"/>
      <c r="B44" s="27" t="s">
        <v>31</v>
      </c>
      <c r="C44" s="27"/>
      <c r="D44" s="27"/>
      <c r="E44" s="27"/>
      <c r="F44" s="27"/>
      <c r="G44" s="27"/>
      <c r="H44" s="27"/>
      <c r="I44" s="27"/>
      <c r="J44" s="51"/>
      <c r="K44" s="52"/>
      <c r="L44" s="51">
        <v>36880</v>
      </c>
      <c r="M44" s="27"/>
      <c r="N44" s="141"/>
    </row>
    <row r="45" spans="1:14" ht="15.75">
      <c r="A45" s="26"/>
      <c r="B45" s="27"/>
      <c r="C45" s="27"/>
      <c r="D45" s="27"/>
      <c r="E45" s="27"/>
      <c r="F45" s="27"/>
      <c r="G45" s="27"/>
      <c r="H45" s="27"/>
      <c r="I45" s="27"/>
      <c r="J45" s="27"/>
      <c r="K45" s="27"/>
      <c r="L45" s="53"/>
      <c r="M45" s="27"/>
      <c r="N45" s="141"/>
    </row>
    <row r="46" spans="1:14" ht="15.75">
      <c r="A46" s="8"/>
      <c r="B46" s="10"/>
      <c r="C46" s="10"/>
      <c r="D46" s="10"/>
      <c r="E46" s="10"/>
      <c r="F46" s="10"/>
      <c r="G46" s="10"/>
      <c r="H46" s="10"/>
      <c r="I46" s="10"/>
      <c r="J46" s="10"/>
      <c r="K46" s="10"/>
      <c r="L46" s="58"/>
      <c r="M46" s="10"/>
      <c r="N46" s="141"/>
    </row>
    <row r="47" spans="1:14" ht="15.75">
      <c r="A47" s="2"/>
      <c r="B47" s="55" t="s">
        <v>32</v>
      </c>
      <c r="C47" s="56"/>
      <c r="D47" s="5"/>
      <c r="E47" s="5"/>
      <c r="F47" s="5"/>
      <c r="G47" s="5"/>
      <c r="H47" s="5"/>
      <c r="I47" s="5"/>
      <c r="J47" s="5"/>
      <c r="K47" s="5"/>
      <c r="L47" s="57"/>
      <c r="M47" s="5"/>
      <c r="N47" s="141"/>
    </row>
    <row r="48" spans="1:14" ht="15.75">
      <c r="A48" s="8"/>
      <c r="B48" s="16"/>
      <c r="C48" s="16"/>
      <c r="D48" s="10"/>
      <c r="E48" s="10"/>
      <c r="F48" s="10"/>
      <c r="G48" s="10"/>
      <c r="H48" s="10"/>
      <c r="I48" s="10"/>
      <c r="J48" s="10"/>
      <c r="K48" s="10"/>
      <c r="L48" s="58"/>
      <c r="M48" s="10"/>
      <c r="N48" s="141"/>
    </row>
    <row r="49" spans="1:14" ht="63">
      <c r="A49" s="8"/>
      <c r="B49" s="59" t="s">
        <v>33</v>
      </c>
      <c r="C49" s="60" t="s">
        <v>141</v>
      </c>
      <c r="D49" s="60" t="s">
        <v>150</v>
      </c>
      <c r="E49" s="60"/>
      <c r="F49" s="60" t="s">
        <v>160</v>
      </c>
      <c r="G49" s="60"/>
      <c r="H49" s="60" t="s">
        <v>169</v>
      </c>
      <c r="I49" s="60"/>
      <c r="J49" s="60" t="s">
        <v>180</v>
      </c>
      <c r="K49" s="60"/>
      <c r="L49" s="61" t="s">
        <v>195</v>
      </c>
      <c r="M49" s="12"/>
      <c r="N49" s="141"/>
    </row>
    <row r="50" spans="1:14" ht="15.75">
      <c r="A50" s="26"/>
      <c r="B50" s="27" t="s">
        <v>34</v>
      </c>
      <c r="C50" s="38">
        <v>165784</v>
      </c>
      <c r="D50" s="62">
        <v>103186</v>
      </c>
      <c r="E50" s="38"/>
      <c r="F50" s="38">
        <f>6392+197+397</f>
        <v>6986</v>
      </c>
      <c r="G50" s="38"/>
      <c r="H50" s="38">
        <v>397</v>
      </c>
      <c r="I50" s="38"/>
      <c r="J50" s="38">
        <v>0</v>
      </c>
      <c r="K50" s="38"/>
      <c r="L50" s="62">
        <f>D50-F50+H50-J50</f>
        <v>96597</v>
      </c>
      <c r="M50" s="27"/>
      <c r="N50" s="141"/>
    </row>
    <row r="51" spans="1:14" ht="15.75">
      <c r="A51" s="26"/>
      <c r="B51" s="27" t="s">
        <v>35</v>
      </c>
      <c r="C51" s="38">
        <v>19105</v>
      </c>
      <c r="D51" s="62">
        <v>5527</v>
      </c>
      <c r="E51" s="38"/>
      <c r="F51" s="38">
        <v>504</v>
      </c>
      <c r="G51" s="38"/>
      <c r="H51" s="38">
        <v>0</v>
      </c>
      <c r="I51" s="38"/>
      <c r="J51" s="38">
        <v>0</v>
      </c>
      <c r="K51" s="38"/>
      <c r="L51" s="62">
        <f>D51-F51</f>
        <v>5023</v>
      </c>
      <c r="M51" s="27"/>
      <c r="N51" s="141"/>
    </row>
    <row r="52" spans="1:14" ht="15.75">
      <c r="A52" s="26"/>
      <c r="B52" s="27"/>
      <c r="C52" s="38"/>
      <c r="D52" s="62"/>
      <c r="E52" s="38"/>
      <c r="F52" s="38"/>
      <c r="G52" s="38"/>
      <c r="H52" s="38"/>
      <c r="I52" s="38"/>
      <c r="J52" s="38"/>
      <c r="K52" s="38"/>
      <c r="L52" s="62"/>
      <c r="M52" s="27"/>
      <c r="N52" s="141"/>
    </row>
    <row r="53" spans="1:14" ht="15.75">
      <c r="A53" s="26"/>
      <c r="B53" s="27" t="s">
        <v>36</v>
      </c>
      <c r="C53" s="38">
        <f>SUM(C50:C52)</f>
        <v>184889</v>
      </c>
      <c r="D53" s="63">
        <v>108713</v>
      </c>
      <c r="E53" s="38"/>
      <c r="F53" s="38">
        <f>SUM(F50:F52)</f>
        <v>7490</v>
      </c>
      <c r="G53" s="38"/>
      <c r="H53" s="38">
        <f>SUM(H50:H52)</f>
        <v>397</v>
      </c>
      <c r="I53" s="38"/>
      <c r="J53" s="38">
        <f>SUM(J50:J52)</f>
        <v>0</v>
      </c>
      <c r="K53" s="38"/>
      <c r="L53" s="63">
        <f>SUM(L50:L52)</f>
        <v>101620</v>
      </c>
      <c r="M53" s="27"/>
      <c r="N53" s="141"/>
    </row>
    <row r="54" spans="1:14" ht="15.75">
      <c r="A54" s="26"/>
      <c r="B54" s="27"/>
      <c r="C54" s="38"/>
      <c r="D54" s="63"/>
      <c r="E54" s="38"/>
      <c r="F54" s="38"/>
      <c r="G54" s="38"/>
      <c r="H54" s="38"/>
      <c r="I54" s="38"/>
      <c r="J54" s="38"/>
      <c r="K54" s="38"/>
      <c r="L54" s="63"/>
      <c r="M54" s="27"/>
      <c r="N54" s="141"/>
    </row>
    <row r="55" spans="1:14" ht="15.75">
      <c r="A55" s="8"/>
      <c r="B55" s="12" t="s">
        <v>37</v>
      </c>
      <c r="C55" s="64"/>
      <c r="D55" s="65"/>
      <c r="E55" s="64"/>
      <c r="F55" s="64"/>
      <c r="G55" s="64"/>
      <c r="H55" s="64"/>
      <c r="I55" s="64"/>
      <c r="J55" s="64"/>
      <c r="K55" s="64"/>
      <c r="L55" s="65"/>
      <c r="M55" s="10"/>
      <c r="N55" s="141"/>
    </row>
    <row r="56" spans="1:14" ht="15.75">
      <c r="A56" s="8"/>
      <c r="B56" s="10"/>
      <c r="C56" s="64"/>
      <c r="D56" s="65"/>
      <c r="E56" s="64"/>
      <c r="F56" s="64"/>
      <c r="G56" s="64"/>
      <c r="H56" s="64"/>
      <c r="I56" s="64"/>
      <c r="J56" s="64"/>
      <c r="K56" s="64"/>
      <c r="L56" s="65"/>
      <c r="M56" s="10"/>
      <c r="N56" s="141"/>
    </row>
    <row r="57" spans="1:14" ht="15.75">
      <c r="A57" s="26"/>
      <c r="B57" s="27" t="s">
        <v>34</v>
      </c>
      <c r="C57" s="38"/>
      <c r="D57" s="63"/>
      <c r="E57" s="38"/>
      <c r="F57" s="38"/>
      <c r="G57" s="38"/>
      <c r="H57" s="38"/>
      <c r="I57" s="38"/>
      <c r="J57" s="38"/>
      <c r="K57" s="38"/>
      <c r="L57" s="63"/>
      <c r="M57" s="27"/>
      <c r="N57" s="141"/>
    </row>
    <row r="58" spans="1:14" ht="15.75">
      <c r="A58" s="26"/>
      <c r="B58" s="27" t="s">
        <v>35</v>
      </c>
      <c r="C58" s="38"/>
      <c r="D58" s="63"/>
      <c r="E58" s="38"/>
      <c r="F58" s="38"/>
      <c r="G58" s="38"/>
      <c r="H58" s="38"/>
      <c r="I58" s="38"/>
      <c r="J58" s="38"/>
      <c r="K58" s="38"/>
      <c r="L58" s="63"/>
      <c r="M58" s="27"/>
      <c r="N58" s="141"/>
    </row>
    <row r="59" spans="1:14" ht="15.75">
      <c r="A59" s="26"/>
      <c r="B59" s="27"/>
      <c r="C59" s="38"/>
      <c r="D59" s="63"/>
      <c r="E59" s="38"/>
      <c r="F59" s="38"/>
      <c r="G59" s="38"/>
      <c r="H59" s="38"/>
      <c r="I59" s="38"/>
      <c r="J59" s="38"/>
      <c r="K59" s="38"/>
      <c r="L59" s="63"/>
      <c r="M59" s="27"/>
      <c r="N59" s="141"/>
    </row>
    <row r="60" spans="1:14" ht="15.75">
      <c r="A60" s="26"/>
      <c r="B60" s="27" t="s">
        <v>36</v>
      </c>
      <c r="C60" s="38"/>
      <c r="D60" s="38"/>
      <c r="E60" s="38"/>
      <c r="F60" s="38"/>
      <c r="G60" s="38"/>
      <c r="H60" s="38"/>
      <c r="I60" s="38"/>
      <c r="J60" s="38"/>
      <c r="K60" s="38"/>
      <c r="L60" s="38"/>
      <c r="M60" s="27"/>
      <c r="N60" s="141"/>
    </row>
    <row r="61" spans="1:14" ht="15.75">
      <c r="A61" s="26"/>
      <c r="B61" s="27"/>
      <c r="C61" s="38"/>
      <c r="D61" s="38"/>
      <c r="E61" s="38"/>
      <c r="F61" s="38"/>
      <c r="G61" s="38"/>
      <c r="H61" s="38"/>
      <c r="I61" s="38"/>
      <c r="J61" s="38"/>
      <c r="K61" s="38"/>
      <c r="L61" s="38"/>
      <c r="M61" s="27"/>
      <c r="N61" s="141"/>
    </row>
    <row r="62" spans="1:14" ht="15.75">
      <c r="A62" s="26"/>
      <c r="B62" s="27" t="s">
        <v>38</v>
      </c>
      <c r="C62" s="38">
        <v>-9889</v>
      </c>
      <c r="D62" s="62">
        <v>-9889</v>
      </c>
      <c r="E62" s="38"/>
      <c r="F62" s="38"/>
      <c r="G62" s="38"/>
      <c r="H62" s="38"/>
      <c r="I62" s="38"/>
      <c r="J62" s="38"/>
      <c r="K62" s="38"/>
      <c r="L62" s="62">
        <f>D62-F62+H62-J62</f>
        <v>-9889</v>
      </c>
      <c r="M62" s="27"/>
      <c r="N62" s="141"/>
    </row>
    <row r="63" spans="1:14" ht="15.75">
      <c r="A63" s="26"/>
      <c r="B63" s="27" t="s">
        <v>39</v>
      </c>
      <c r="C63" s="38">
        <v>0</v>
      </c>
      <c r="D63" s="63">
        <v>0</v>
      </c>
      <c r="E63" s="38"/>
      <c r="F63" s="38"/>
      <c r="G63" s="38"/>
      <c r="H63" s="38"/>
      <c r="I63" s="38"/>
      <c r="J63" s="38"/>
      <c r="K63" s="38"/>
      <c r="L63" s="63">
        <f>-L115</f>
        <v>-54</v>
      </c>
      <c r="M63" s="27"/>
      <c r="N63" s="141"/>
    </row>
    <row r="64" spans="1:14" ht="15.75">
      <c r="A64" s="26"/>
      <c r="B64" s="27" t="s">
        <v>40</v>
      </c>
      <c r="C64" s="38">
        <v>0</v>
      </c>
      <c r="D64" s="63">
        <v>840</v>
      </c>
      <c r="E64" s="38"/>
      <c r="F64" s="38"/>
      <c r="G64" s="38"/>
      <c r="H64" s="38"/>
      <c r="I64" s="38"/>
      <c r="J64" s="38"/>
      <c r="K64" s="38"/>
      <c r="L64" s="63">
        <v>197</v>
      </c>
      <c r="M64" s="27"/>
      <c r="N64" s="141"/>
    </row>
    <row r="65" spans="1:14" ht="15.75">
      <c r="A65" s="26"/>
      <c r="B65" s="27" t="s">
        <v>41</v>
      </c>
      <c r="C65" s="63">
        <f>SUM(C53:C64)</f>
        <v>175000</v>
      </c>
      <c r="D65" s="63">
        <f>SUM(D53:D64)</f>
        <v>99664</v>
      </c>
      <c r="E65" s="38"/>
      <c r="F65" s="63"/>
      <c r="G65" s="38"/>
      <c r="H65" s="63"/>
      <c r="I65" s="38"/>
      <c r="J65" s="63"/>
      <c r="K65" s="38"/>
      <c r="L65" s="63">
        <f>SUM(L53:L64)</f>
        <v>91874</v>
      </c>
      <c r="M65" s="27"/>
      <c r="N65" s="141"/>
    </row>
    <row r="66" spans="1:14" ht="15.75">
      <c r="A66" s="26"/>
      <c r="B66" s="27"/>
      <c r="C66" s="38"/>
      <c r="D66" s="38"/>
      <c r="E66" s="38"/>
      <c r="F66" s="38"/>
      <c r="G66" s="38"/>
      <c r="H66" s="38"/>
      <c r="I66" s="38"/>
      <c r="J66" s="38"/>
      <c r="K66" s="38"/>
      <c r="L66" s="63"/>
      <c r="M66" s="27"/>
      <c r="N66" s="141"/>
    </row>
    <row r="67" spans="1:14" ht="15.75">
      <c r="A67" s="8"/>
      <c r="B67" s="10"/>
      <c r="C67" s="10"/>
      <c r="D67" s="10"/>
      <c r="E67" s="10"/>
      <c r="F67" s="10"/>
      <c r="G67" s="10"/>
      <c r="H67" s="10"/>
      <c r="I67" s="10"/>
      <c r="J67" s="10"/>
      <c r="K67" s="10"/>
      <c r="L67" s="10"/>
      <c r="M67" s="10"/>
      <c r="N67" s="141"/>
    </row>
    <row r="68" spans="1:14" ht="15.75">
      <c r="A68" s="8"/>
      <c r="B68" s="67" t="s">
        <v>42</v>
      </c>
      <c r="C68" s="17"/>
      <c r="D68" s="17"/>
      <c r="E68" s="17"/>
      <c r="F68" s="17"/>
      <c r="G68" s="17"/>
      <c r="H68" s="17"/>
      <c r="I68" s="20"/>
      <c r="J68" s="20" t="s">
        <v>181</v>
      </c>
      <c r="K68" s="20"/>
      <c r="L68" s="20" t="s">
        <v>196</v>
      </c>
      <c r="M68" s="17"/>
      <c r="N68" s="141"/>
    </row>
    <row r="69" spans="1:14" ht="15.75">
      <c r="A69" s="26"/>
      <c r="B69" s="27" t="s">
        <v>43</v>
      </c>
      <c r="C69" s="27"/>
      <c r="D69" s="27"/>
      <c r="E69" s="27"/>
      <c r="F69" s="27"/>
      <c r="G69" s="27"/>
      <c r="H69" s="27"/>
      <c r="I69" s="27"/>
      <c r="J69" s="38">
        <v>0</v>
      </c>
      <c r="K69" s="27"/>
      <c r="L69" s="62">
        <v>0</v>
      </c>
      <c r="M69" s="27"/>
      <c r="N69" s="141"/>
    </row>
    <row r="70" spans="1:14" ht="15.75">
      <c r="A70" s="26"/>
      <c r="B70" s="27" t="s">
        <v>44</v>
      </c>
      <c r="C70" s="47" t="s">
        <v>142</v>
      </c>
      <c r="D70" s="68">
        <f>L44</f>
        <v>36880</v>
      </c>
      <c r="E70" s="27"/>
      <c r="F70" s="27"/>
      <c r="G70" s="27"/>
      <c r="H70" s="27"/>
      <c r="I70" s="27"/>
      <c r="J70" s="38">
        <f>6986-197+840+54+1</f>
        <v>7684</v>
      </c>
      <c r="K70" s="27"/>
      <c r="L70" s="62"/>
      <c r="M70" s="27"/>
      <c r="N70" s="141"/>
    </row>
    <row r="71" spans="1:14" ht="15.75">
      <c r="A71" s="26"/>
      <c r="B71" s="27" t="s">
        <v>45</v>
      </c>
      <c r="C71" s="27"/>
      <c r="D71" s="27"/>
      <c r="E71" s="27"/>
      <c r="F71" s="27"/>
      <c r="G71" s="27"/>
      <c r="H71" s="27"/>
      <c r="I71" s="27"/>
      <c r="J71" s="38"/>
      <c r="K71" s="27"/>
      <c r="L71" s="62">
        <f>2710+815+60+149-524+92-42</f>
        <v>3260</v>
      </c>
      <c r="M71" s="27"/>
      <c r="N71" s="141"/>
    </row>
    <row r="72" spans="1:14" ht="15.75">
      <c r="A72" s="26"/>
      <c r="B72" s="27" t="s">
        <v>46</v>
      </c>
      <c r="C72" s="27"/>
      <c r="D72" s="27"/>
      <c r="E72" s="27"/>
      <c r="F72" s="27"/>
      <c r="G72" s="27"/>
      <c r="H72" s="27"/>
      <c r="I72" s="27"/>
      <c r="J72" s="38"/>
      <c r="K72" s="27"/>
      <c r="L72" s="62"/>
      <c r="M72" s="27"/>
      <c r="N72" s="141"/>
    </row>
    <row r="73" spans="1:14" ht="15.75">
      <c r="A73" s="26"/>
      <c r="B73" s="27" t="s">
        <v>47</v>
      </c>
      <c r="C73" s="27"/>
      <c r="D73" s="27"/>
      <c r="E73" s="27"/>
      <c r="F73" s="27"/>
      <c r="G73" s="27"/>
      <c r="H73" s="27"/>
      <c r="I73" s="27"/>
      <c r="J73" s="38">
        <f>SUM(J69:J72)</f>
        <v>7684</v>
      </c>
      <c r="K73" s="27"/>
      <c r="L73" s="63">
        <f>SUM(L69:L72)</f>
        <v>3260</v>
      </c>
      <c r="M73" s="27"/>
      <c r="N73" s="141"/>
    </row>
    <row r="74" spans="1:14" ht="15.75">
      <c r="A74" s="26"/>
      <c r="B74" s="27" t="s">
        <v>48</v>
      </c>
      <c r="C74" s="27"/>
      <c r="D74" s="27"/>
      <c r="E74" s="27"/>
      <c r="F74" s="27"/>
      <c r="G74" s="27"/>
      <c r="H74" s="27"/>
      <c r="I74" s="27"/>
      <c r="J74" s="38">
        <f>-L74</f>
        <v>504</v>
      </c>
      <c r="K74" s="27"/>
      <c r="L74" s="62">
        <f>-F51</f>
        <v>-504</v>
      </c>
      <c r="M74" s="27"/>
      <c r="N74" s="141"/>
    </row>
    <row r="75" spans="1:14" ht="15.75">
      <c r="A75" s="26"/>
      <c r="B75" s="27" t="s">
        <v>49</v>
      </c>
      <c r="C75" s="27"/>
      <c r="D75" s="27"/>
      <c r="E75" s="27"/>
      <c r="F75" s="27"/>
      <c r="G75" s="27"/>
      <c r="H75" s="27"/>
      <c r="I75" s="27"/>
      <c r="J75" s="38">
        <f>J73+J74</f>
        <v>8188</v>
      </c>
      <c r="K75" s="27"/>
      <c r="L75" s="63">
        <f>L73+L74</f>
        <v>2756</v>
      </c>
      <c r="M75" s="27"/>
      <c r="N75" s="141"/>
    </row>
    <row r="76" spans="1:14" ht="15.75">
      <c r="A76" s="26"/>
      <c r="B76" s="69" t="s">
        <v>50</v>
      </c>
      <c r="C76" s="70"/>
      <c r="D76" s="27"/>
      <c r="E76" s="27"/>
      <c r="F76" s="27"/>
      <c r="G76" s="27"/>
      <c r="H76" s="27"/>
      <c r="I76" s="27"/>
      <c r="J76" s="38"/>
      <c r="K76" s="27"/>
      <c r="L76" s="62"/>
      <c r="M76" s="27"/>
      <c r="N76" s="141"/>
    </row>
    <row r="77" spans="1:14" ht="15.75">
      <c r="A77" s="26">
        <v>1</v>
      </c>
      <c r="B77" s="27" t="s">
        <v>51</v>
      </c>
      <c r="C77" s="27"/>
      <c r="D77" s="27"/>
      <c r="E77" s="27"/>
      <c r="F77" s="27"/>
      <c r="G77" s="27"/>
      <c r="H77" s="27"/>
      <c r="I77" s="27"/>
      <c r="J77" s="27"/>
      <c r="K77" s="27"/>
      <c r="L77" s="62">
        <v>0</v>
      </c>
      <c r="M77" s="27"/>
      <c r="N77" s="141"/>
    </row>
    <row r="78" spans="1:14" ht="15.75">
      <c r="A78" s="26">
        <v>2</v>
      </c>
      <c r="B78" s="27" t="s">
        <v>52</v>
      </c>
      <c r="C78" s="27"/>
      <c r="D78" s="27"/>
      <c r="E78" s="27"/>
      <c r="F78" s="27"/>
      <c r="G78" s="27"/>
      <c r="H78" s="27"/>
      <c r="I78" s="27"/>
      <c r="J78" s="27"/>
      <c r="K78" s="27"/>
      <c r="L78" s="62">
        <v>-4</v>
      </c>
      <c r="M78" s="27"/>
      <c r="N78" s="141"/>
    </row>
    <row r="79" spans="1:14" ht="15.75">
      <c r="A79" s="26">
        <v>3</v>
      </c>
      <c r="B79" s="27" t="s">
        <v>53</v>
      </c>
      <c r="C79" s="27"/>
      <c r="D79" s="27"/>
      <c r="E79" s="27"/>
      <c r="F79" s="27"/>
      <c r="G79" s="27"/>
      <c r="H79" s="27"/>
      <c r="I79" s="27"/>
      <c r="J79" s="27"/>
      <c r="K79" s="27"/>
      <c r="L79" s="62">
        <v>-154</v>
      </c>
      <c r="M79" s="27"/>
      <c r="N79" s="141"/>
    </row>
    <row r="80" spans="1:14" ht="15.75">
      <c r="A80" s="26">
        <v>4</v>
      </c>
      <c r="B80" s="27" t="s">
        <v>54</v>
      </c>
      <c r="C80" s="27"/>
      <c r="D80" s="27"/>
      <c r="E80" s="27"/>
      <c r="F80" s="27"/>
      <c r="G80" s="27"/>
      <c r="H80" s="27"/>
      <c r="I80" s="27"/>
      <c r="J80" s="27"/>
      <c r="K80" s="27"/>
      <c r="L80" s="62">
        <v>-21</v>
      </c>
      <c r="M80" s="27"/>
      <c r="N80" s="141"/>
    </row>
    <row r="81" spans="1:14" ht="15.75">
      <c r="A81" s="26">
        <v>5</v>
      </c>
      <c r="B81" s="27" t="s">
        <v>55</v>
      </c>
      <c r="C81" s="27"/>
      <c r="D81" s="27"/>
      <c r="E81" s="27"/>
      <c r="F81" s="27"/>
      <c r="G81" s="27"/>
      <c r="H81" s="27"/>
      <c r="I81" s="27"/>
      <c r="J81" s="27"/>
      <c r="K81" s="27"/>
      <c r="L81" s="62">
        <v>-896</v>
      </c>
      <c r="M81" s="27"/>
      <c r="N81" s="141"/>
    </row>
    <row r="82" spans="1:14" ht="15.75">
      <c r="A82" s="26">
        <v>6</v>
      </c>
      <c r="B82" s="27" t="s">
        <v>56</v>
      </c>
      <c r="C82" s="27"/>
      <c r="D82" s="27"/>
      <c r="E82" s="27"/>
      <c r="F82" s="27"/>
      <c r="G82" s="27"/>
      <c r="H82" s="27"/>
      <c r="I82" s="27"/>
      <c r="J82" s="27"/>
      <c r="K82" s="27"/>
      <c r="L82" s="62">
        <v>-3</v>
      </c>
      <c r="M82" s="27"/>
      <c r="N82" s="141"/>
    </row>
    <row r="83" spans="1:14" ht="15.75">
      <c r="A83" s="26">
        <v>7</v>
      </c>
      <c r="B83" s="27" t="s">
        <v>57</v>
      </c>
      <c r="C83" s="27"/>
      <c r="D83" s="27"/>
      <c r="E83" s="27"/>
      <c r="F83" s="27"/>
      <c r="G83" s="27"/>
      <c r="H83" s="27"/>
      <c r="I83" s="27"/>
      <c r="J83" s="27"/>
      <c r="K83" s="27"/>
      <c r="L83" s="62">
        <v>-540</v>
      </c>
      <c r="M83" s="27"/>
      <c r="N83" s="141"/>
    </row>
    <row r="84" spans="1:14" ht="15.75">
      <c r="A84" s="26">
        <v>8</v>
      </c>
      <c r="B84" s="27" t="s">
        <v>58</v>
      </c>
      <c r="C84" s="27"/>
      <c r="D84" s="27"/>
      <c r="E84" s="27"/>
      <c r="F84" s="27"/>
      <c r="G84" s="27"/>
      <c r="H84" s="27"/>
      <c r="I84" s="27"/>
      <c r="J84" s="27"/>
      <c r="K84" s="27"/>
      <c r="L84" s="62">
        <v>-176</v>
      </c>
      <c r="M84" s="27"/>
      <c r="N84" s="141"/>
    </row>
    <row r="85" spans="1:14" ht="15.75">
      <c r="A85" s="26">
        <v>9</v>
      </c>
      <c r="B85" s="27" t="s">
        <v>59</v>
      </c>
      <c r="C85" s="27"/>
      <c r="D85" s="27"/>
      <c r="E85" s="27"/>
      <c r="F85" s="27"/>
      <c r="G85" s="27"/>
      <c r="H85" s="27"/>
      <c r="I85" s="27"/>
      <c r="J85" s="27"/>
      <c r="K85" s="27"/>
      <c r="L85" s="62">
        <v>0</v>
      </c>
      <c r="M85" s="27"/>
      <c r="N85" s="141"/>
    </row>
    <row r="86" spans="1:14" ht="15.75">
      <c r="A86" s="26">
        <v>10</v>
      </c>
      <c r="B86" s="27" t="s">
        <v>60</v>
      </c>
      <c r="C86" s="27"/>
      <c r="D86" s="27"/>
      <c r="E86" s="27"/>
      <c r="F86" s="27"/>
      <c r="G86" s="27"/>
      <c r="H86" s="27"/>
      <c r="I86" s="27"/>
      <c r="J86" s="27"/>
      <c r="K86" s="27"/>
      <c r="L86" s="62">
        <v>0</v>
      </c>
      <c r="M86" s="27"/>
      <c r="N86" s="141"/>
    </row>
    <row r="87" spans="1:14" ht="15.75">
      <c r="A87" s="26">
        <v>11</v>
      </c>
      <c r="B87" s="27" t="s">
        <v>61</v>
      </c>
      <c r="C87" s="27"/>
      <c r="D87" s="27"/>
      <c r="E87" s="27"/>
      <c r="F87" s="27"/>
      <c r="G87" s="27"/>
      <c r="H87" s="27"/>
      <c r="I87" s="27"/>
      <c r="J87" s="27"/>
      <c r="K87" s="27"/>
      <c r="L87" s="62">
        <v>-197</v>
      </c>
      <c r="M87" s="27"/>
      <c r="N87" s="141"/>
    </row>
    <row r="88" spans="1:14" ht="15.75">
      <c r="A88" s="26">
        <v>12</v>
      </c>
      <c r="B88" s="27" t="s">
        <v>62</v>
      </c>
      <c r="C88" s="27"/>
      <c r="D88" s="27"/>
      <c r="E88" s="27"/>
      <c r="F88" s="27"/>
      <c r="G88" s="27"/>
      <c r="H88" s="27"/>
      <c r="I88" s="27"/>
      <c r="J88" s="27"/>
      <c r="K88" s="27"/>
      <c r="L88" s="62">
        <v>-765</v>
      </c>
      <c r="M88" s="27"/>
      <c r="N88" s="141"/>
    </row>
    <row r="89" spans="1:14" ht="15.75">
      <c r="A89" s="26">
        <v>13</v>
      </c>
      <c r="B89" s="27" t="s">
        <v>63</v>
      </c>
      <c r="C89" s="27"/>
      <c r="D89" s="27"/>
      <c r="E89" s="27"/>
      <c r="F89" s="27"/>
      <c r="G89" s="27"/>
      <c r="H89" s="27"/>
      <c r="I89" s="27"/>
      <c r="J89" s="27"/>
      <c r="K89" s="27"/>
      <c r="L89" s="62">
        <f>L75+SUM(L77:L88)</f>
        <v>0</v>
      </c>
      <c r="M89" s="27"/>
      <c r="N89" s="141"/>
    </row>
    <row r="90" spans="1:14" ht="15.75">
      <c r="A90" s="26"/>
      <c r="B90" s="69" t="s">
        <v>64</v>
      </c>
      <c r="C90" s="70"/>
      <c r="D90" s="27"/>
      <c r="E90" s="27"/>
      <c r="F90" s="27"/>
      <c r="G90" s="27"/>
      <c r="H90" s="27"/>
      <c r="I90" s="27"/>
      <c r="J90" s="27"/>
      <c r="K90" s="27"/>
      <c r="L90" s="71"/>
      <c r="M90" s="27"/>
      <c r="N90" s="141"/>
    </row>
    <row r="91" spans="1:14" ht="15.75">
      <c r="A91" s="26"/>
      <c r="B91" s="27" t="s">
        <v>65</v>
      </c>
      <c r="C91" s="70"/>
      <c r="D91" s="27"/>
      <c r="E91" s="27"/>
      <c r="F91" s="27"/>
      <c r="G91" s="27"/>
      <c r="H91" s="27"/>
      <c r="I91" s="38"/>
      <c r="J91" s="38">
        <v>0</v>
      </c>
      <c r="K91" s="38"/>
      <c r="L91" s="62"/>
      <c r="M91" s="27"/>
      <c r="N91" s="141"/>
    </row>
    <row r="92" spans="1:14" ht="15.75">
      <c r="A92" s="26"/>
      <c r="B92" s="27" t="s">
        <v>66</v>
      </c>
      <c r="C92" s="27"/>
      <c r="D92" s="27"/>
      <c r="E92" s="27"/>
      <c r="F92" s="27"/>
      <c r="G92" s="27"/>
      <c r="H92" s="27"/>
      <c r="I92" s="38"/>
      <c r="J92" s="38">
        <v>-397</v>
      </c>
      <c r="K92" s="38"/>
      <c r="L92" s="62"/>
      <c r="M92" s="27"/>
      <c r="N92" s="141"/>
    </row>
    <row r="93" spans="1:14" ht="15.75">
      <c r="A93" s="26"/>
      <c r="B93" s="27" t="s">
        <v>67</v>
      </c>
      <c r="C93" s="27"/>
      <c r="D93" s="27"/>
      <c r="E93" s="27"/>
      <c r="F93" s="27"/>
      <c r="G93" s="27"/>
      <c r="H93" s="27"/>
      <c r="I93" s="27"/>
      <c r="J93" s="38"/>
      <c r="K93" s="38"/>
      <c r="L93" s="62"/>
      <c r="M93" s="27"/>
      <c r="N93" s="141"/>
    </row>
    <row r="94" spans="1:14" ht="15.75">
      <c r="A94" s="26"/>
      <c r="B94" s="27" t="s">
        <v>68</v>
      </c>
      <c r="C94" s="27"/>
      <c r="D94" s="27"/>
      <c r="E94" s="27"/>
      <c r="F94" s="27"/>
      <c r="G94" s="27"/>
      <c r="H94" s="27"/>
      <c r="I94" s="27"/>
      <c r="J94" s="38">
        <v>-7791</v>
      </c>
      <c r="K94" s="38"/>
      <c r="L94" s="62"/>
      <c r="M94" s="27"/>
      <c r="N94" s="141"/>
    </row>
    <row r="95" spans="1:14" ht="15.75">
      <c r="A95" s="26"/>
      <c r="B95" s="27" t="s">
        <v>69</v>
      </c>
      <c r="C95" s="27"/>
      <c r="D95" s="27"/>
      <c r="E95" s="27"/>
      <c r="F95" s="27"/>
      <c r="G95" s="27"/>
      <c r="H95" s="27"/>
      <c r="I95" s="27"/>
      <c r="J95" s="38">
        <v>0</v>
      </c>
      <c r="K95" s="38"/>
      <c r="L95" s="62"/>
      <c r="M95" s="27"/>
      <c r="N95" s="141"/>
    </row>
    <row r="96" spans="1:14" ht="15.75">
      <c r="A96" s="26"/>
      <c r="B96" s="27" t="s">
        <v>70</v>
      </c>
      <c r="C96" s="27"/>
      <c r="D96" s="27"/>
      <c r="E96" s="27"/>
      <c r="F96" s="27"/>
      <c r="G96" s="27"/>
      <c r="H96" s="27"/>
      <c r="I96" s="27"/>
      <c r="J96" s="38">
        <f>SUM(J76:J95)</f>
        <v>-8188</v>
      </c>
      <c r="K96" s="38"/>
      <c r="L96" s="38">
        <f>SUM(L76:L95)</f>
        <v>-2756</v>
      </c>
      <c r="M96" s="27"/>
      <c r="N96" s="141"/>
    </row>
    <row r="97" spans="1:14" ht="15.75">
      <c r="A97" s="26"/>
      <c r="B97" s="27" t="s">
        <v>71</v>
      </c>
      <c r="C97" s="27"/>
      <c r="D97" s="27"/>
      <c r="E97" s="27"/>
      <c r="F97" s="27"/>
      <c r="G97" s="27"/>
      <c r="H97" s="27"/>
      <c r="I97" s="27"/>
      <c r="J97" s="38">
        <f>J75+J96</f>
        <v>0</v>
      </c>
      <c r="K97" s="38"/>
      <c r="L97" s="38">
        <f>L75+L96</f>
        <v>0</v>
      </c>
      <c r="M97" s="27"/>
      <c r="N97" s="141"/>
    </row>
    <row r="98" spans="1:14" ht="15.75">
      <c r="A98" s="26"/>
      <c r="B98" s="27"/>
      <c r="C98" s="27"/>
      <c r="D98" s="27"/>
      <c r="E98" s="27"/>
      <c r="F98" s="27"/>
      <c r="G98" s="27"/>
      <c r="H98" s="27"/>
      <c r="I98" s="27"/>
      <c r="J98" s="38"/>
      <c r="K98" s="38"/>
      <c r="L98" s="38"/>
      <c r="M98" s="27"/>
      <c r="N98" s="141"/>
    </row>
    <row r="99" spans="1:14" ht="15.75">
      <c r="A99" s="8"/>
      <c r="B99" s="10"/>
      <c r="C99" s="10"/>
      <c r="D99" s="10"/>
      <c r="E99" s="10"/>
      <c r="F99" s="10"/>
      <c r="G99" s="10"/>
      <c r="H99" s="10"/>
      <c r="I99" s="10"/>
      <c r="J99" s="10"/>
      <c r="K99" s="10"/>
      <c r="L99" s="58"/>
      <c r="M99" s="10"/>
      <c r="N99" s="141"/>
    </row>
    <row r="100" spans="1:14" ht="15.75">
      <c r="A100" s="8"/>
      <c r="B100" s="10"/>
      <c r="C100" s="10"/>
      <c r="D100" s="10"/>
      <c r="E100" s="10"/>
      <c r="F100" s="10"/>
      <c r="G100" s="10"/>
      <c r="H100" s="10"/>
      <c r="I100" s="10"/>
      <c r="J100" s="10"/>
      <c r="K100" s="10"/>
      <c r="L100" s="58"/>
      <c r="M100" s="10"/>
      <c r="N100" s="141"/>
    </row>
    <row r="101" spans="1:14" ht="15.75">
      <c r="A101" s="2"/>
      <c r="B101" s="55" t="s">
        <v>72</v>
      </c>
      <c r="C101" s="56"/>
      <c r="D101" s="5"/>
      <c r="E101" s="5"/>
      <c r="F101" s="5"/>
      <c r="G101" s="5"/>
      <c r="H101" s="5"/>
      <c r="I101" s="5"/>
      <c r="J101" s="5"/>
      <c r="K101" s="5"/>
      <c r="L101" s="57"/>
      <c r="M101" s="5"/>
      <c r="N101" s="141"/>
    </row>
    <row r="102" spans="1:14" ht="15.75">
      <c r="A102" s="8"/>
      <c r="B102" s="22"/>
      <c r="C102" s="16"/>
      <c r="D102" s="10"/>
      <c r="E102" s="10"/>
      <c r="F102" s="10"/>
      <c r="G102" s="10"/>
      <c r="H102" s="10"/>
      <c r="I102" s="10"/>
      <c r="J102" s="10"/>
      <c r="K102" s="10"/>
      <c r="L102" s="58"/>
      <c r="M102" s="10"/>
      <c r="N102" s="141"/>
    </row>
    <row r="103" spans="1:14" ht="15.75">
      <c r="A103" s="8"/>
      <c r="B103" s="72" t="s">
        <v>73</v>
      </c>
      <c r="C103" s="16"/>
      <c r="D103" s="10"/>
      <c r="E103" s="10"/>
      <c r="F103" s="10"/>
      <c r="G103" s="10"/>
      <c r="H103" s="10"/>
      <c r="I103" s="10"/>
      <c r="J103" s="10"/>
      <c r="K103" s="10"/>
      <c r="L103" s="58"/>
      <c r="M103" s="10"/>
      <c r="N103" s="141"/>
    </row>
    <row r="104" spans="1:14" ht="15.75">
      <c r="A104" s="26"/>
      <c r="B104" s="27" t="s">
        <v>74</v>
      </c>
      <c r="C104" s="27"/>
      <c r="D104" s="27"/>
      <c r="E104" s="27"/>
      <c r="F104" s="27"/>
      <c r="G104" s="27"/>
      <c r="H104" s="27"/>
      <c r="I104" s="27"/>
      <c r="J104" s="27"/>
      <c r="K104" s="27"/>
      <c r="L104" s="62">
        <v>3698</v>
      </c>
      <c r="M104" s="27"/>
      <c r="N104" s="141"/>
    </row>
    <row r="105" spans="1:14" ht="15.75">
      <c r="A105" s="26"/>
      <c r="B105" s="27" t="s">
        <v>75</v>
      </c>
      <c r="C105" s="27"/>
      <c r="D105" s="27"/>
      <c r="E105" s="27"/>
      <c r="F105" s="27"/>
      <c r="G105" s="27"/>
      <c r="H105" s="27"/>
      <c r="I105" s="27"/>
      <c r="J105" s="27"/>
      <c r="K105" s="27"/>
      <c r="L105" s="62">
        <v>3698</v>
      </c>
      <c r="M105" s="27"/>
      <c r="N105" s="141"/>
    </row>
    <row r="106" spans="1:14" ht="15.75">
      <c r="A106" s="26"/>
      <c r="B106" s="27" t="s">
        <v>76</v>
      </c>
      <c r="C106" s="27"/>
      <c r="D106" s="27"/>
      <c r="E106" s="27"/>
      <c r="F106" s="27"/>
      <c r="G106" s="27"/>
      <c r="H106" s="27"/>
      <c r="I106" s="27"/>
      <c r="J106" s="27"/>
      <c r="K106" s="27"/>
      <c r="L106" s="62">
        <v>0</v>
      </c>
      <c r="M106" s="27"/>
      <c r="N106" s="141"/>
    </row>
    <row r="107" spans="1:14" ht="15.75">
      <c r="A107" s="26"/>
      <c r="B107" s="27" t="s">
        <v>77</v>
      </c>
      <c r="C107" s="27"/>
      <c r="D107" s="27"/>
      <c r="E107" s="27"/>
      <c r="F107" s="27"/>
      <c r="G107" s="27"/>
      <c r="H107" s="27"/>
      <c r="I107" s="27"/>
      <c r="J107" s="27"/>
      <c r="K107" s="27"/>
      <c r="L107" s="62">
        <v>0</v>
      </c>
      <c r="M107" s="27"/>
      <c r="N107" s="141"/>
    </row>
    <row r="108" spans="1:14" ht="15.75">
      <c r="A108" s="26"/>
      <c r="B108" s="27" t="s">
        <v>78</v>
      </c>
      <c r="C108" s="27"/>
      <c r="D108" s="27"/>
      <c r="E108" s="27"/>
      <c r="F108" s="27"/>
      <c r="G108" s="27"/>
      <c r="H108" s="27"/>
      <c r="I108" s="27"/>
      <c r="J108" s="27"/>
      <c r="K108" s="27"/>
      <c r="L108" s="62">
        <v>0</v>
      </c>
      <c r="M108" s="27"/>
      <c r="N108" s="141"/>
    </row>
    <row r="109" spans="1:14" ht="15.75">
      <c r="A109" s="26"/>
      <c r="B109" s="27" t="s">
        <v>55</v>
      </c>
      <c r="C109" s="27"/>
      <c r="D109" s="27"/>
      <c r="E109" s="27"/>
      <c r="F109" s="27"/>
      <c r="G109" s="27"/>
      <c r="H109" s="27"/>
      <c r="I109" s="27"/>
      <c r="J109" s="27"/>
      <c r="K109" s="27"/>
      <c r="L109" s="62">
        <v>0</v>
      </c>
      <c r="M109" s="27"/>
      <c r="N109" s="141"/>
    </row>
    <row r="110" spans="1:14" ht="15.75">
      <c r="A110" s="26"/>
      <c r="B110" s="27" t="s">
        <v>57</v>
      </c>
      <c r="C110" s="27"/>
      <c r="D110" s="27"/>
      <c r="E110" s="27"/>
      <c r="F110" s="27"/>
      <c r="G110" s="27"/>
      <c r="H110" s="27"/>
      <c r="I110" s="27"/>
      <c r="J110" s="27"/>
      <c r="K110" s="27"/>
      <c r="L110" s="62">
        <v>0</v>
      </c>
      <c r="M110" s="27"/>
      <c r="N110" s="141"/>
    </row>
    <row r="111" spans="1:14" ht="15.75">
      <c r="A111" s="26"/>
      <c r="B111" s="27" t="s">
        <v>79</v>
      </c>
      <c r="C111" s="27"/>
      <c r="D111" s="27"/>
      <c r="E111" s="27"/>
      <c r="F111" s="27"/>
      <c r="G111" s="27"/>
      <c r="H111" s="27"/>
      <c r="I111" s="27"/>
      <c r="J111" s="27"/>
      <c r="K111" s="27"/>
      <c r="L111" s="62">
        <f>SUM(L105:L109)</f>
        <v>3698</v>
      </c>
      <c r="M111" s="27"/>
      <c r="N111" s="141"/>
    </row>
    <row r="112" spans="1:14" ht="15.75">
      <c r="A112" s="26"/>
      <c r="B112" s="27"/>
      <c r="C112" s="27"/>
      <c r="D112" s="27"/>
      <c r="E112" s="27"/>
      <c r="F112" s="27"/>
      <c r="G112" s="27"/>
      <c r="H112" s="27"/>
      <c r="I112" s="27"/>
      <c r="J112" s="27"/>
      <c r="K112" s="27"/>
      <c r="L112" s="54"/>
      <c r="M112" s="27"/>
      <c r="N112" s="141"/>
    </row>
    <row r="113" spans="1:14" ht="15.75">
      <c r="A113" s="8"/>
      <c r="B113" s="72" t="s">
        <v>39</v>
      </c>
      <c r="C113" s="10"/>
      <c r="D113" s="10"/>
      <c r="E113" s="10"/>
      <c r="F113" s="10"/>
      <c r="G113" s="10"/>
      <c r="H113" s="10"/>
      <c r="I113" s="10"/>
      <c r="J113" s="10"/>
      <c r="K113" s="10"/>
      <c r="L113" s="58"/>
      <c r="M113" s="10"/>
      <c r="N113" s="141"/>
    </row>
    <row r="114" spans="1:14" ht="15.75">
      <c r="A114" s="26"/>
      <c r="B114" s="27" t="s">
        <v>80</v>
      </c>
      <c r="C114" s="27"/>
      <c r="D114" s="73"/>
      <c r="E114" s="27"/>
      <c r="F114" s="27"/>
      <c r="G114" s="27"/>
      <c r="H114" s="27"/>
      <c r="I114" s="27"/>
      <c r="J114" s="27"/>
      <c r="K114" s="27"/>
      <c r="L114" s="62">
        <f>1848891.08/1000</f>
        <v>1848.89108</v>
      </c>
      <c r="M114" s="27"/>
      <c r="N114" s="141"/>
    </row>
    <row r="115" spans="1:14" ht="15.75">
      <c r="A115" s="26"/>
      <c r="B115" s="27" t="s">
        <v>81</v>
      </c>
      <c r="C115" s="30"/>
      <c r="D115" s="30"/>
      <c r="E115" s="30"/>
      <c r="F115" s="30"/>
      <c r="G115" s="30"/>
      <c r="H115" s="30"/>
      <c r="I115" s="30"/>
      <c r="J115" s="30"/>
      <c r="K115" s="30"/>
      <c r="L115" s="63">
        <f>Sep00!L115+Sep00!L116</f>
        <v>54</v>
      </c>
      <c r="M115" s="27"/>
      <c r="N115" s="141"/>
    </row>
    <row r="116" spans="1:14" ht="15.75">
      <c r="A116" s="26"/>
      <c r="B116" s="27" t="s">
        <v>82</v>
      </c>
      <c r="C116" s="27"/>
      <c r="D116" s="27"/>
      <c r="E116" s="27"/>
      <c r="F116" s="27"/>
      <c r="G116" s="27"/>
      <c r="H116" s="27"/>
      <c r="I116" s="27"/>
      <c r="J116" s="27"/>
      <c r="K116" s="27"/>
      <c r="L116" s="62">
        <f>-L88</f>
        <v>765</v>
      </c>
      <c r="M116" s="27"/>
      <c r="N116" s="141"/>
    </row>
    <row r="117" spans="1:14" ht="15.75">
      <c r="A117" s="26"/>
      <c r="B117" s="27" t="s">
        <v>83</v>
      </c>
      <c r="C117" s="27"/>
      <c r="D117" s="27"/>
      <c r="E117" s="27"/>
      <c r="F117" s="27"/>
      <c r="G117" s="27"/>
      <c r="H117" s="27"/>
      <c r="I117" s="27"/>
      <c r="J117" s="27"/>
      <c r="K117" s="27"/>
      <c r="L117" s="62">
        <f>L114-L115-L116</f>
        <v>1029.89108</v>
      </c>
      <c r="M117" s="27"/>
      <c r="N117" s="141"/>
    </row>
    <row r="118" spans="1:14" ht="15.75">
      <c r="A118" s="26"/>
      <c r="B118" s="27"/>
      <c r="C118" s="27"/>
      <c r="D118" s="27"/>
      <c r="E118" s="27"/>
      <c r="F118" s="27"/>
      <c r="G118" s="27"/>
      <c r="H118" s="27"/>
      <c r="I118" s="27"/>
      <c r="J118" s="27"/>
      <c r="K118" s="27"/>
      <c r="L118" s="54"/>
      <c r="M118" s="27"/>
      <c r="N118" s="141"/>
    </row>
    <row r="119" spans="1:14" ht="15.75">
      <c r="A119" s="8"/>
      <c r="B119" s="72" t="s">
        <v>84</v>
      </c>
      <c r="C119" s="16"/>
      <c r="D119" s="10"/>
      <c r="E119" s="10"/>
      <c r="F119" s="10"/>
      <c r="G119" s="10"/>
      <c r="H119" s="10"/>
      <c r="I119" s="10"/>
      <c r="J119" s="10"/>
      <c r="K119" s="10"/>
      <c r="L119" s="74"/>
      <c r="M119" s="10"/>
      <c r="N119" s="141"/>
    </row>
    <row r="120" spans="1:14" ht="15.75">
      <c r="A120" s="26"/>
      <c r="B120" s="27" t="s">
        <v>85</v>
      </c>
      <c r="C120" s="27"/>
      <c r="D120" s="27"/>
      <c r="E120" s="27"/>
      <c r="F120" s="27"/>
      <c r="G120" s="27"/>
      <c r="H120" s="27"/>
      <c r="I120" s="27"/>
      <c r="J120" s="27"/>
      <c r="K120" s="27"/>
      <c r="L120" s="62">
        <f>Sep00!L124</f>
        <v>0</v>
      </c>
      <c r="M120" s="27"/>
      <c r="N120" s="141"/>
    </row>
    <row r="121" spans="1:14" ht="15.75">
      <c r="A121" s="26"/>
      <c r="B121" s="27" t="s">
        <v>86</v>
      </c>
      <c r="C121" s="27"/>
      <c r="D121" s="27"/>
      <c r="E121" s="27"/>
      <c r="F121" s="27"/>
      <c r="G121" s="27"/>
      <c r="H121" s="27"/>
      <c r="I121" s="27"/>
      <c r="J121" s="27"/>
      <c r="K121" s="27"/>
      <c r="L121" s="62">
        <v>197</v>
      </c>
      <c r="M121" s="27"/>
      <c r="N121" s="141"/>
    </row>
    <row r="122" spans="1:14" ht="15.75">
      <c r="A122" s="26"/>
      <c r="B122" s="27" t="s">
        <v>87</v>
      </c>
      <c r="C122" s="27"/>
      <c r="D122" s="27"/>
      <c r="E122" s="27"/>
      <c r="F122" s="27"/>
      <c r="G122" s="27"/>
      <c r="H122" s="27"/>
      <c r="I122" s="27"/>
      <c r="J122" s="27"/>
      <c r="K122" s="27"/>
      <c r="L122" s="62">
        <f>L121+L120</f>
        <v>197</v>
      </c>
      <c r="M122" s="27"/>
      <c r="N122" s="141"/>
    </row>
    <row r="123" spans="1:14" ht="15.75">
      <c r="A123" s="26"/>
      <c r="B123" s="27" t="s">
        <v>88</v>
      </c>
      <c r="C123" s="27"/>
      <c r="D123" s="27"/>
      <c r="E123" s="27"/>
      <c r="F123" s="27"/>
      <c r="G123" s="27"/>
      <c r="H123" s="75"/>
      <c r="I123" s="27"/>
      <c r="J123" s="27"/>
      <c r="K123" s="27"/>
      <c r="L123" s="62">
        <v>-197</v>
      </c>
      <c r="M123" s="27"/>
      <c r="N123" s="141"/>
    </row>
    <row r="124" spans="1:14" ht="15.75">
      <c r="A124" s="26"/>
      <c r="B124" s="27" t="s">
        <v>89</v>
      </c>
      <c r="C124" s="27"/>
      <c r="D124" s="27"/>
      <c r="E124" s="27"/>
      <c r="F124" s="27"/>
      <c r="G124" s="27"/>
      <c r="H124" s="27"/>
      <c r="I124" s="27"/>
      <c r="J124" s="27"/>
      <c r="K124" s="27"/>
      <c r="L124" s="62">
        <f>L122+L123</f>
        <v>0</v>
      </c>
      <c r="M124" s="27"/>
      <c r="N124" s="141"/>
    </row>
    <row r="125" spans="1:14" ht="15.75">
      <c r="A125" s="26"/>
      <c r="B125" s="27"/>
      <c r="C125" s="27"/>
      <c r="D125" s="27"/>
      <c r="E125" s="27"/>
      <c r="F125" s="27"/>
      <c r="G125" s="27"/>
      <c r="H125" s="27"/>
      <c r="I125" s="27"/>
      <c r="J125" s="27"/>
      <c r="K125" s="27"/>
      <c r="L125" s="54"/>
      <c r="M125" s="27"/>
      <c r="N125" s="141"/>
    </row>
    <row r="126" spans="1:14" ht="15.75">
      <c r="A126" s="2"/>
      <c r="B126" s="5"/>
      <c r="C126" s="5"/>
      <c r="D126" s="5"/>
      <c r="E126" s="5"/>
      <c r="F126" s="5"/>
      <c r="G126" s="5"/>
      <c r="H126" s="5"/>
      <c r="I126" s="5"/>
      <c r="J126" s="5"/>
      <c r="K126" s="5"/>
      <c r="L126" s="57"/>
      <c r="M126" s="5"/>
      <c r="N126" s="141"/>
    </row>
    <row r="127" spans="1:14" ht="15.75">
      <c r="A127" s="8"/>
      <c r="B127" s="72" t="s">
        <v>90</v>
      </c>
      <c r="C127" s="16"/>
      <c r="D127" s="10"/>
      <c r="E127" s="10"/>
      <c r="F127" s="10"/>
      <c r="G127" s="10"/>
      <c r="H127" s="10"/>
      <c r="I127" s="10"/>
      <c r="J127" s="10"/>
      <c r="K127" s="10"/>
      <c r="L127" s="58"/>
      <c r="M127" s="10"/>
      <c r="N127" s="141"/>
    </row>
    <row r="128" spans="1:14" ht="15.75">
      <c r="A128" s="8"/>
      <c r="B128" s="22"/>
      <c r="C128" s="16"/>
      <c r="D128" s="10"/>
      <c r="E128" s="10"/>
      <c r="F128" s="10"/>
      <c r="G128" s="10"/>
      <c r="H128" s="10"/>
      <c r="I128" s="10"/>
      <c r="J128" s="10"/>
      <c r="K128" s="10"/>
      <c r="L128" s="58"/>
      <c r="M128" s="10"/>
      <c r="N128" s="141"/>
    </row>
    <row r="129" spans="1:14" ht="15.75">
      <c r="A129" s="26"/>
      <c r="B129" s="27" t="s">
        <v>91</v>
      </c>
      <c r="C129" s="76"/>
      <c r="D129" s="27"/>
      <c r="E129" s="27"/>
      <c r="F129" s="27"/>
      <c r="G129" s="27"/>
      <c r="H129" s="27"/>
      <c r="I129" s="27"/>
      <c r="J129" s="27"/>
      <c r="K129" s="27"/>
      <c r="L129" s="62">
        <f>L53</f>
        <v>101620</v>
      </c>
      <c r="M129" s="27"/>
      <c r="N129" s="141"/>
    </row>
    <row r="130" spans="1:14" ht="15.75">
      <c r="A130" s="26"/>
      <c r="B130" s="27" t="s">
        <v>92</v>
      </c>
      <c r="C130" s="76"/>
      <c r="D130" s="27"/>
      <c r="E130" s="27"/>
      <c r="F130" s="27"/>
      <c r="G130" s="27"/>
      <c r="H130" s="27"/>
      <c r="I130" s="27"/>
      <c r="J130" s="27"/>
      <c r="K130" s="27"/>
      <c r="L130" s="62">
        <f>L65</f>
        <v>91874</v>
      </c>
      <c r="M130" s="27"/>
      <c r="N130" s="141"/>
    </row>
    <row r="131" spans="1:14" ht="15.75">
      <c r="A131" s="26"/>
      <c r="B131" s="27"/>
      <c r="C131" s="27"/>
      <c r="D131" s="27"/>
      <c r="E131" s="27"/>
      <c r="F131" s="27"/>
      <c r="G131" s="27"/>
      <c r="H131" s="27"/>
      <c r="I131" s="27"/>
      <c r="J131" s="27"/>
      <c r="K131" s="27"/>
      <c r="L131" s="54"/>
      <c r="M131" s="27"/>
      <c r="N131" s="141"/>
    </row>
    <row r="132" spans="1:14" ht="15.75">
      <c r="A132" s="2"/>
      <c r="B132" s="5"/>
      <c r="C132" s="5"/>
      <c r="D132" s="5"/>
      <c r="E132" s="5"/>
      <c r="F132" s="5"/>
      <c r="G132" s="5"/>
      <c r="H132" s="5"/>
      <c r="I132" s="5"/>
      <c r="J132" s="5"/>
      <c r="K132" s="5"/>
      <c r="L132" s="57"/>
      <c r="M132" s="5"/>
      <c r="N132" s="141"/>
    </row>
    <row r="133" spans="1:14" ht="15.75">
      <c r="A133" s="8"/>
      <c r="B133" s="72" t="s">
        <v>93</v>
      </c>
      <c r="C133" s="16"/>
      <c r="D133" s="10"/>
      <c r="E133" s="10"/>
      <c r="F133" s="10"/>
      <c r="G133" s="10"/>
      <c r="H133" s="77" t="s">
        <v>170</v>
      </c>
      <c r="I133" s="77"/>
      <c r="J133" s="77" t="s">
        <v>182</v>
      </c>
      <c r="K133" s="12"/>
      <c r="L133" s="78" t="s">
        <v>197</v>
      </c>
      <c r="M133" s="10"/>
      <c r="N133" s="141"/>
    </row>
    <row r="134" spans="1:14" ht="15.75">
      <c r="A134" s="26"/>
      <c r="B134" s="27" t="s">
        <v>94</v>
      </c>
      <c r="C134" s="27"/>
      <c r="D134" s="27"/>
      <c r="E134" s="27"/>
      <c r="F134" s="27"/>
      <c r="G134" s="27"/>
      <c r="H134" s="62">
        <v>31500</v>
      </c>
      <c r="I134" s="27"/>
      <c r="J134" s="47" t="s">
        <v>183</v>
      </c>
      <c r="K134" s="27"/>
      <c r="L134" s="62"/>
      <c r="M134" s="27"/>
      <c r="N134" s="141"/>
    </row>
    <row r="135" spans="1:14" ht="15.75">
      <c r="A135" s="26"/>
      <c r="B135" s="27" t="s">
        <v>95</v>
      </c>
      <c r="C135" s="27"/>
      <c r="D135" s="27"/>
      <c r="E135" s="27"/>
      <c r="F135" s="27"/>
      <c r="G135" s="27"/>
      <c r="H135" s="62">
        <v>111</v>
      </c>
      <c r="I135" s="27"/>
      <c r="J135" s="27">
        <v>23</v>
      </c>
      <c r="K135" s="27"/>
      <c r="L135" s="62">
        <f>J135+H135</f>
        <v>134</v>
      </c>
      <c r="M135" s="27"/>
      <c r="N135" s="141"/>
    </row>
    <row r="136" spans="1:14" ht="15.75">
      <c r="A136" s="26"/>
      <c r="B136" s="27" t="s">
        <v>96</v>
      </c>
      <c r="C136" s="27"/>
      <c r="D136" s="27"/>
      <c r="E136" s="27"/>
      <c r="F136" s="27"/>
      <c r="G136" s="27"/>
      <c r="H136" s="62">
        <v>397</v>
      </c>
      <c r="I136" s="27"/>
      <c r="J136" s="38">
        <v>0</v>
      </c>
      <c r="K136" s="27"/>
      <c r="L136" s="62">
        <f>J136+H136</f>
        <v>397</v>
      </c>
      <c r="M136" s="27"/>
      <c r="N136" s="141"/>
    </row>
    <row r="137" spans="1:14" ht="15.75">
      <c r="A137" s="26"/>
      <c r="B137" s="27" t="s">
        <v>97</v>
      </c>
      <c r="C137" s="27"/>
      <c r="D137" s="27"/>
      <c r="E137" s="27"/>
      <c r="F137" s="27"/>
      <c r="G137" s="27"/>
      <c r="H137" s="62">
        <f>H136+H135</f>
        <v>508</v>
      </c>
      <c r="I137" s="27"/>
      <c r="J137" s="62">
        <f>J136+J135</f>
        <v>23</v>
      </c>
      <c r="K137" s="27"/>
      <c r="L137" s="62">
        <f>J137+H137</f>
        <v>531</v>
      </c>
      <c r="M137" s="27"/>
      <c r="N137" s="141"/>
    </row>
    <row r="138" spans="1:14" ht="15.75">
      <c r="A138" s="26"/>
      <c r="B138" s="27" t="s">
        <v>98</v>
      </c>
      <c r="C138" s="27"/>
      <c r="D138" s="27"/>
      <c r="E138" s="27"/>
      <c r="F138" s="27"/>
      <c r="G138" s="27"/>
      <c r="H138" s="62">
        <f>H134-H137</f>
        <v>30992</v>
      </c>
      <c r="I138" s="27"/>
      <c r="J138" s="47" t="s">
        <v>183</v>
      </c>
      <c r="K138" s="27"/>
      <c r="L138" s="62"/>
      <c r="M138" s="27"/>
      <c r="N138" s="141"/>
    </row>
    <row r="139" spans="1:14" ht="15.75">
      <c r="A139" s="26"/>
      <c r="B139" s="27"/>
      <c r="C139" s="27"/>
      <c r="D139" s="27"/>
      <c r="E139" s="27"/>
      <c r="F139" s="27"/>
      <c r="G139" s="27"/>
      <c r="H139" s="27"/>
      <c r="I139" s="27"/>
      <c r="J139" s="27"/>
      <c r="K139" s="27"/>
      <c r="L139" s="54"/>
      <c r="M139" s="27"/>
      <c r="N139" s="141"/>
    </row>
    <row r="140" spans="1:14" ht="15.75">
      <c r="A140" s="2"/>
      <c r="B140" s="5"/>
      <c r="C140" s="5"/>
      <c r="D140" s="5"/>
      <c r="E140" s="5"/>
      <c r="F140" s="5"/>
      <c r="G140" s="5"/>
      <c r="H140" s="5"/>
      <c r="I140" s="5"/>
      <c r="J140" s="5"/>
      <c r="K140" s="5"/>
      <c r="L140" s="57"/>
      <c r="M140" s="5"/>
      <c r="N140" s="141"/>
    </row>
    <row r="141" spans="1:14" ht="15.75">
      <c r="A141" s="8"/>
      <c r="B141" s="72" t="s">
        <v>99</v>
      </c>
      <c r="C141" s="16"/>
      <c r="D141" s="10"/>
      <c r="E141" s="10"/>
      <c r="F141" s="10"/>
      <c r="G141" s="10"/>
      <c r="H141" s="10"/>
      <c r="I141" s="10"/>
      <c r="J141" s="10"/>
      <c r="K141" s="10"/>
      <c r="L141" s="79"/>
      <c r="M141" s="10"/>
      <c r="N141" s="141"/>
    </row>
    <row r="142" spans="1:14" ht="15.75">
      <c r="A142" s="26"/>
      <c r="B142" s="27" t="s">
        <v>100</v>
      </c>
      <c r="C142" s="27"/>
      <c r="D142" s="27"/>
      <c r="E142" s="27"/>
      <c r="F142" s="27"/>
      <c r="G142" s="27"/>
      <c r="H142" s="27"/>
      <c r="I142" s="27"/>
      <c r="J142" s="27"/>
      <c r="K142" s="27"/>
      <c r="L142" s="71">
        <f>SUM(L75:L80)/-L81</f>
        <v>2.8761160714285716</v>
      </c>
      <c r="M142" s="27" t="s">
        <v>198</v>
      </c>
      <c r="N142" s="141"/>
    </row>
    <row r="143" spans="1:14" ht="15.75">
      <c r="A143" s="26"/>
      <c r="B143" s="27" t="s">
        <v>101</v>
      </c>
      <c r="C143" s="27"/>
      <c r="D143" s="27"/>
      <c r="E143" s="27"/>
      <c r="F143" s="27"/>
      <c r="G143" s="27"/>
      <c r="H143" s="27"/>
      <c r="I143" s="27"/>
      <c r="J143" s="27"/>
      <c r="K143" s="27"/>
      <c r="L143" s="71">
        <v>1.67</v>
      </c>
      <c r="M143" s="27" t="s">
        <v>198</v>
      </c>
      <c r="N143" s="141"/>
    </row>
    <row r="144" spans="1:14" ht="15.75">
      <c r="A144" s="26"/>
      <c r="B144" s="27" t="s">
        <v>102</v>
      </c>
      <c r="C144" s="27"/>
      <c r="D144" s="27"/>
      <c r="E144" s="27"/>
      <c r="F144" s="27"/>
      <c r="G144" s="27"/>
      <c r="H144" s="27"/>
      <c r="I144" s="27"/>
      <c r="J144" s="27"/>
      <c r="K144" s="27"/>
      <c r="L144" s="71">
        <f>SUM(L75:L82)/-L83</f>
        <v>3.1074074074074076</v>
      </c>
      <c r="M144" s="27" t="s">
        <v>198</v>
      </c>
      <c r="N144" s="141"/>
    </row>
    <row r="145" spans="1:14" ht="15.75">
      <c r="A145" s="26"/>
      <c r="B145" s="27" t="s">
        <v>103</v>
      </c>
      <c r="C145" s="27"/>
      <c r="D145" s="27"/>
      <c r="E145" s="27"/>
      <c r="F145" s="27"/>
      <c r="G145" s="27"/>
      <c r="H145" s="27"/>
      <c r="I145" s="27"/>
      <c r="J145" s="27"/>
      <c r="K145" s="27"/>
      <c r="L145" s="71">
        <v>1.9</v>
      </c>
      <c r="M145" s="27" t="s">
        <v>198</v>
      </c>
      <c r="N145" s="141"/>
    </row>
    <row r="146" spans="1:14" ht="15.75">
      <c r="A146" s="26"/>
      <c r="B146" s="27" t="s">
        <v>104</v>
      </c>
      <c r="C146" s="27"/>
      <c r="D146" s="27"/>
      <c r="E146" s="27"/>
      <c r="F146" s="27"/>
      <c r="G146" s="27"/>
      <c r="H146" s="27"/>
      <c r="I146" s="27"/>
      <c r="J146" s="27"/>
      <c r="K146" s="27"/>
      <c r="L146" s="71">
        <f>SUM(L75:L83)/-L84</f>
        <v>6.465909090909091</v>
      </c>
      <c r="M146" s="27" t="s">
        <v>198</v>
      </c>
      <c r="N146" s="141"/>
    </row>
    <row r="147" spans="1:14" ht="15.75">
      <c r="A147" s="26"/>
      <c r="B147" s="27" t="s">
        <v>105</v>
      </c>
      <c r="C147" s="27"/>
      <c r="D147" s="27"/>
      <c r="E147" s="27"/>
      <c r="F147" s="27"/>
      <c r="G147" s="27"/>
      <c r="H147" s="27"/>
      <c r="I147" s="27"/>
      <c r="J147" s="27"/>
      <c r="K147" s="27"/>
      <c r="L147" s="71">
        <v>2.75</v>
      </c>
      <c r="M147" s="27" t="s">
        <v>198</v>
      </c>
      <c r="N147" s="141"/>
    </row>
    <row r="148" spans="1:14" ht="15.75">
      <c r="A148" s="26"/>
      <c r="B148" s="27"/>
      <c r="C148" s="27"/>
      <c r="D148" s="27"/>
      <c r="E148" s="27"/>
      <c r="F148" s="27"/>
      <c r="G148" s="27"/>
      <c r="H148" s="27"/>
      <c r="I148" s="27"/>
      <c r="J148" s="27"/>
      <c r="K148" s="27"/>
      <c r="L148" s="27"/>
      <c r="M148" s="27"/>
      <c r="N148" s="141"/>
    </row>
    <row r="149" spans="1:14" ht="15.75">
      <c r="A149" s="8"/>
      <c r="B149" s="15"/>
      <c r="C149" s="15"/>
      <c r="D149" s="15"/>
      <c r="E149" s="15"/>
      <c r="F149" s="15"/>
      <c r="G149" s="15"/>
      <c r="H149" s="15"/>
      <c r="I149" s="15"/>
      <c r="J149" s="15"/>
      <c r="K149" s="15"/>
      <c r="L149" s="15"/>
      <c r="M149" s="15"/>
      <c r="N149" s="141"/>
    </row>
    <row r="150" spans="1:14" ht="15.75">
      <c r="A150" s="139"/>
      <c r="B150" s="55" t="s">
        <v>106</v>
      </c>
      <c r="C150" s="83"/>
      <c r="D150" s="83"/>
      <c r="E150" s="83"/>
      <c r="F150" s="83"/>
      <c r="G150" s="84"/>
      <c r="H150" s="84"/>
      <c r="I150" s="84"/>
      <c r="J150" s="84">
        <v>36891</v>
      </c>
      <c r="K150" s="5"/>
      <c r="L150" s="5"/>
      <c r="M150" s="5"/>
      <c r="N150" s="141"/>
    </row>
    <row r="151" spans="1:14" ht="15.75">
      <c r="A151" s="86"/>
      <c r="B151" s="87"/>
      <c r="C151" s="88"/>
      <c r="D151" s="88"/>
      <c r="E151" s="88"/>
      <c r="F151" s="88"/>
      <c r="G151" s="89"/>
      <c r="H151" s="89"/>
      <c r="I151" s="89"/>
      <c r="J151" s="89"/>
      <c r="K151" s="10"/>
      <c r="L151" s="10"/>
      <c r="M151" s="10"/>
      <c r="N151" s="141"/>
    </row>
    <row r="152" spans="1:14" ht="15.75">
      <c r="A152" s="90"/>
      <c r="B152" s="91" t="s">
        <v>107</v>
      </c>
      <c r="C152" s="92"/>
      <c r="D152" s="92"/>
      <c r="E152" s="92"/>
      <c r="F152" s="92"/>
      <c r="G152" s="75"/>
      <c r="H152" s="75"/>
      <c r="I152" s="75"/>
      <c r="J152" s="93">
        <v>0.104</v>
      </c>
      <c r="K152" s="27"/>
      <c r="L152" s="27"/>
      <c r="M152" s="27"/>
      <c r="N152" s="141"/>
    </row>
    <row r="153" spans="1:14" ht="15.75">
      <c r="A153" s="90"/>
      <c r="B153" s="91" t="s">
        <v>108</v>
      </c>
      <c r="C153" s="92"/>
      <c r="D153" s="92"/>
      <c r="E153" s="92"/>
      <c r="F153" s="92"/>
      <c r="G153" s="75"/>
      <c r="H153" s="75"/>
      <c r="I153" s="75"/>
      <c r="J153" s="46">
        <v>0.093</v>
      </c>
      <c r="K153" s="27"/>
      <c r="L153" s="27"/>
      <c r="M153" s="27"/>
      <c r="N153" s="141"/>
    </row>
    <row r="154" spans="1:14" ht="15.75">
      <c r="A154" s="90"/>
      <c r="B154" s="91" t="s">
        <v>109</v>
      </c>
      <c r="C154" s="92"/>
      <c r="D154" s="92"/>
      <c r="E154" s="92"/>
      <c r="F154" s="92"/>
      <c r="G154" s="75"/>
      <c r="H154" s="75"/>
      <c r="I154" s="75"/>
      <c r="J154" s="93">
        <f>J152-J153</f>
        <v>0.010999999999999996</v>
      </c>
      <c r="K154" s="27"/>
      <c r="L154" s="27"/>
      <c r="M154" s="27"/>
      <c r="N154" s="141"/>
    </row>
    <row r="155" spans="1:14" ht="15.75">
      <c r="A155" s="90"/>
      <c r="B155" s="91" t="s">
        <v>110</v>
      </c>
      <c r="C155" s="92"/>
      <c r="D155" s="92"/>
      <c r="E155" s="92"/>
      <c r="F155" s="92"/>
      <c r="G155" s="75"/>
      <c r="H155" s="75"/>
      <c r="I155" s="75"/>
      <c r="J155" s="93">
        <v>0.09401</v>
      </c>
      <c r="K155" s="27"/>
      <c r="L155" s="27"/>
      <c r="M155" s="27"/>
      <c r="N155" s="141"/>
    </row>
    <row r="156" spans="1:14" ht="15.75">
      <c r="A156" s="90"/>
      <c r="B156" s="91" t="s">
        <v>111</v>
      </c>
      <c r="C156" s="92"/>
      <c r="D156" s="92"/>
      <c r="E156" s="92"/>
      <c r="F156" s="92"/>
      <c r="G156" s="75"/>
      <c r="H156" s="75"/>
      <c r="I156" s="75"/>
      <c r="J156" s="93">
        <f>L29</f>
        <v>0.06504594021153805</v>
      </c>
      <c r="K156" s="27"/>
      <c r="L156" s="27"/>
      <c r="M156" s="27"/>
      <c r="N156" s="141"/>
    </row>
    <row r="157" spans="1:14" ht="15.75">
      <c r="A157" s="90"/>
      <c r="B157" s="91" t="s">
        <v>112</v>
      </c>
      <c r="C157" s="92"/>
      <c r="D157" s="92"/>
      <c r="E157" s="92"/>
      <c r="F157" s="92"/>
      <c r="G157" s="75"/>
      <c r="H157" s="75"/>
      <c r="I157" s="75"/>
      <c r="J157" s="93">
        <f>J155-J156</f>
        <v>0.02896405978846195</v>
      </c>
      <c r="K157" s="27"/>
      <c r="L157" s="27"/>
      <c r="M157" s="27"/>
      <c r="N157" s="141"/>
    </row>
    <row r="158" spans="1:14" ht="15.75">
      <c r="A158" s="90"/>
      <c r="B158" s="91" t="s">
        <v>113</v>
      </c>
      <c r="C158" s="92"/>
      <c r="D158" s="92"/>
      <c r="E158" s="92"/>
      <c r="F158" s="92"/>
      <c r="G158" s="75"/>
      <c r="H158" s="75"/>
      <c r="I158" s="75"/>
      <c r="J158" s="94" t="s">
        <v>184</v>
      </c>
      <c r="K158" s="27"/>
      <c r="L158" s="27"/>
      <c r="M158" s="27"/>
      <c r="N158" s="141"/>
    </row>
    <row r="159" spans="1:14" ht="15.75">
      <c r="A159" s="90"/>
      <c r="B159" s="91" t="s">
        <v>114</v>
      </c>
      <c r="C159" s="92"/>
      <c r="D159" s="92"/>
      <c r="E159" s="92"/>
      <c r="F159" s="92"/>
      <c r="G159" s="75"/>
      <c r="H159" s="75"/>
      <c r="I159" s="75"/>
      <c r="J159" s="95">
        <v>17.6</v>
      </c>
      <c r="K159" s="27" t="s">
        <v>189</v>
      </c>
      <c r="L159" s="27"/>
      <c r="M159" s="27"/>
      <c r="N159" s="141"/>
    </row>
    <row r="160" spans="1:14" ht="15.75">
      <c r="A160" s="90"/>
      <c r="B160" s="91" t="s">
        <v>115</v>
      </c>
      <c r="C160" s="92"/>
      <c r="D160" s="92"/>
      <c r="E160" s="92"/>
      <c r="F160" s="92"/>
      <c r="G160" s="75"/>
      <c r="H160" s="75"/>
      <c r="I160" s="75"/>
      <c r="J160" s="95">
        <v>15.278</v>
      </c>
      <c r="K160" s="27" t="s">
        <v>189</v>
      </c>
      <c r="L160" s="27"/>
      <c r="M160" s="27"/>
      <c r="N160" s="141"/>
    </row>
    <row r="161" spans="1:14" ht="15.75">
      <c r="A161" s="90"/>
      <c r="B161" s="91" t="s">
        <v>116</v>
      </c>
      <c r="C161" s="92"/>
      <c r="D161" s="92"/>
      <c r="E161" s="92"/>
      <c r="F161" s="92"/>
      <c r="G161" s="75"/>
      <c r="H161" s="75"/>
      <c r="I161" s="75"/>
      <c r="J161" s="93">
        <f>F53/D53*4</f>
        <v>0.275588016152622</v>
      </c>
      <c r="K161" s="27"/>
      <c r="L161" s="27"/>
      <c r="M161" s="27"/>
      <c r="N161" s="141"/>
    </row>
    <row r="162" spans="1:14" ht="15.75">
      <c r="A162" s="90"/>
      <c r="B162" s="91"/>
      <c r="C162" s="91"/>
      <c r="D162" s="91"/>
      <c r="E162" s="91"/>
      <c r="F162" s="91"/>
      <c r="G162" s="27"/>
      <c r="H162" s="27"/>
      <c r="I162" s="27"/>
      <c r="J162" s="54"/>
      <c r="K162" s="27"/>
      <c r="L162" s="96"/>
      <c r="M162" s="27"/>
      <c r="N162" s="141"/>
    </row>
    <row r="163" spans="1:14" ht="15.75">
      <c r="A163" s="97"/>
      <c r="B163" s="17" t="s">
        <v>117</v>
      </c>
      <c r="C163" s="20"/>
      <c r="D163" s="98"/>
      <c r="E163" s="20"/>
      <c r="F163" s="98"/>
      <c r="G163" s="20"/>
      <c r="H163" s="98"/>
      <c r="I163" s="20" t="s">
        <v>171</v>
      </c>
      <c r="J163" s="98" t="s">
        <v>185</v>
      </c>
      <c r="K163" s="18"/>
      <c r="L163" s="18"/>
      <c r="M163" s="10"/>
      <c r="N163" s="141"/>
    </row>
    <row r="164" spans="1:14" ht="15.75">
      <c r="A164" s="99"/>
      <c r="B164" s="91" t="s">
        <v>118</v>
      </c>
      <c r="C164" s="63"/>
      <c r="D164" s="63"/>
      <c r="E164" s="63"/>
      <c r="F164" s="27"/>
      <c r="G164" s="27"/>
      <c r="H164" s="27"/>
      <c r="I164" s="27">
        <v>281</v>
      </c>
      <c r="J164" s="100">
        <v>21564</v>
      </c>
      <c r="K164" s="27"/>
      <c r="L164" s="96"/>
      <c r="M164" s="101"/>
      <c r="N164" s="141"/>
    </row>
    <row r="165" spans="1:14" ht="15.75">
      <c r="A165" s="99"/>
      <c r="B165" s="91" t="s">
        <v>119</v>
      </c>
      <c r="C165" s="63"/>
      <c r="D165" s="63"/>
      <c r="E165" s="63"/>
      <c r="F165" s="27"/>
      <c r="G165" s="27"/>
      <c r="H165" s="27"/>
      <c r="I165" s="27">
        <v>13</v>
      </c>
      <c r="J165" s="100">
        <v>951</v>
      </c>
      <c r="K165" s="27"/>
      <c r="L165" s="96"/>
      <c r="M165" s="101"/>
      <c r="N165" s="141"/>
    </row>
    <row r="166" spans="1:14" ht="15.75">
      <c r="A166" s="99"/>
      <c r="B166" s="102" t="s">
        <v>120</v>
      </c>
      <c r="C166" s="63"/>
      <c r="D166" s="63"/>
      <c r="E166" s="63"/>
      <c r="F166" s="27"/>
      <c r="G166" s="27"/>
      <c r="H166" s="27"/>
      <c r="I166" s="27">
        <v>1</v>
      </c>
      <c r="J166" s="100">
        <v>70</v>
      </c>
      <c r="K166" s="27"/>
      <c r="L166" s="96"/>
      <c r="M166" s="101"/>
      <c r="N166" s="141"/>
    </row>
    <row r="167" spans="1:14" ht="15.75">
      <c r="A167" s="99"/>
      <c r="B167" s="102" t="s">
        <v>121</v>
      </c>
      <c r="C167" s="63"/>
      <c r="D167" s="63"/>
      <c r="E167" s="63"/>
      <c r="F167" s="27"/>
      <c r="G167" s="27"/>
      <c r="H167" s="27"/>
      <c r="I167" s="27"/>
      <c r="J167" s="103" t="s">
        <v>186</v>
      </c>
      <c r="K167" s="27"/>
      <c r="L167" s="96"/>
      <c r="M167" s="101"/>
      <c r="N167" s="141"/>
    </row>
    <row r="168" spans="1:14" ht="15.75">
      <c r="A168" s="104"/>
      <c r="B168" s="102" t="s">
        <v>122</v>
      </c>
      <c r="C168" s="63"/>
      <c r="D168" s="91"/>
      <c r="E168" s="91"/>
      <c r="F168" s="91"/>
      <c r="G168" s="27"/>
      <c r="H168" s="27"/>
      <c r="I168" s="27"/>
      <c r="J168" s="103"/>
      <c r="K168" s="27"/>
      <c r="L168" s="96"/>
      <c r="M168" s="105"/>
      <c r="N168" s="141"/>
    </row>
    <row r="169" spans="1:14" ht="15.75">
      <c r="A169" s="99"/>
      <c r="B169" s="91" t="s">
        <v>123</v>
      </c>
      <c r="C169" s="63"/>
      <c r="D169" s="63"/>
      <c r="E169" s="63"/>
      <c r="F169" s="63"/>
      <c r="G169" s="27"/>
      <c r="H169" s="27"/>
      <c r="I169" s="27">
        <v>13</v>
      </c>
      <c r="J169" s="100">
        <v>197</v>
      </c>
      <c r="K169" s="27"/>
      <c r="L169" s="96"/>
      <c r="M169" s="105"/>
      <c r="N169" s="141"/>
    </row>
    <row r="170" spans="1:14" ht="15.75">
      <c r="A170" s="99"/>
      <c r="B170" s="91" t="s">
        <v>124</v>
      </c>
      <c r="C170" s="63"/>
      <c r="D170" s="63"/>
      <c r="E170" s="63"/>
      <c r="F170" s="63"/>
      <c r="G170" s="27"/>
      <c r="H170" s="27"/>
      <c r="I170" s="27">
        <v>129</v>
      </c>
      <c r="J170" s="100">
        <v>2937</v>
      </c>
      <c r="K170" s="27"/>
      <c r="L170" s="96"/>
      <c r="M170" s="105"/>
      <c r="N170" s="141"/>
    </row>
    <row r="171" spans="1:14" ht="15.75">
      <c r="A171" s="104"/>
      <c r="B171" s="102" t="s">
        <v>125</v>
      </c>
      <c r="C171" s="63"/>
      <c r="D171" s="91"/>
      <c r="E171" s="91"/>
      <c r="F171" s="91"/>
      <c r="G171" s="27"/>
      <c r="H171" s="27"/>
      <c r="I171" s="27"/>
      <c r="J171" s="100"/>
      <c r="K171" s="27"/>
      <c r="L171" s="96"/>
      <c r="M171" s="105"/>
      <c r="N171" s="141"/>
    </row>
    <row r="172" spans="1:14" ht="15.75">
      <c r="A172" s="104"/>
      <c r="B172" s="91" t="s">
        <v>126</v>
      </c>
      <c r="C172" s="63"/>
      <c r="D172" s="91"/>
      <c r="E172" s="91"/>
      <c r="F172" s="91"/>
      <c r="G172" s="27"/>
      <c r="H172" s="27"/>
      <c r="I172" s="27">
        <v>10</v>
      </c>
      <c r="J172" s="100">
        <v>702</v>
      </c>
      <c r="K172" s="27"/>
      <c r="L172" s="96"/>
      <c r="M172" s="105"/>
      <c r="N172" s="141"/>
    </row>
    <row r="173" spans="1:14" ht="15.75">
      <c r="A173" s="99"/>
      <c r="B173" s="91" t="s">
        <v>127</v>
      </c>
      <c r="C173" s="63"/>
      <c r="D173" s="106"/>
      <c r="E173" s="106"/>
      <c r="F173" s="107"/>
      <c r="G173" s="27"/>
      <c r="H173" s="27"/>
      <c r="I173" s="27"/>
      <c r="J173" s="103">
        <v>24.558</v>
      </c>
      <c r="K173" s="27"/>
      <c r="L173" s="96"/>
      <c r="M173" s="105"/>
      <c r="N173" s="141"/>
    </row>
    <row r="174" spans="1:14" ht="15.75">
      <c r="A174" s="99"/>
      <c r="B174" s="91" t="s">
        <v>128</v>
      </c>
      <c r="C174" s="63"/>
      <c r="D174" s="106"/>
      <c r="E174" s="106"/>
      <c r="F174" s="107"/>
      <c r="G174" s="27"/>
      <c r="H174" s="27"/>
      <c r="I174" s="27"/>
      <c r="J174" s="103">
        <v>6.8</v>
      </c>
      <c r="K174" s="27"/>
      <c r="L174" s="96"/>
      <c r="M174" s="105"/>
      <c r="N174" s="141"/>
    </row>
    <row r="175" spans="1:14" ht="15.75">
      <c r="A175" s="99"/>
      <c r="B175" s="91" t="s">
        <v>129</v>
      </c>
      <c r="C175" s="63"/>
      <c r="D175" s="109"/>
      <c r="E175" s="106"/>
      <c r="F175" s="107"/>
      <c r="G175" s="27"/>
      <c r="H175" s="27"/>
      <c r="I175" s="27"/>
      <c r="J175" s="110">
        <v>0.9626</v>
      </c>
      <c r="K175" s="27"/>
      <c r="L175" s="96"/>
      <c r="M175" s="105"/>
      <c r="N175" s="141"/>
    </row>
    <row r="176" spans="1:14" ht="15.75">
      <c r="A176" s="99"/>
      <c r="B176" s="91"/>
      <c r="C176" s="63"/>
      <c r="D176" s="109"/>
      <c r="E176" s="106"/>
      <c r="F176" s="107"/>
      <c r="G176" s="27"/>
      <c r="H176" s="27"/>
      <c r="I176" s="27"/>
      <c r="J176" s="110"/>
      <c r="K176" s="27"/>
      <c r="L176" s="96"/>
      <c r="M176" s="105"/>
      <c r="N176" s="141"/>
    </row>
    <row r="177" spans="1:14" ht="15.75">
      <c r="A177" s="8"/>
      <c r="B177" s="17" t="s">
        <v>130</v>
      </c>
      <c r="C177" s="20"/>
      <c r="D177" s="98"/>
      <c r="E177" s="20"/>
      <c r="F177" s="98"/>
      <c r="G177" s="20"/>
      <c r="H177" s="98" t="s">
        <v>171</v>
      </c>
      <c r="I177" s="20" t="s">
        <v>172</v>
      </c>
      <c r="J177" s="98" t="s">
        <v>187</v>
      </c>
      <c r="K177" s="20" t="s">
        <v>172</v>
      </c>
      <c r="L177" s="18"/>
      <c r="M177" s="111"/>
      <c r="N177" s="141"/>
    </row>
    <row r="178" spans="1:14" ht="15.75">
      <c r="A178" s="26"/>
      <c r="B178" s="63" t="s">
        <v>131</v>
      </c>
      <c r="C178" s="112"/>
      <c r="D178" s="63"/>
      <c r="E178" s="112"/>
      <c r="F178" s="27"/>
      <c r="G178" s="112"/>
      <c r="H178" s="63">
        <f>155+1388</f>
        <v>1543</v>
      </c>
      <c r="I178" s="113">
        <f>H178/H184</f>
        <v>0.6809355692850838</v>
      </c>
      <c r="J178" s="62">
        <f>5168+58396</f>
        <v>63564</v>
      </c>
      <c r="K178" s="113">
        <f>J178/J184</f>
        <v>0.6255067900019681</v>
      </c>
      <c r="L178" s="96"/>
      <c r="M178" s="105"/>
      <c r="N178" s="141"/>
    </row>
    <row r="179" spans="1:14" ht="15.75">
      <c r="A179" s="26"/>
      <c r="B179" s="63" t="s">
        <v>132</v>
      </c>
      <c r="C179" s="112"/>
      <c r="D179" s="63"/>
      <c r="E179" s="112"/>
      <c r="F179" s="27"/>
      <c r="G179" s="114"/>
      <c r="H179" s="63">
        <f>37+10</f>
        <v>47</v>
      </c>
      <c r="I179" s="112">
        <f>H179/H184</f>
        <v>0.020741394527802295</v>
      </c>
      <c r="J179" s="62">
        <f>1258+557</f>
        <v>1815</v>
      </c>
      <c r="K179" s="113">
        <f>J179/J184</f>
        <v>0.017860657350915174</v>
      </c>
      <c r="L179" s="96"/>
      <c r="M179" s="105"/>
      <c r="N179" s="141"/>
    </row>
    <row r="180" spans="1:14" ht="15.75">
      <c r="A180" s="26"/>
      <c r="B180" s="63" t="s">
        <v>133</v>
      </c>
      <c r="C180" s="112"/>
      <c r="D180" s="63"/>
      <c r="E180" s="112"/>
      <c r="F180" s="27"/>
      <c r="G180" s="114"/>
      <c r="H180" s="63">
        <f>35+12</f>
        <v>47</v>
      </c>
      <c r="I180" s="112">
        <f>H180/H184</f>
        <v>0.020741394527802295</v>
      </c>
      <c r="J180" s="62">
        <f>1089+354</f>
        <v>1443</v>
      </c>
      <c r="K180" s="113">
        <f>J180/J184</f>
        <v>0.01419996063766975</v>
      </c>
      <c r="L180" s="96"/>
      <c r="M180" s="105"/>
      <c r="N180" s="141"/>
    </row>
    <row r="181" spans="1:14" ht="15.75">
      <c r="A181" s="26"/>
      <c r="B181" s="63" t="s">
        <v>134</v>
      </c>
      <c r="C181" s="112"/>
      <c r="D181" s="63"/>
      <c r="E181" s="112"/>
      <c r="F181" s="27"/>
      <c r="G181" s="114"/>
      <c r="H181" s="63">
        <f>18+595+2+14</f>
        <v>629</v>
      </c>
      <c r="I181" s="112">
        <f>H181/H184</f>
        <v>0.27758164165931154</v>
      </c>
      <c r="J181" s="62">
        <f>773+28388+41+73+415+85+5023</f>
        <v>34798</v>
      </c>
      <c r="K181" s="113">
        <f>J181/J184</f>
        <v>0.342432592009447</v>
      </c>
      <c r="L181" s="96"/>
      <c r="M181" s="105"/>
      <c r="N181" s="141"/>
    </row>
    <row r="182" spans="1:14" ht="15.75">
      <c r="A182" s="26"/>
      <c r="B182" s="30"/>
      <c r="C182" s="112"/>
      <c r="D182" s="63"/>
      <c r="E182" s="112"/>
      <c r="F182" s="27"/>
      <c r="G182" s="114"/>
      <c r="H182" s="63"/>
      <c r="I182" s="112"/>
      <c r="J182" s="62"/>
      <c r="K182" s="113"/>
      <c r="L182" s="96"/>
      <c r="M182" s="105"/>
      <c r="N182" s="141"/>
    </row>
    <row r="183" spans="1:14" ht="15.75">
      <c r="A183" s="26"/>
      <c r="B183" s="63"/>
      <c r="C183" s="115"/>
      <c r="D183" s="101"/>
      <c r="E183" s="115"/>
      <c r="F183" s="27"/>
      <c r="G183" s="115"/>
      <c r="H183" s="101"/>
      <c r="I183" s="115"/>
      <c r="J183" s="62"/>
      <c r="K183" s="113"/>
      <c r="L183" s="96"/>
      <c r="M183" s="105"/>
      <c r="N183" s="141"/>
    </row>
    <row r="184" spans="1:14" ht="15.75">
      <c r="A184" s="26"/>
      <c r="B184" s="27"/>
      <c r="C184" s="27"/>
      <c r="D184" s="27"/>
      <c r="E184" s="27"/>
      <c r="F184" s="27"/>
      <c r="G184" s="27"/>
      <c r="H184" s="38">
        <f>SUM(H178:H182)</f>
        <v>2266</v>
      </c>
      <c r="I184" s="116">
        <f>SUM(I178:I183)</f>
        <v>1</v>
      </c>
      <c r="J184" s="62">
        <f>SUM(J178:J183)</f>
        <v>101620</v>
      </c>
      <c r="K184" s="116">
        <f>SUM(K178:K183)</f>
        <v>0.9999999999999999</v>
      </c>
      <c r="L184" s="27"/>
      <c r="M184" s="27"/>
      <c r="N184" s="141"/>
    </row>
    <row r="185" spans="1:14" ht="15.75">
      <c r="A185" s="26"/>
      <c r="B185" s="27"/>
      <c r="C185" s="27"/>
      <c r="D185" s="27"/>
      <c r="E185" s="27"/>
      <c r="F185" s="27"/>
      <c r="G185" s="27"/>
      <c r="H185" s="38"/>
      <c r="I185" s="116"/>
      <c r="J185" s="62"/>
      <c r="K185" s="116"/>
      <c r="L185" s="27"/>
      <c r="M185" s="27"/>
      <c r="N185" s="141"/>
    </row>
    <row r="186" spans="1:14" ht="15.75">
      <c r="A186" s="8"/>
      <c r="B186" s="10"/>
      <c r="C186" s="10"/>
      <c r="D186" s="10"/>
      <c r="E186" s="10"/>
      <c r="F186" s="10"/>
      <c r="G186" s="10"/>
      <c r="H186" s="64"/>
      <c r="I186" s="119"/>
      <c r="J186" s="120"/>
      <c r="K186" s="119"/>
      <c r="L186" s="10"/>
      <c r="M186" s="10"/>
      <c r="N186" s="141"/>
    </row>
    <row r="187" spans="1:14" ht="15.75">
      <c r="A187" s="124"/>
      <c r="B187" s="17" t="s">
        <v>136</v>
      </c>
      <c r="C187" s="122"/>
      <c r="D187" s="20" t="s">
        <v>151</v>
      </c>
      <c r="E187" s="18"/>
      <c r="F187" s="17" t="s">
        <v>161</v>
      </c>
      <c r="G187" s="15"/>
      <c r="H187" s="15"/>
      <c r="I187" s="15"/>
      <c r="J187" s="15"/>
      <c r="K187" s="15"/>
      <c r="L187" s="15"/>
      <c r="M187" s="15"/>
      <c r="N187" s="141"/>
    </row>
    <row r="188" spans="1:14" ht="15.75">
      <c r="A188" s="124"/>
      <c r="B188" s="15"/>
      <c r="C188" s="15"/>
      <c r="D188" s="10"/>
      <c r="E188" s="10"/>
      <c r="F188" s="10"/>
      <c r="G188" s="15"/>
      <c r="H188" s="15"/>
      <c r="I188" s="15"/>
      <c r="J188" s="15"/>
      <c r="K188" s="15"/>
      <c r="L188" s="15"/>
      <c r="M188" s="15"/>
      <c r="N188" s="141"/>
    </row>
    <row r="189" spans="1:14" ht="15.75">
      <c r="A189" s="124"/>
      <c r="B189" s="16" t="s">
        <v>137</v>
      </c>
      <c r="C189" s="125"/>
      <c r="D189" s="126" t="s">
        <v>152</v>
      </c>
      <c r="E189" s="16"/>
      <c r="F189" s="16" t="s">
        <v>162</v>
      </c>
      <c r="G189" s="125"/>
      <c r="H189" s="125"/>
      <c r="I189" s="125"/>
      <c r="J189" s="125"/>
      <c r="K189" s="15"/>
      <c r="L189" s="15"/>
      <c r="M189" s="15"/>
      <c r="N189" s="141"/>
    </row>
    <row r="190" spans="1:14" ht="15.75">
      <c r="A190" s="124"/>
      <c r="B190" s="16" t="s">
        <v>138</v>
      </c>
      <c r="C190" s="125"/>
      <c r="D190" s="126" t="s">
        <v>153</v>
      </c>
      <c r="E190" s="16"/>
      <c r="F190" s="16" t="s">
        <v>163</v>
      </c>
      <c r="G190" s="125"/>
      <c r="H190" s="125"/>
      <c r="I190" s="125"/>
      <c r="J190" s="125"/>
      <c r="K190" s="15"/>
      <c r="L190" s="15"/>
      <c r="M190" s="15"/>
      <c r="N190" s="141"/>
    </row>
    <row r="191" spans="1:13" ht="15">
      <c r="A191" s="140"/>
      <c r="B191" s="140"/>
      <c r="C191" s="140"/>
      <c r="D191" s="140"/>
      <c r="E191" s="140"/>
      <c r="F191" s="140"/>
      <c r="G191" s="140"/>
      <c r="H191" s="140"/>
      <c r="I191" s="140"/>
      <c r="J191" s="140"/>
      <c r="K191" s="140"/>
      <c r="L191" s="140"/>
      <c r="M191" s="140"/>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8.xml><?xml version="1.0" encoding="utf-8"?>
<worksheet xmlns="http://schemas.openxmlformats.org/spreadsheetml/2006/main" xmlns:r="http://schemas.openxmlformats.org/officeDocument/2006/relationships">
  <dimension ref="A1:N194"/>
  <sheetViews>
    <sheetView showOutlineSymbols="0" zoomScale="70" zoomScaleNormal="70" workbookViewId="0" topLeftCell="C1">
      <selection activeCell="N8" sqref="N8"/>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1.21484375" style="1" customWidth="1"/>
    <col min="14" max="16384" width="9.6640625" style="1" customWidth="1"/>
  </cols>
  <sheetData>
    <row r="1" spans="1:14" ht="20.25">
      <c r="A1" s="2"/>
      <c r="B1" s="3" t="s">
        <v>0</v>
      </c>
      <c r="C1" s="4"/>
      <c r="D1" s="5"/>
      <c r="E1" s="5"/>
      <c r="F1" s="5"/>
      <c r="G1" s="5"/>
      <c r="H1" s="5"/>
      <c r="I1" s="5"/>
      <c r="J1" s="5"/>
      <c r="K1" s="5"/>
      <c r="L1" s="5"/>
      <c r="M1" s="5"/>
      <c r="N1" s="141"/>
    </row>
    <row r="2" spans="1:14" ht="15.75">
      <c r="A2" s="8"/>
      <c r="B2" s="9"/>
      <c r="C2" s="9"/>
      <c r="D2" s="10"/>
      <c r="E2" s="10"/>
      <c r="F2" s="10"/>
      <c r="G2" s="10"/>
      <c r="H2" s="10"/>
      <c r="I2" s="10"/>
      <c r="J2" s="10"/>
      <c r="K2" s="10"/>
      <c r="L2" s="10"/>
      <c r="M2" s="10"/>
      <c r="N2" s="141"/>
    </row>
    <row r="3" spans="1:14" ht="15.75">
      <c r="A3" s="11"/>
      <c r="B3" s="12" t="s">
        <v>1</v>
      </c>
      <c r="C3" s="10"/>
      <c r="D3" s="10"/>
      <c r="E3" s="10"/>
      <c r="F3" s="10"/>
      <c r="G3" s="10"/>
      <c r="H3" s="10"/>
      <c r="I3" s="10"/>
      <c r="J3" s="10"/>
      <c r="K3" s="10"/>
      <c r="L3" s="10"/>
      <c r="M3" s="10"/>
      <c r="N3" s="141"/>
    </row>
    <row r="4" spans="1:14" ht="15.75">
      <c r="A4" s="8"/>
      <c r="B4" s="9"/>
      <c r="C4" s="9"/>
      <c r="D4" s="10"/>
      <c r="E4" s="10"/>
      <c r="F4" s="10"/>
      <c r="G4" s="10"/>
      <c r="H4" s="10"/>
      <c r="I4" s="10"/>
      <c r="J4" s="10"/>
      <c r="K4" s="10"/>
      <c r="L4" s="10"/>
      <c r="M4" s="10"/>
      <c r="N4" s="141"/>
    </row>
    <row r="5" spans="1:14" ht="15.75">
      <c r="A5" s="8"/>
      <c r="B5" s="13" t="s">
        <v>2</v>
      </c>
      <c r="C5" s="14"/>
      <c r="D5" s="10"/>
      <c r="E5" s="10"/>
      <c r="F5" s="10"/>
      <c r="G5" s="10"/>
      <c r="H5" s="10"/>
      <c r="I5" s="10"/>
      <c r="J5" s="10"/>
      <c r="K5" s="10"/>
      <c r="L5" s="10"/>
      <c r="M5" s="10"/>
      <c r="N5" s="141"/>
    </row>
    <row r="6" spans="1:14" ht="15.75">
      <c r="A6" s="8"/>
      <c r="B6" s="13" t="s">
        <v>3</v>
      </c>
      <c r="C6" s="14"/>
      <c r="D6" s="10"/>
      <c r="E6" s="10"/>
      <c r="F6" s="10"/>
      <c r="G6" s="10"/>
      <c r="H6" s="10"/>
      <c r="I6" s="10"/>
      <c r="J6" s="10"/>
      <c r="K6" s="10"/>
      <c r="L6" s="10"/>
      <c r="M6" s="10"/>
      <c r="N6" s="141"/>
    </row>
    <row r="7" spans="1:14" ht="15.75">
      <c r="A7" s="8"/>
      <c r="B7" s="13" t="s">
        <v>4</v>
      </c>
      <c r="C7" s="14"/>
      <c r="D7" s="10"/>
      <c r="E7" s="10"/>
      <c r="F7" s="10"/>
      <c r="G7" s="10"/>
      <c r="H7" s="10"/>
      <c r="I7" s="10"/>
      <c r="J7" s="10"/>
      <c r="K7" s="10"/>
      <c r="L7" s="10"/>
      <c r="M7" s="10"/>
      <c r="N7" s="141"/>
    </row>
    <row r="8" spans="1:14" ht="15.75">
      <c r="A8" s="8"/>
      <c r="B8" s="13" t="s">
        <v>5</v>
      </c>
      <c r="C8" s="14"/>
      <c r="D8" s="10"/>
      <c r="E8" s="10"/>
      <c r="F8" s="10"/>
      <c r="G8" s="10"/>
      <c r="H8" s="10"/>
      <c r="I8" s="10"/>
      <c r="J8" s="10"/>
      <c r="K8" s="10"/>
      <c r="L8" s="10"/>
      <c r="M8" s="10"/>
      <c r="N8" s="141"/>
    </row>
    <row r="9" spans="1:14" ht="15.75">
      <c r="A9" s="8"/>
      <c r="B9" s="15"/>
      <c r="C9" s="14"/>
      <c r="D9" s="10"/>
      <c r="E9" s="10"/>
      <c r="F9" s="10"/>
      <c r="G9" s="10"/>
      <c r="H9" s="10"/>
      <c r="I9" s="10"/>
      <c r="J9" s="10"/>
      <c r="K9" s="10"/>
      <c r="L9" s="10"/>
      <c r="M9" s="10"/>
      <c r="N9" s="141"/>
    </row>
    <row r="10" spans="1:14" ht="15.75">
      <c r="A10" s="8"/>
      <c r="B10" s="13"/>
      <c r="C10" s="14"/>
      <c r="D10" s="16"/>
      <c r="E10" s="16"/>
      <c r="F10" s="10"/>
      <c r="G10" s="10"/>
      <c r="H10" s="10"/>
      <c r="I10" s="10"/>
      <c r="J10" s="10"/>
      <c r="K10" s="10"/>
      <c r="L10" s="10"/>
      <c r="M10" s="10"/>
      <c r="N10" s="141"/>
    </row>
    <row r="11" spans="1:14" ht="15.75">
      <c r="A11" s="8"/>
      <c r="B11" s="16" t="s">
        <v>6</v>
      </c>
      <c r="C11" s="16"/>
      <c r="D11" s="10"/>
      <c r="E11" s="10"/>
      <c r="F11" s="10"/>
      <c r="G11" s="10"/>
      <c r="H11" s="10"/>
      <c r="I11" s="10"/>
      <c r="J11" s="10"/>
      <c r="K11" s="10"/>
      <c r="L11" s="10"/>
      <c r="M11" s="10"/>
      <c r="N11" s="141"/>
    </row>
    <row r="12" spans="1:14" ht="15.75">
      <c r="A12" s="8"/>
      <c r="B12" s="16"/>
      <c r="C12" s="16"/>
      <c r="D12" s="10"/>
      <c r="E12" s="10"/>
      <c r="F12" s="10"/>
      <c r="G12" s="10"/>
      <c r="H12" s="10"/>
      <c r="I12" s="10"/>
      <c r="J12" s="10"/>
      <c r="K12" s="10"/>
      <c r="L12" s="10"/>
      <c r="M12" s="10"/>
      <c r="N12" s="141"/>
    </row>
    <row r="13" spans="1:14" ht="15.75">
      <c r="A13" s="2"/>
      <c r="B13" s="5"/>
      <c r="C13" s="5"/>
      <c r="D13" s="5"/>
      <c r="E13" s="5"/>
      <c r="F13" s="5"/>
      <c r="G13" s="5"/>
      <c r="H13" s="5"/>
      <c r="I13" s="5"/>
      <c r="J13" s="5"/>
      <c r="K13" s="5"/>
      <c r="L13" s="5"/>
      <c r="M13" s="5"/>
      <c r="N13" s="141"/>
    </row>
    <row r="14" spans="1:14" ht="15.75">
      <c r="A14" s="8"/>
      <c r="B14" s="17" t="s">
        <v>7</v>
      </c>
      <c r="C14" s="17"/>
      <c r="D14" s="18"/>
      <c r="E14" s="18"/>
      <c r="F14" s="18"/>
      <c r="G14" s="18"/>
      <c r="H14" s="18"/>
      <c r="I14" s="18"/>
      <c r="J14" s="18"/>
      <c r="K14" s="18"/>
      <c r="L14" s="19" t="s">
        <v>190</v>
      </c>
      <c r="M14" s="18"/>
      <c r="N14" s="141"/>
    </row>
    <row r="15" spans="1:14" ht="15.75">
      <c r="A15" s="8"/>
      <c r="B15" s="17" t="s">
        <v>206</v>
      </c>
      <c r="C15" s="17"/>
      <c r="D15" s="18"/>
      <c r="E15" s="18"/>
      <c r="F15" s="18"/>
      <c r="G15" s="18"/>
      <c r="H15" s="20" t="s">
        <v>209</v>
      </c>
      <c r="I15" s="142">
        <v>0.49</v>
      </c>
      <c r="J15" s="20" t="s">
        <v>210</v>
      </c>
      <c r="K15" s="142">
        <v>0.51</v>
      </c>
      <c r="L15" s="19"/>
      <c r="M15" s="18"/>
      <c r="N15" s="141"/>
    </row>
    <row r="16" spans="1:14" ht="15.75">
      <c r="A16" s="8"/>
      <c r="B16" s="17" t="s">
        <v>207</v>
      </c>
      <c r="C16" s="17"/>
      <c r="D16" s="18"/>
      <c r="E16" s="18"/>
      <c r="F16" s="18"/>
      <c r="G16" s="18"/>
      <c r="H16" s="20" t="s">
        <v>209</v>
      </c>
      <c r="I16" s="142">
        <v>0.41</v>
      </c>
      <c r="J16" s="20" t="s">
        <v>210</v>
      </c>
      <c r="K16" s="142">
        <v>0.59</v>
      </c>
      <c r="L16" s="19"/>
      <c r="M16" s="18"/>
      <c r="N16" s="141"/>
    </row>
    <row r="17" spans="1:14" ht="15.75">
      <c r="A17" s="8"/>
      <c r="B17" s="17" t="s">
        <v>8</v>
      </c>
      <c r="C17" s="17"/>
      <c r="D17" s="18"/>
      <c r="E17" s="18"/>
      <c r="F17" s="18"/>
      <c r="G17" s="18"/>
      <c r="H17" s="18"/>
      <c r="I17" s="18"/>
      <c r="J17" s="18"/>
      <c r="K17" s="18"/>
      <c r="L17" s="20" t="s">
        <v>191</v>
      </c>
      <c r="M17" s="18"/>
      <c r="N17" s="141"/>
    </row>
    <row r="18" spans="1:14" ht="15.75">
      <c r="A18" s="8"/>
      <c r="B18" s="17" t="s">
        <v>9</v>
      </c>
      <c r="C18" s="17"/>
      <c r="D18" s="18"/>
      <c r="E18" s="18"/>
      <c r="F18" s="18"/>
      <c r="G18" s="18"/>
      <c r="H18" s="18"/>
      <c r="I18" s="18"/>
      <c r="J18" s="18"/>
      <c r="K18" s="18"/>
      <c r="L18" s="130">
        <v>37001</v>
      </c>
      <c r="M18" s="18"/>
      <c r="N18" s="141"/>
    </row>
    <row r="19" spans="1:14" ht="15.75">
      <c r="A19" s="8"/>
      <c r="B19" s="10"/>
      <c r="C19" s="10"/>
      <c r="D19" s="10"/>
      <c r="E19" s="10"/>
      <c r="F19" s="10"/>
      <c r="G19" s="10"/>
      <c r="H19" s="10"/>
      <c r="I19" s="10"/>
      <c r="J19" s="10"/>
      <c r="K19" s="10"/>
      <c r="L19" s="21"/>
      <c r="M19" s="10"/>
      <c r="N19" s="141"/>
    </row>
    <row r="20" spans="1:14" ht="15.75">
      <c r="A20" s="8"/>
      <c r="B20" s="22" t="s">
        <v>10</v>
      </c>
      <c r="C20" s="10"/>
      <c r="D20" s="10"/>
      <c r="E20" s="10"/>
      <c r="F20" s="10"/>
      <c r="G20" s="10"/>
      <c r="H20" s="10"/>
      <c r="I20" s="10"/>
      <c r="J20" s="21" t="s">
        <v>173</v>
      </c>
      <c r="K20" s="10"/>
      <c r="L20" s="15"/>
      <c r="M20" s="10"/>
      <c r="N20" s="141"/>
    </row>
    <row r="21" spans="1:14" ht="15.75">
      <c r="A21" s="8"/>
      <c r="B21" s="10"/>
      <c r="C21" s="10"/>
      <c r="D21" s="10"/>
      <c r="E21" s="10"/>
      <c r="F21" s="10"/>
      <c r="G21" s="10"/>
      <c r="H21" s="10"/>
      <c r="I21" s="10"/>
      <c r="J21" s="10"/>
      <c r="K21" s="10"/>
      <c r="L21" s="23"/>
      <c r="M21" s="10"/>
      <c r="N21" s="141"/>
    </row>
    <row r="22" spans="1:14" ht="15.75">
      <c r="A22" s="8"/>
      <c r="B22" s="10"/>
      <c r="C22" s="24" t="s">
        <v>139</v>
      </c>
      <c r="D22" s="25" t="s">
        <v>143</v>
      </c>
      <c r="E22" s="25"/>
      <c r="F22" s="25" t="s">
        <v>154</v>
      </c>
      <c r="G22" s="25"/>
      <c r="H22" s="25" t="s">
        <v>164</v>
      </c>
      <c r="I22" s="25"/>
      <c r="J22" s="25" t="s">
        <v>174</v>
      </c>
      <c r="K22" s="137"/>
      <c r="L22" s="137"/>
      <c r="M22" s="10"/>
      <c r="N22" s="141"/>
    </row>
    <row r="23" spans="1:14" ht="15.75">
      <c r="A23" s="26"/>
      <c r="B23" s="27" t="s">
        <v>11</v>
      </c>
      <c r="C23" s="28" t="s">
        <v>140</v>
      </c>
      <c r="D23" s="29" t="s">
        <v>144</v>
      </c>
      <c r="E23" s="29"/>
      <c r="F23" s="29" t="s">
        <v>144</v>
      </c>
      <c r="G23" s="29"/>
      <c r="H23" s="29" t="s">
        <v>165</v>
      </c>
      <c r="I23" s="29"/>
      <c r="J23" s="29" t="s">
        <v>175</v>
      </c>
      <c r="K23" s="30"/>
      <c r="L23" s="30"/>
      <c r="M23" s="27"/>
      <c r="N23" s="141"/>
    </row>
    <row r="24" spans="1:14" ht="15.75">
      <c r="A24" s="131"/>
      <c r="B24" s="31" t="s">
        <v>12</v>
      </c>
      <c r="C24" s="138" t="s">
        <v>165</v>
      </c>
      <c r="D24" s="32" t="s">
        <v>144</v>
      </c>
      <c r="E24" s="32"/>
      <c r="F24" s="32" t="s">
        <v>144</v>
      </c>
      <c r="G24" s="32"/>
      <c r="H24" s="32" t="s">
        <v>165</v>
      </c>
      <c r="I24" s="32"/>
      <c r="J24" s="32" t="s">
        <v>175</v>
      </c>
      <c r="K24" s="33"/>
      <c r="L24" s="33"/>
      <c r="M24" s="27"/>
      <c r="N24" s="141"/>
    </row>
    <row r="25" spans="1:14" ht="15.75">
      <c r="A25" s="26"/>
      <c r="B25" s="27" t="s">
        <v>13</v>
      </c>
      <c r="C25" s="27"/>
      <c r="D25" s="34" t="s">
        <v>145</v>
      </c>
      <c r="E25" s="29"/>
      <c r="F25" s="34" t="s">
        <v>155</v>
      </c>
      <c r="G25" s="29"/>
      <c r="H25" s="34" t="s">
        <v>166</v>
      </c>
      <c r="I25" s="29"/>
      <c r="J25" s="34" t="s">
        <v>176</v>
      </c>
      <c r="K25" s="30"/>
      <c r="L25" s="30"/>
      <c r="M25" s="27"/>
      <c r="N25" s="141"/>
    </row>
    <row r="26" spans="1:14" ht="15.75">
      <c r="A26" s="26"/>
      <c r="B26" s="27"/>
      <c r="C26" s="27"/>
      <c r="D26" s="27"/>
      <c r="E26" s="29"/>
      <c r="F26" s="29"/>
      <c r="G26" s="29"/>
      <c r="H26" s="29"/>
      <c r="I26" s="29"/>
      <c r="J26" s="29"/>
      <c r="K26" s="30"/>
      <c r="L26" s="30"/>
      <c r="M26" s="27"/>
      <c r="N26" s="141"/>
    </row>
    <row r="27" spans="1:14" ht="15.75">
      <c r="A27" s="26"/>
      <c r="B27" s="27" t="s">
        <v>14</v>
      </c>
      <c r="C27" s="27"/>
      <c r="D27" s="35">
        <v>55000</v>
      </c>
      <c r="E27" s="36"/>
      <c r="F27" s="35">
        <v>77000</v>
      </c>
      <c r="G27" s="35"/>
      <c r="H27" s="35">
        <v>33000</v>
      </c>
      <c r="I27" s="35"/>
      <c r="J27" s="35">
        <v>10000</v>
      </c>
      <c r="K27" s="37"/>
      <c r="L27" s="35">
        <f>J27+H27+F27+D27</f>
        <v>175000</v>
      </c>
      <c r="M27" s="38"/>
      <c r="N27" s="141"/>
    </row>
    <row r="28" spans="1:14" ht="15.75">
      <c r="A28" s="26"/>
      <c r="B28" s="27" t="s">
        <v>15</v>
      </c>
      <c r="C28" s="39">
        <v>0.634721</v>
      </c>
      <c r="D28" s="35">
        <v>0</v>
      </c>
      <c r="E28" s="36"/>
      <c r="F28" s="35">
        <f>77000*C28</f>
        <v>48873.517</v>
      </c>
      <c r="G28" s="35"/>
      <c r="H28" s="35">
        <v>33000</v>
      </c>
      <c r="I28" s="35"/>
      <c r="J28" s="35">
        <v>10000</v>
      </c>
      <c r="K28" s="37"/>
      <c r="L28" s="35">
        <f>J28+H28+F28+D28</f>
        <v>91873.51699999999</v>
      </c>
      <c r="M28" s="38"/>
      <c r="N28" s="141"/>
    </row>
    <row r="29" spans="1:14" ht="15.75">
      <c r="A29" s="26"/>
      <c r="B29" s="31" t="s">
        <v>16</v>
      </c>
      <c r="C29" s="39">
        <v>0.55924</v>
      </c>
      <c r="D29" s="40">
        <v>0</v>
      </c>
      <c r="E29" s="41"/>
      <c r="F29" s="40">
        <f>77000*C29</f>
        <v>43061.479999999996</v>
      </c>
      <c r="G29" s="40"/>
      <c r="H29" s="40">
        <v>33000</v>
      </c>
      <c r="I29" s="40"/>
      <c r="J29" s="40">
        <v>10000</v>
      </c>
      <c r="K29" s="42"/>
      <c r="L29" s="40">
        <f>J29+H29+F29+D29</f>
        <v>86061.48</v>
      </c>
      <c r="M29" s="38"/>
      <c r="N29" s="141"/>
    </row>
    <row r="30" spans="1:14" ht="15.75">
      <c r="A30" s="26"/>
      <c r="B30" s="27" t="s">
        <v>17</v>
      </c>
      <c r="C30" s="27"/>
      <c r="D30" s="34" t="s">
        <v>146</v>
      </c>
      <c r="E30" s="27"/>
      <c r="F30" s="34" t="s">
        <v>156</v>
      </c>
      <c r="G30" s="34"/>
      <c r="H30" s="34" t="s">
        <v>167</v>
      </c>
      <c r="I30" s="34"/>
      <c r="J30" s="34" t="s">
        <v>177</v>
      </c>
      <c r="K30" s="30"/>
      <c r="L30" s="30"/>
      <c r="M30" s="27"/>
      <c r="N30" s="141"/>
    </row>
    <row r="31" spans="1:14" ht="15.75">
      <c r="A31" s="26"/>
      <c r="B31" s="27" t="s">
        <v>18</v>
      </c>
      <c r="C31" s="27"/>
      <c r="D31" s="45"/>
      <c r="E31" s="27"/>
      <c r="F31" s="45">
        <v>0.0607906</v>
      </c>
      <c r="G31" s="46"/>
      <c r="H31" s="45">
        <v>0.0629906</v>
      </c>
      <c r="I31" s="46"/>
      <c r="J31" s="45">
        <v>0.0681906</v>
      </c>
      <c r="K31" s="30"/>
      <c r="L31" s="46">
        <f>SUMPRODUCT(D31:J31,D28:J28)/L28</f>
        <v>0.06238627201503781</v>
      </c>
      <c r="M31" s="27"/>
      <c r="N31" s="141"/>
    </row>
    <row r="32" spans="1:14" ht="15.75">
      <c r="A32" s="26"/>
      <c r="B32" s="27" t="s">
        <v>19</v>
      </c>
      <c r="C32" s="27"/>
      <c r="D32" s="45"/>
      <c r="E32" s="27"/>
      <c r="F32" s="45">
        <v>0.063575</v>
      </c>
      <c r="G32" s="46"/>
      <c r="H32" s="45">
        <v>0.065775</v>
      </c>
      <c r="I32" s="46"/>
      <c r="J32" s="45">
        <v>0.070975</v>
      </c>
      <c r="K32" s="30"/>
      <c r="L32" s="30"/>
      <c r="M32" s="27"/>
      <c r="N32" s="141"/>
    </row>
    <row r="33" spans="1:14" ht="15.75">
      <c r="A33" s="26"/>
      <c r="B33" s="27" t="s">
        <v>20</v>
      </c>
      <c r="C33" s="27"/>
      <c r="D33" s="34" t="s">
        <v>147</v>
      </c>
      <c r="E33" s="27"/>
      <c r="F33" s="34" t="s">
        <v>157</v>
      </c>
      <c r="G33" s="34"/>
      <c r="H33" s="34" t="s">
        <v>157</v>
      </c>
      <c r="I33" s="34"/>
      <c r="J33" s="34" t="s">
        <v>157</v>
      </c>
      <c r="K33" s="30"/>
      <c r="L33" s="30"/>
      <c r="M33" s="27"/>
      <c r="N33" s="141"/>
    </row>
    <row r="34" spans="1:14" ht="15.75">
      <c r="A34" s="26"/>
      <c r="B34" s="27" t="s">
        <v>21</v>
      </c>
      <c r="C34" s="27"/>
      <c r="D34" s="34" t="s">
        <v>148</v>
      </c>
      <c r="E34" s="27"/>
      <c r="F34" s="34" t="s">
        <v>158</v>
      </c>
      <c r="G34" s="34"/>
      <c r="H34" s="34" t="s">
        <v>158</v>
      </c>
      <c r="I34" s="34"/>
      <c r="J34" s="34" t="s">
        <v>158</v>
      </c>
      <c r="K34" s="30"/>
      <c r="L34" s="30"/>
      <c r="M34" s="27"/>
      <c r="N34" s="141"/>
    </row>
    <row r="35" spans="1:14" ht="15.75">
      <c r="A35" s="26"/>
      <c r="B35" s="27" t="s">
        <v>22</v>
      </c>
      <c r="C35" s="27"/>
      <c r="D35" s="34" t="s">
        <v>149</v>
      </c>
      <c r="E35" s="27"/>
      <c r="F35" s="34" t="s">
        <v>159</v>
      </c>
      <c r="G35" s="34"/>
      <c r="H35" s="34" t="s">
        <v>168</v>
      </c>
      <c r="I35" s="34"/>
      <c r="J35" s="34" t="s">
        <v>178</v>
      </c>
      <c r="K35" s="30"/>
      <c r="L35" s="30"/>
      <c r="M35" s="27"/>
      <c r="N35" s="141"/>
    </row>
    <row r="36" spans="1:14" ht="15.75">
      <c r="A36" s="26"/>
      <c r="B36" s="27"/>
      <c r="C36" s="27"/>
      <c r="D36" s="47"/>
      <c r="E36" s="47"/>
      <c r="F36" s="27"/>
      <c r="G36" s="47"/>
      <c r="H36" s="47"/>
      <c r="I36" s="47"/>
      <c r="J36" s="47"/>
      <c r="K36" s="47"/>
      <c r="L36" s="47"/>
      <c r="M36" s="27"/>
      <c r="N36" s="141"/>
    </row>
    <row r="37" spans="1:14" ht="15.75">
      <c r="A37" s="26"/>
      <c r="B37" s="27" t="s">
        <v>23</v>
      </c>
      <c r="C37" s="27"/>
      <c r="D37" s="27"/>
      <c r="E37" s="27"/>
      <c r="F37" s="27"/>
      <c r="G37" s="27"/>
      <c r="H37" s="27"/>
      <c r="I37" s="27"/>
      <c r="J37" s="27"/>
      <c r="K37" s="27"/>
      <c r="L37" s="46">
        <f>(H27+J27)/(D27+F27)</f>
        <v>0.32575757575757575</v>
      </c>
      <c r="M37" s="27"/>
      <c r="N37" s="141"/>
    </row>
    <row r="38" spans="1:14" ht="15.75">
      <c r="A38" s="26"/>
      <c r="B38" s="27" t="s">
        <v>24</v>
      </c>
      <c r="C38" s="133"/>
      <c r="D38" s="27"/>
      <c r="E38" s="27"/>
      <c r="F38" s="27"/>
      <c r="G38" s="27"/>
      <c r="H38" s="27"/>
      <c r="I38" s="27"/>
      <c r="J38" s="27"/>
      <c r="K38" s="27"/>
      <c r="L38" s="46">
        <f>(H29+J29)/(D29+F29)</f>
        <v>0.9985722738744698</v>
      </c>
      <c r="M38" s="27"/>
      <c r="N38" s="141"/>
    </row>
    <row r="39" spans="1:14" ht="15.75">
      <c r="A39" s="26"/>
      <c r="B39" s="27" t="s">
        <v>25</v>
      </c>
      <c r="C39" s="133"/>
      <c r="D39" s="27"/>
      <c r="E39" s="27"/>
      <c r="F39" s="27"/>
      <c r="G39" s="27"/>
      <c r="H39" s="27"/>
      <c r="I39" s="27"/>
      <c r="J39" s="34" t="s">
        <v>179</v>
      </c>
      <c r="K39" s="34" t="s">
        <v>188</v>
      </c>
      <c r="L39" s="35">
        <v>44500000</v>
      </c>
      <c r="M39" s="27"/>
      <c r="N39" s="141"/>
    </row>
    <row r="40" spans="1:14" ht="15.75">
      <c r="A40" s="26"/>
      <c r="B40" s="27"/>
      <c r="C40" s="133"/>
      <c r="D40" s="27"/>
      <c r="E40" s="27"/>
      <c r="F40" s="27"/>
      <c r="G40" s="27"/>
      <c r="H40" s="27"/>
      <c r="I40" s="27"/>
      <c r="J40" s="27"/>
      <c r="K40" s="27"/>
      <c r="L40" s="48"/>
      <c r="M40" s="27"/>
      <c r="N40" s="141"/>
    </row>
    <row r="41" spans="1:14" ht="15.75">
      <c r="A41" s="26"/>
      <c r="B41" s="27" t="s">
        <v>26</v>
      </c>
      <c r="C41" s="133"/>
      <c r="D41" s="27"/>
      <c r="E41" s="27"/>
      <c r="F41" s="27"/>
      <c r="G41" s="27"/>
      <c r="H41" s="27"/>
      <c r="I41" s="27"/>
      <c r="J41" s="34"/>
      <c r="K41" s="34"/>
      <c r="L41" s="34" t="s">
        <v>193</v>
      </c>
      <c r="M41" s="27"/>
      <c r="N41" s="141"/>
    </row>
    <row r="42" spans="1:14" ht="15.75">
      <c r="A42" s="131"/>
      <c r="B42" s="31" t="s">
        <v>27</v>
      </c>
      <c r="C42" s="31"/>
      <c r="D42" s="31"/>
      <c r="E42" s="31"/>
      <c r="F42" s="31"/>
      <c r="G42" s="31"/>
      <c r="H42" s="31"/>
      <c r="I42" s="31"/>
      <c r="J42" s="49"/>
      <c r="K42" s="49"/>
      <c r="L42" s="50">
        <v>36980</v>
      </c>
      <c r="M42" s="31"/>
      <c r="N42" s="141"/>
    </row>
    <row r="43" spans="1:14" ht="15.75">
      <c r="A43" s="26"/>
      <c r="B43" s="27" t="s">
        <v>28</v>
      </c>
      <c r="C43" s="27"/>
      <c r="D43" s="27"/>
      <c r="E43" s="27"/>
      <c r="F43" s="27"/>
      <c r="G43" s="27"/>
      <c r="H43" s="27"/>
      <c r="I43" s="27">
        <f>L43-J43+1</f>
        <v>91</v>
      </c>
      <c r="J43" s="51">
        <v>36798</v>
      </c>
      <c r="K43" s="52"/>
      <c r="L43" s="51">
        <v>36888</v>
      </c>
      <c r="M43" s="27"/>
      <c r="N43" s="141"/>
    </row>
    <row r="44" spans="1:14" ht="15.75">
      <c r="A44" s="26"/>
      <c r="B44" s="27" t="s">
        <v>29</v>
      </c>
      <c r="C44" s="27"/>
      <c r="D44" s="27"/>
      <c r="E44" s="27"/>
      <c r="F44" s="27"/>
      <c r="G44" s="27"/>
      <c r="H44" s="27"/>
      <c r="I44" s="27">
        <f>L44-J44+1</f>
        <v>91</v>
      </c>
      <c r="J44" s="51">
        <v>36889</v>
      </c>
      <c r="K44" s="52"/>
      <c r="L44" s="51">
        <v>36979</v>
      </c>
      <c r="M44" s="27"/>
      <c r="N44" s="141"/>
    </row>
    <row r="45" spans="1:14" ht="15.75">
      <c r="A45" s="26"/>
      <c r="B45" s="27" t="s">
        <v>30</v>
      </c>
      <c r="C45" s="27"/>
      <c r="D45" s="27"/>
      <c r="E45" s="27"/>
      <c r="F45" s="27"/>
      <c r="G45" s="27"/>
      <c r="H45" s="27"/>
      <c r="I45" s="27"/>
      <c r="J45" s="51"/>
      <c r="K45" s="52"/>
      <c r="L45" s="51" t="s">
        <v>194</v>
      </c>
      <c r="M45" s="27"/>
      <c r="N45" s="141"/>
    </row>
    <row r="46" spans="1:14" ht="15.75">
      <c r="A46" s="26"/>
      <c r="B46" s="27" t="s">
        <v>31</v>
      </c>
      <c r="C46" s="27"/>
      <c r="D46" s="27"/>
      <c r="E46" s="27"/>
      <c r="F46" s="27"/>
      <c r="G46" s="27"/>
      <c r="H46" s="27"/>
      <c r="I46" s="27"/>
      <c r="J46" s="51"/>
      <c r="K46" s="52"/>
      <c r="L46" s="51">
        <v>36971</v>
      </c>
      <c r="M46" s="27"/>
      <c r="N46" s="141"/>
    </row>
    <row r="47" spans="1:14" ht="15.75">
      <c r="A47" s="26"/>
      <c r="B47" s="27"/>
      <c r="C47" s="27"/>
      <c r="D47" s="27"/>
      <c r="E47" s="27"/>
      <c r="F47" s="27"/>
      <c r="G47" s="27"/>
      <c r="H47" s="27"/>
      <c r="I47" s="27"/>
      <c r="J47" s="27"/>
      <c r="K47" s="27"/>
      <c r="L47" s="53"/>
      <c r="M47" s="27"/>
      <c r="N47" s="141"/>
    </row>
    <row r="48" spans="1:14" ht="15.75">
      <c r="A48" s="8"/>
      <c r="B48" s="10"/>
      <c r="C48" s="10"/>
      <c r="D48" s="10"/>
      <c r="E48" s="10"/>
      <c r="F48" s="10"/>
      <c r="G48" s="10"/>
      <c r="H48" s="10"/>
      <c r="I48" s="10"/>
      <c r="J48" s="10"/>
      <c r="K48" s="10"/>
      <c r="L48" s="58"/>
      <c r="M48" s="10"/>
      <c r="N48" s="141"/>
    </row>
    <row r="49" spans="1:14" ht="15.75">
      <c r="A49" s="2"/>
      <c r="B49" s="55" t="s">
        <v>32</v>
      </c>
      <c r="C49" s="56"/>
      <c r="D49" s="5"/>
      <c r="E49" s="5"/>
      <c r="F49" s="5"/>
      <c r="G49" s="5"/>
      <c r="H49" s="5"/>
      <c r="I49" s="5"/>
      <c r="J49" s="5"/>
      <c r="K49" s="5"/>
      <c r="L49" s="57"/>
      <c r="M49" s="5"/>
      <c r="N49" s="141"/>
    </row>
    <row r="50" spans="1:14" ht="15.75">
      <c r="A50" s="8"/>
      <c r="B50" s="16"/>
      <c r="C50" s="16"/>
      <c r="D50" s="10"/>
      <c r="E50" s="10"/>
      <c r="F50" s="10"/>
      <c r="G50" s="10"/>
      <c r="H50" s="10"/>
      <c r="I50" s="10"/>
      <c r="J50" s="10"/>
      <c r="K50" s="10"/>
      <c r="L50" s="58"/>
      <c r="M50" s="10"/>
      <c r="N50" s="141"/>
    </row>
    <row r="51" spans="1:14" ht="63">
      <c r="A51" s="8"/>
      <c r="B51" s="59" t="s">
        <v>33</v>
      </c>
      <c r="C51" s="60" t="s">
        <v>141</v>
      </c>
      <c r="D51" s="60" t="s">
        <v>150</v>
      </c>
      <c r="E51" s="60"/>
      <c r="F51" s="60" t="s">
        <v>160</v>
      </c>
      <c r="G51" s="60"/>
      <c r="H51" s="60" t="s">
        <v>169</v>
      </c>
      <c r="I51" s="60"/>
      <c r="J51" s="60" t="s">
        <v>180</v>
      </c>
      <c r="K51" s="60"/>
      <c r="L51" s="61" t="s">
        <v>195</v>
      </c>
      <c r="M51" s="12"/>
      <c r="N51" s="141"/>
    </row>
    <row r="52" spans="1:14" ht="15.75">
      <c r="A52" s="26"/>
      <c r="B52" s="27" t="s">
        <v>34</v>
      </c>
      <c r="C52" s="38">
        <v>165784</v>
      </c>
      <c r="D52" s="62">
        <v>96597</v>
      </c>
      <c r="E52" s="38"/>
      <c r="F52" s="38">
        <f>4425+150+502+2</f>
        <v>5079</v>
      </c>
      <c r="G52" s="38"/>
      <c r="H52" s="38">
        <v>502</v>
      </c>
      <c r="I52" s="38"/>
      <c r="J52" s="38">
        <v>0</v>
      </c>
      <c r="K52" s="38"/>
      <c r="L52" s="62">
        <f>D52-F52+H52-J52</f>
        <v>92020</v>
      </c>
      <c r="M52" s="27"/>
      <c r="N52" s="141"/>
    </row>
    <row r="53" spans="1:14" ht="15.75">
      <c r="A53" s="26"/>
      <c r="B53" s="27" t="s">
        <v>35</v>
      </c>
      <c r="C53" s="38">
        <v>19105</v>
      </c>
      <c r="D53" s="62">
        <v>5023</v>
      </c>
      <c r="E53" s="38"/>
      <c r="F53" s="38">
        <v>424</v>
      </c>
      <c r="G53" s="38"/>
      <c r="H53" s="38">
        <v>0</v>
      </c>
      <c r="I53" s="38"/>
      <c r="J53" s="38">
        <v>0</v>
      </c>
      <c r="K53" s="38"/>
      <c r="L53" s="62">
        <f>D53-F53</f>
        <v>4599</v>
      </c>
      <c r="M53" s="27"/>
      <c r="N53" s="141"/>
    </row>
    <row r="54" spans="1:14" ht="15.75">
      <c r="A54" s="26"/>
      <c r="B54" s="27"/>
      <c r="C54" s="38"/>
      <c r="D54" s="62"/>
      <c r="E54" s="38"/>
      <c r="F54" s="38"/>
      <c r="G54" s="38"/>
      <c r="H54" s="38"/>
      <c r="I54" s="38"/>
      <c r="J54" s="38"/>
      <c r="K54" s="38"/>
      <c r="L54" s="62"/>
      <c r="M54" s="27"/>
      <c r="N54" s="141"/>
    </row>
    <row r="55" spans="1:14" ht="15.75">
      <c r="A55" s="26"/>
      <c r="B55" s="27" t="s">
        <v>36</v>
      </c>
      <c r="C55" s="38">
        <f>SUM(C52:C54)</f>
        <v>184889</v>
      </c>
      <c r="D55" s="38">
        <f>SUM(D52:D54)</f>
        <v>101620</v>
      </c>
      <c r="E55" s="38"/>
      <c r="F55" s="38">
        <f>SUM(F52:F54)</f>
        <v>5503</v>
      </c>
      <c r="G55" s="38"/>
      <c r="H55" s="38">
        <f>SUM(H52:H54)</f>
        <v>502</v>
      </c>
      <c r="I55" s="38"/>
      <c r="J55" s="38">
        <f>SUM(J52:J54)</f>
        <v>0</v>
      </c>
      <c r="K55" s="38"/>
      <c r="L55" s="63">
        <f>SUM(L52:L54)</f>
        <v>96619</v>
      </c>
      <c r="M55" s="27"/>
      <c r="N55" s="141"/>
    </row>
    <row r="56" spans="1:14" ht="15.75">
      <c r="A56" s="26"/>
      <c r="B56" s="27"/>
      <c r="C56" s="38"/>
      <c r="D56" s="63"/>
      <c r="E56" s="38"/>
      <c r="F56" s="38"/>
      <c r="G56" s="38"/>
      <c r="H56" s="38"/>
      <c r="I56" s="38"/>
      <c r="J56" s="38"/>
      <c r="K56" s="38"/>
      <c r="L56" s="63"/>
      <c r="M56" s="27"/>
      <c r="N56" s="141"/>
    </row>
    <row r="57" spans="1:14" ht="15.75">
      <c r="A57" s="8"/>
      <c r="B57" s="12" t="s">
        <v>37</v>
      </c>
      <c r="C57" s="64"/>
      <c r="D57" s="65"/>
      <c r="E57" s="64"/>
      <c r="F57" s="64"/>
      <c r="G57" s="64"/>
      <c r="H57" s="64"/>
      <c r="I57" s="64"/>
      <c r="J57" s="64"/>
      <c r="K57" s="64"/>
      <c r="L57" s="65"/>
      <c r="M57" s="10"/>
      <c r="N57" s="141"/>
    </row>
    <row r="58" spans="1:14" ht="15.75">
      <c r="A58" s="8"/>
      <c r="B58" s="10"/>
      <c r="C58" s="64"/>
      <c r="D58" s="65"/>
      <c r="E58" s="64"/>
      <c r="F58" s="64"/>
      <c r="G58" s="64"/>
      <c r="H58" s="64"/>
      <c r="I58" s="64"/>
      <c r="J58" s="64"/>
      <c r="K58" s="64"/>
      <c r="L58" s="65"/>
      <c r="M58" s="10"/>
      <c r="N58" s="141"/>
    </row>
    <row r="59" spans="1:14" ht="15.75">
      <c r="A59" s="26"/>
      <c r="B59" s="27" t="s">
        <v>34</v>
      </c>
      <c r="C59" s="38"/>
      <c r="D59" s="63"/>
      <c r="E59" s="38"/>
      <c r="F59" s="38"/>
      <c r="G59" s="38"/>
      <c r="H59" s="38"/>
      <c r="I59" s="38"/>
      <c r="J59" s="38"/>
      <c r="K59" s="38"/>
      <c r="L59" s="63"/>
      <c r="M59" s="27"/>
      <c r="N59" s="141"/>
    </row>
    <row r="60" spans="1:14" ht="15.75">
      <c r="A60" s="26"/>
      <c r="B60" s="27" t="s">
        <v>35</v>
      </c>
      <c r="C60" s="38"/>
      <c r="D60" s="63"/>
      <c r="E60" s="38"/>
      <c r="F60" s="38"/>
      <c r="G60" s="38"/>
      <c r="H60" s="38"/>
      <c r="I60" s="38"/>
      <c r="J60" s="38"/>
      <c r="K60" s="38"/>
      <c r="L60" s="63"/>
      <c r="M60" s="27"/>
      <c r="N60" s="141"/>
    </row>
    <row r="61" spans="1:14" ht="15.75">
      <c r="A61" s="26"/>
      <c r="B61" s="27"/>
      <c r="C61" s="38"/>
      <c r="D61" s="63"/>
      <c r="E61" s="38"/>
      <c r="F61" s="38"/>
      <c r="G61" s="38"/>
      <c r="H61" s="38"/>
      <c r="I61" s="38"/>
      <c r="J61" s="38"/>
      <c r="K61" s="38"/>
      <c r="L61" s="63"/>
      <c r="M61" s="27"/>
      <c r="N61" s="141"/>
    </row>
    <row r="62" spans="1:14" ht="15.75">
      <c r="A62" s="26"/>
      <c r="B62" s="27" t="s">
        <v>36</v>
      </c>
      <c r="C62" s="38"/>
      <c r="D62" s="38"/>
      <c r="E62" s="38"/>
      <c r="F62" s="38"/>
      <c r="G62" s="38"/>
      <c r="H62" s="38"/>
      <c r="I62" s="38"/>
      <c r="J62" s="38"/>
      <c r="K62" s="38"/>
      <c r="L62" s="38"/>
      <c r="M62" s="27"/>
      <c r="N62" s="141"/>
    </row>
    <row r="63" spans="1:14" ht="15.75">
      <c r="A63" s="26"/>
      <c r="B63" s="27"/>
      <c r="C63" s="38"/>
      <c r="D63" s="38"/>
      <c r="E63" s="38"/>
      <c r="F63" s="38"/>
      <c r="G63" s="38"/>
      <c r="H63" s="38"/>
      <c r="I63" s="38"/>
      <c r="J63" s="38"/>
      <c r="K63" s="38"/>
      <c r="L63" s="38"/>
      <c r="M63" s="27"/>
      <c r="N63" s="141"/>
    </row>
    <row r="64" spans="1:14" ht="15.75">
      <c r="A64" s="26"/>
      <c r="B64" s="27" t="s">
        <v>38</v>
      </c>
      <c r="C64" s="38">
        <v>-9889</v>
      </c>
      <c r="D64" s="62">
        <v>-9889</v>
      </c>
      <c r="E64" s="38"/>
      <c r="F64" s="38"/>
      <c r="G64" s="38"/>
      <c r="H64" s="38"/>
      <c r="I64" s="38"/>
      <c r="J64" s="38"/>
      <c r="K64" s="38"/>
      <c r="L64" s="62">
        <f>D64-F64+H64-J64</f>
        <v>-9889</v>
      </c>
      <c r="M64" s="27"/>
      <c r="N64" s="141"/>
    </row>
    <row r="65" spans="1:14" ht="15.75">
      <c r="A65" s="26"/>
      <c r="B65" s="27" t="s">
        <v>39</v>
      </c>
      <c r="C65" s="38">
        <v>0</v>
      </c>
      <c r="D65" s="63">
        <v>-54</v>
      </c>
      <c r="E65" s="38"/>
      <c r="F65" s="38"/>
      <c r="G65" s="38"/>
      <c r="H65" s="38"/>
      <c r="I65" s="38"/>
      <c r="J65" s="38"/>
      <c r="K65" s="38"/>
      <c r="L65" s="63">
        <f>-L117</f>
        <v>-819</v>
      </c>
      <c r="M65" s="27"/>
      <c r="N65" s="141"/>
    </row>
    <row r="66" spans="1:14" ht="15.75">
      <c r="A66" s="26"/>
      <c r="B66" s="27" t="s">
        <v>40</v>
      </c>
      <c r="C66" s="38">
        <v>0</v>
      </c>
      <c r="D66" s="63">
        <v>197</v>
      </c>
      <c r="E66" s="38"/>
      <c r="F66" s="38"/>
      <c r="G66" s="38"/>
      <c r="H66" s="38"/>
      <c r="I66" s="38"/>
      <c r="J66" s="38"/>
      <c r="K66" s="38"/>
      <c r="L66" s="63">
        <v>150</v>
      </c>
      <c r="M66" s="27"/>
      <c r="N66" s="141"/>
    </row>
    <row r="67" spans="1:14" ht="15.75">
      <c r="A67" s="26"/>
      <c r="B67" s="27" t="s">
        <v>41</v>
      </c>
      <c r="C67" s="63">
        <f>SUM(C55:C66)</f>
        <v>175000</v>
      </c>
      <c r="D67" s="63">
        <f>SUM(D55:D66)</f>
        <v>91874</v>
      </c>
      <c r="E67" s="38"/>
      <c r="F67" s="63"/>
      <c r="G67" s="38"/>
      <c r="H67" s="63"/>
      <c r="I67" s="38"/>
      <c r="J67" s="63"/>
      <c r="K67" s="38"/>
      <c r="L67" s="63">
        <f>SUM(L55:L66)</f>
        <v>86061</v>
      </c>
      <c r="M67" s="27"/>
      <c r="N67" s="141"/>
    </row>
    <row r="68" spans="1:14" ht="15.75">
      <c r="A68" s="26"/>
      <c r="B68" s="27"/>
      <c r="C68" s="38"/>
      <c r="D68" s="38"/>
      <c r="E68" s="38"/>
      <c r="F68" s="38"/>
      <c r="G68" s="38"/>
      <c r="H68" s="38"/>
      <c r="I68" s="38"/>
      <c r="J68" s="38"/>
      <c r="K68" s="38"/>
      <c r="L68" s="63"/>
      <c r="M68" s="27"/>
      <c r="N68" s="141"/>
    </row>
    <row r="69" spans="1:14" ht="15.75">
      <c r="A69" s="8"/>
      <c r="B69" s="10"/>
      <c r="C69" s="10"/>
      <c r="D69" s="10"/>
      <c r="E69" s="10"/>
      <c r="F69" s="10"/>
      <c r="G69" s="10"/>
      <c r="H69" s="10"/>
      <c r="I69" s="10"/>
      <c r="J69" s="10"/>
      <c r="K69" s="10"/>
      <c r="L69" s="10"/>
      <c r="M69" s="10"/>
      <c r="N69" s="141"/>
    </row>
    <row r="70" spans="1:14" ht="15.75">
      <c r="A70" s="8"/>
      <c r="B70" s="67" t="s">
        <v>42</v>
      </c>
      <c r="C70" s="17"/>
      <c r="D70" s="17"/>
      <c r="E70" s="17"/>
      <c r="F70" s="17"/>
      <c r="G70" s="17"/>
      <c r="H70" s="17"/>
      <c r="I70" s="20"/>
      <c r="J70" s="20" t="s">
        <v>181</v>
      </c>
      <c r="K70" s="20"/>
      <c r="L70" s="20" t="s">
        <v>196</v>
      </c>
      <c r="M70" s="17"/>
      <c r="N70" s="141"/>
    </row>
    <row r="71" spans="1:14" ht="15.75">
      <c r="A71" s="26"/>
      <c r="B71" s="27" t="s">
        <v>43</v>
      </c>
      <c r="C71" s="27"/>
      <c r="D71" s="27"/>
      <c r="E71" s="27"/>
      <c r="F71" s="27"/>
      <c r="G71" s="27"/>
      <c r="H71" s="27"/>
      <c r="I71" s="27"/>
      <c r="J71" s="38">
        <v>0</v>
      </c>
      <c r="K71" s="27"/>
      <c r="L71" s="62">
        <v>0</v>
      </c>
      <c r="M71" s="27"/>
      <c r="N71" s="141"/>
    </row>
    <row r="72" spans="1:14" ht="15.75">
      <c r="A72" s="26"/>
      <c r="B72" s="27" t="s">
        <v>44</v>
      </c>
      <c r="C72" s="47" t="s">
        <v>142</v>
      </c>
      <c r="D72" s="68">
        <f>L46</f>
        <v>36971</v>
      </c>
      <c r="E72" s="27"/>
      <c r="F72" s="27"/>
      <c r="G72" s="27"/>
      <c r="H72" s="27"/>
      <c r="I72" s="27"/>
      <c r="J72" s="38">
        <f>5079-150+197+765-1</f>
        <v>5890</v>
      </c>
      <c r="K72" s="27"/>
      <c r="L72" s="62"/>
      <c r="M72" s="27"/>
      <c r="N72" s="141"/>
    </row>
    <row r="73" spans="1:14" ht="15.75">
      <c r="A73" s="26"/>
      <c r="B73" s="27" t="s">
        <v>45</v>
      </c>
      <c r="C73" s="27"/>
      <c r="D73" s="27"/>
      <c r="E73" s="27"/>
      <c r="F73" s="27"/>
      <c r="G73" s="27"/>
      <c r="H73" s="27"/>
      <c r="I73" s="27"/>
      <c r="J73" s="38"/>
      <c r="K73" s="27"/>
      <c r="L73" s="62">
        <f>2162+783+80+268-396-6-29+5</f>
        <v>2867</v>
      </c>
      <c r="M73" s="27"/>
      <c r="N73" s="141"/>
    </row>
    <row r="74" spans="1:14" ht="15.75">
      <c r="A74" s="26"/>
      <c r="B74" s="27" t="s">
        <v>46</v>
      </c>
      <c r="C74" s="27"/>
      <c r="D74" s="27"/>
      <c r="E74" s="27"/>
      <c r="F74" s="27"/>
      <c r="G74" s="27"/>
      <c r="H74" s="27"/>
      <c r="I74" s="27"/>
      <c r="J74" s="38"/>
      <c r="K74" s="27"/>
      <c r="L74" s="62"/>
      <c r="M74" s="27"/>
      <c r="N74" s="141"/>
    </row>
    <row r="75" spans="1:14" ht="15.75">
      <c r="A75" s="26"/>
      <c r="B75" s="27" t="s">
        <v>47</v>
      </c>
      <c r="C75" s="27"/>
      <c r="D75" s="27"/>
      <c r="E75" s="27"/>
      <c r="F75" s="27"/>
      <c r="G75" s="27"/>
      <c r="H75" s="27"/>
      <c r="I75" s="27"/>
      <c r="J75" s="38">
        <f>SUM(J71:J74)</f>
        <v>5890</v>
      </c>
      <c r="K75" s="27"/>
      <c r="L75" s="63">
        <f>SUM(L71:L74)</f>
        <v>2867</v>
      </c>
      <c r="M75" s="27"/>
      <c r="N75" s="141"/>
    </row>
    <row r="76" spans="1:14" ht="15.75">
      <c r="A76" s="26"/>
      <c r="B76" s="27" t="s">
        <v>48</v>
      </c>
      <c r="C76" s="27"/>
      <c r="D76" s="27"/>
      <c r="E76" s="27"/>
      <c r="F76" s="27"/>
      <c r="G76" s="27"/>
      <c r="H76" s="27"/>
      <c r="I76" s="27"/>
      <c r="J76" s="38">
        <f>-L76</f>
        <v>424</v>
      </c>
      <c r="K76" s="27"/>
      <c r="L76" s="62">
        <f>-F53</f>
        <v>-424</v>
      </c>
      <c r="M76" s="27"/>
      <c r="N76" s="141"/>
    </row>
    <row r="77" spans="1:14" ht="15.75">
      <c r="A77" s="26"/>
      <c r="B77" s="27" t="s">
        <v>49</v>
      </c>
      <c r="C77" s="27"/>
      <c r="D77" s="27"/>
      <c r="E77" s="27"/>
      <c r="F77" s="27"/>
      <c r="G77" s="27"/>
      <c r="H77" s="27"/>
      <c r="I77" s="27"/>
      <c r="J77" s="38">
        <f>J75+J76</f>
        <v>6314</v>
      </c>
      <c r="K77" s="27"/>
      <c r="L77" s="63">
        <f>L75+L76</f>
        <v>2443</v>
      </c>
      <c r="M77" s="27"/>
      <c r="N77" s="141"/>
    </row>
    <row r="78" spans="1:14" ht="15.75">
      <c r="A78" s="26"/>
      <c r="B78" s="69" t="s">
        <v>50</v>
      </c>
      <c r="C78" s="70"/>
      <c r="D78" s="27"/>
      <c r="E78" s="27"/>
      <c r="F78" s="27"/>
      <c r="G78" s="27"/>
      <c r="H78" s="27"/>
      <c r="I78" s="27"/>
      <c r="J78" s="38"/>
      <c r="K78" s="27"/>
      <c r="L78" s="62"/>
      <c r="M78" s="27"/>
      <c r="N78" s="141"/>
    </row>
    <row r="79" spans="1:14" ht="15.75">
      <c r="A79" s="26">
        <v>1</v>
      </c>
      <c r="B79" s="27" t="s">
        <v>51</v>
      </c>
      <c r="C79" s="27"/>
      <c r="D79" s="27"/>
      <c r="E79" s="27"/>
      <c r="F79" s="27"/>
      <c r="G79" s="27"/>
      <c r="H79" s="27"/>
      <c r="I79" s="27"/>
      <c r="J79" s="27"/>
      <c r="K79" s="27"/>
      <c r="L79" s="62">
        <v>0</v>
      </c>
      <c r="M79" s="27"/>
      <c r="N79" s="141"/>
    </row>
    <row r="80" spans="1:14" ht="15.75">
      <c r="A80" s="26">
        <v>2</v>
      </c>
      <c r="B80" s="27" t="s">
        <v>52</v>
      </c>
      <c r="C80" s="27"/>
      <c r="D80" s="27"/>
      <c r="E80" s="27"/>
      <c r="F80" s="27"/>
      <c r="G80" s="27"/>
      <c r="H80" s="27"/>
      <c r="I80" s="27"/>
      <c r="J80" s="27"/>
      <c r="K80" s="27"/>
      <c r="L80" s="62">
        <v>-4</v>
      </c>
      <c r="M80" s="27"/>
      <c r="N80" s="141"/>
    </row>
    <row r="81" spans="1:14" ht="15.75">
      <c r="A81" s="26">
        <v>3</v>
      </c>
      <c r="B81" s="27" t="s">
        <v>53</v>
      </c>
      <c r="C81" s="27"/>
      <c r="D81" s="27"/>
      <c r="E81" s="27"/>
      <c r="F81" s="27"/>
      <c r="G81" s="27"/>
      <c r="H81" s="27"/>
      <c r="I81" s="27"/>
      <c r="J81" s="27"/>
      <c r="K81" s="27"/>
      <c r="L81" s="62">
        <v>-147</v>
      </c>
      <c r="M81" s="27"/>
      <c r="N81" s="141"/>
    </row>
    <row r="82" spans="1:14" ht="15.75">
      <c r="A82" s="26">
        <v>4</v>
      </c>
      <c r="B82" s="27" t="s">
        <v>54</v>
      </c>
      <c r="C82" s="27"/>
      <c r="D82" s="27"/>
      <c r="E82" s="27"/>
      <c r="F82" s="27"/>
      <c r="G82" s="27"/>
      <c r="H82" s="27"/>
      <c r="I82" s="27"/>
      <c r="J82" s="27"/>
      <c r="K82" s="27"/>
      <c r="L82" s="62">
        <v>-23</v>
      </c>
      <c r="M82" s="27"/>
      <c r="N82" s="141"/>
    </row>
    <row r="83" spans="1:14" ht="15.75">
      <c r="A83" s="26">
        <v>5</v>
      </c>
      <c r="B83" s="27" t="s">
        <v>55</v>
      </c>
      <c r="C83" s="27"/>
      <c r="D83" s="27"/>
      <c r="E83" s="27"/>
      <c r="F83" s="27"/>
      <c r="G83" s="27"/>
      <c r="H83" s="27"/>
      <c r="I83" s="27"/>
      <c r="J83" s="27"/>
      <c r="K83" s="27"/>
      <c r="L83" s="62">
        <v>-741</v>
      </c>
      <c r="M83" s="27"/>
      <c r="N83" s="141"/>
    </row>
    <row r="84" spans="1:14" ht="15.75">
      <c r="A84" s="26">
        <v>6</v>
      </c>
      <c r="B84" s="27" t="s">
        <v>56</v>
      </c>
      <c r="C84" s="27"/>
      <c r="D84" s="27"/>
      <c r="E84" s="27"/>
      <c r="F84" s="27"/>
      <c r="G84" s="27"/>
      <c r="H84" s="27"/>
      <c r="I84" s="27"/>
      <c r="J84" s="27"/>
      <c r="K84" s="27"/>
      <c r="L84" s="62">
        <v>-3</v>
      </c>
      <c r="M84" s="27"/>
      <c r="N84" s="141"/>
    </row>
    <row r="85" spans="1:14" ht="15.75">
      <c r="A85" s="26">
        <v>7</v>
      </c>
      <c r="B85" s="27" t="s">
        <v>57</v>
      </c>
      <c r="C85" s="27"/>
      <c r="D85" s="27"/>
      <c r="E85" s="27"/>
      <c r="F85" s="27"/>
      <c r="G85" s="27"/>
      <c r="H85" s="27"/>
      <c r="I85" s="27"/>
      <c r="J85" s="27"/>
      <c r="K85" s="27"/>
      <c r="L85" s="62">
        <v>-518</v>
      </c>
      <c r="M85" s="27"/>
      <c r="N85" s="141"/>
    </row>
    <row r="86" spans="1:14" ht="15.75">
      <c r="A86" s="26">
        <v>8</v>
      </c>
      <c r="B86" s="27" t="s">
        <v>58</v>
      </c>
      <c r="C86" s="27"/>
      <c r="D86" s="27"/>
      <c r="E86" s="27"/>
      <c r="F86" s="27"/>
      <c r="G86" s="27"/>
      <c r="H86" s="27"/>
      <c r="I86" s="27"/>
      <c r="J86" s="27"/>
      <c r="K86" s="27"/>
      <c r="L86" s="62">
        <v>-170</v>
      </c>
      <c r="M86" s="27"/>
      <c r="N86" s="141"/>
    </row>
    <row r="87" spans="1:14" ht="15.75">
      <c r="A87" s="26">
        <v>9</v>
      </c>
      <c r="B87" s="27" t="s">
        <v>59</v>
      </c>
      <c r="C87" s="27"/>
      <c r="D87" s="27"/>
      <c r="E87" s="27"/>
      <c r="F87" s="27"/>
      <c r="G87" s="27"/>
      <c r="H87" s="27"/>
      <c r="I87" s="27"/>
      <c r="J87" s="27"/>
      <c r="K87" s="27"/>
      <c r="L87" s="62">
        <v>0</v>
      </c>
      <c r="M87" s="27"/>
      <c r="N87" s="141"/>
    </row>
    <row r="88" spans="1:14" ht="15.75">
      <c r="A88" s="26">
        <v>10</v>
      </c>
      <c r="B88" s="27" t="s">
        <v>60</v>
      </c>
      <c r="C88" s="27"/>
      <c r="D88" s="27"/>
      <c r="E88" s="27"/>
      <c r="F88" s="27"/>
      <c r="G88" s="27"/>
      <c r="H88" s="27"/>
      <c r="I88" s="27"/>
      <c r="J88" s="27"/>
      <c r="K88" s="27"/>
      <c r="L88" s="62">
        <v>0</v>
      </c>
      <c r="M88" s="27"/>
      <c r="N88" s="141"/>
    </row>
    <row r="89" spans="1:14" ht="15.75">
      <c r="A89" s="26">
        <v>11</v>
      </c>
      <c r="B89" s="27" t="s">
        <v>61</v>
      </c>
      <c r="C89" s="27"/>
      <c r="D89" s="27"/>
      <c r="E89" s="27"/>
      <c r="F89" s="27"/>
      <c r="G89" s="27"/>
      <c r="H89" s="27"/>
      <c r="I89" s="27"/>
      <c r="J89" s="27"/>
      <c r="K89" s="27"/>
      <c r="L89" s="62">
        <v>-150</v>
      </c>
      <c r="M89" s="27"/>
      <c r="N89" s="141"/>
    </row>
    <row r="90" spans="1:14" ht="15.75">
      <c r="A90" s="26">
        <v>12</v>
      </c>
      <c r="B90" s="27" t="s">
        <v>62</v>
      </c>
      <c r="C90" s="27"/>
      <c r="D90" s="27"/>
      <c r="E90" s="27"/>
      <c r="F90" s="27"/>
      <c r="G90" s="27"/>
      <c r="H90" s="27"/>
      <c r="I90" s="27"/>
      <c r="J90" s="27"/>
      <c r="K90" s="27"/>
      <c r="L90" s="62">
        <v>-687</v>
      </c>
      <c r="M90" s="27"/>
      <c r="N90" s="141"/>
    </row>
    <row r="91" spans="1:14" ht="15.75">
      <c r="A91" s="26">
        <v>13</v>
      </c>
      <c r="B91" s="27" t="s">
        <v>63</v>
      </c>
      <c r="C91" s="27"/>
      <c r="D91" s="27"/>
      <c r="E91" s="27"/>
      <c r="F91" s="27"/>
      <c r="G91" s="27"/>
      <c r="H91" s="27"/>
      <c r="I91" s="27"/>
      <c r="J91" s="27"/>
      <c r="K91" s="27"/>
      <c r="L91" s="62">
        <f>L77+SUM(L79:L90)</f>
        <v>0</v>
      </c>
      <c r="M91" s="27"/>
      <c r="N91" s="141"/>
    </row>
    <row r="92" spans="1:14" ht="15.75">
      <c r="A92" s="26"/>
      <c r="B92" s="69" t="s">
        <v>64</v>
      </c>
      <c r="C92" s="70"/>
      <c r="D92" s="27"/>
      <c r="E92" s="27"/>
      <c r="F92" s="27"/>
      <c r="G92" s="27"/>
      <c r="H92" s="27"/>
      <c r="I92" s="27"/>
      <c r="J92" s="27"/>
      <c r="K92" s="27"/>
      <c r="L92" s="71"/>
      <c r="M92" s="27"/>
      <c r="N92" s="141"/>
    </row>
    <row r="93" spans="1:14" ht="15.75">
      <c r="A93" s="26"/>
      <c r="B93" s="27" t="s">
        <v>65</v>
      </c>
      <c r="C93" s="70"/>
      <c r="D93" s="27"/>
      <c r="E93" s="27"/>
      <c r="F93" s="27"/>
      <c r="G93" s="27"/>
      <c r="H93" s="27"/>
      <c r="I93" s="38"/>
      <c r="J93" s="38">
        <v>0</v>
      </c>
      <c r="K93" s="38"/>
      <c r="L93" s="62"/>
      <c r="M93" s="27"/>
      <c r="N93" s="141"/>
    </row>
    <row r="94" spans="1:14" ht="15.75">
      <c r="A94" s="26"/>
      <c r="B94" s="27" t="s">
        <v>66</v>
      </c>
      <c r="C94" s="27"/>
      <c r="D94" s="27"/>
      <c r="E94" s="27"/>
      <c r="F94" s="27"/>
      <c r="G94" s="27"/>
      <c r="H94" s="27"/>
      <c r="I94" s="38"/>
      <c r="J94" s="38">
        <v>-502</v>
      </c>
      <c r="K94" s="38"/>
      <c r="L94" s="62"/>
      <c r="M94" s="27"/>
      <c r="N94" s="141"/>
    </row>
    <row r="95" spans="1:14" ht="15.75">
      <c r="A95" s="26"/>
      <c r="B95" s="27" t="s">
        <v>67</v>
      </c>
      <c r="C95" s="27"/>
      <c r="D95" s="27"/>
      <c r="E95" s="27"/>
      <c r="F95" s="27"/>
      <c r="G95" s="27"/>
      <c r="H95" s="27"/>
      <c r="I95" s="27"/>
      <c r="J95" s="38"/>
      <c r="K95" s="38"/>
      <c r="L95" s="62"/>
      <c r="M95" s="27"/>
      <c r="N95" s="141"/>
    </row>
    <row r="96" spans="1:14" ht="15.75">
      <c r="A96" s="26"/>
      <c r="B96" s="27" t="s">
        <v>68</v>
      </c>
      <c r="C96" s="27"/>
      <c r="D96" s="27"/>
      <c r="E96" s="27"/>
      <c r="F96" s="27"/>
      <c r="G96" s="27"/>
      <c r="H96" s="27"/>
      <c r="I96" s="27"/>
      <c r="J96" s="38">
        <v>-5812</v>
      </c>
      <c r="K96" s="38"/>
      <c r="L96" s="62"/>
      <c r="M96" s="27"/>
      <c r="N96" s="141"/>
    </row>
    <row r="97" spans="1:14" ht="15.75">
      <c r="A97" s="26"/>
      <c r="B97" s="27" t="s">
        <v>69</v>
      </c>
      <c r="C97" s="27"/>
      <c r="D97" s="27"/>
      <c r="E97" s="27"/>
      <c r="F97" s="27"/>
      <c r="G97" s="27"/>
      <c r="H97" s="27"/>
      <c r="I97" s="27"/>
      <c r="J97" s="38">
        <v>0</v>
      </c>
      <c r="K97" s="38"/>
      <c r="L97" s="62"/>
      <c r="M97" s="27"/>
      <c r="N97" s="141"/>
    </row>
    <row r="98" spans="1:14" ht="15.75">
      <c r="A98" s="26"/>
      <c r="B98" s="27" t="s">
        <v>70</v>
      </c>
      <c r="C98" s="27"/>
      <c r="D98" s="27"/>
      <c r="E98" s="27"/>
      <c r="F98" s="27"/>
      <c r="G98" s="27"/>
      <c r="H98" s="27"/>
      <c r="I98" s="27"/>
      <c r="J98" s="38">
        <f>SUM(J78:J97)</f>
        <v>-6314</v>
      </c>
      <c r="K98" s="38"/>
      <c r="L98" s="38">
        <f>SUM(L78:L97)</f>
        <v>-2443</v>
      </c>
      <c r="M98" s="27"/>
      <c r="N98" s="141"/>
    </row>
    <row r="99" spans="1:14" ht="15.75">
      <c r="A99" s="26"/>
      <c r="B99" s="27" t="s">
        <v>71</v>
      </c>
      <c r="C99" s="27"/>
      <c r="D99" s="27"/>
      <c r="E99" s="27"/>
      <c r="F99" s="27"/>
      <c r="G99" s="27"/>
      <c r="H99" s="27"/>
      <c r="I99" s="27"/>
      <c r="J99" s="38">
        <f>J77+J98</f>
        <v>0</v>
      </c>
      <c r="K99" s="38"/>
      <c r="L99" s="38">
        <f>L77+L98</f>
        <v>0</v>
      </c>
      <c r="M99" s="27"/>
      <c r="N99" s="141"/>
    </row>
    <row r="100" spans="1:14" ht="15.75">
      <c r="A100" s="26"/>
      <c r="B100" s="27"/>
      <c r="C100" s="27"/>
      <c r="D100" s="27"/>
      <c r="E100" s="27"/>
      <c r="F100" s="27"/>
      <c r="G100" s="27"/>
      <c r="H100" s="27"/>
      <c r="I100" s="27"/>
      <c r="J100" s="38"/>
      <c r="K100" s="38"/>
      <c r="L100" s="38"/>
      <c r="M100" s="27"/>
      <c r="N100" s="141"/>
    </row>
    <row r="101" spans="1:14" ht="15.75">
      <c r="A101" s="8"/>
      <c r="B101" s="10"/>
      <c r="C101" s="10"/>
      <c r="D101" s="10"/>
      <c r="E101" s="10"/>
      <c r="F101" s="10"/>
      <c r="G101" s="10"/>
      <c r="H101" s="10"/>
      <c r="I101" s="10"/>
      <c r="J101" s="10"/>
      <c r="K101" s="10"/>
      <c r="L101" s="58"/>
      <c r="M101" s="10"/>
      <c r="N101" s="141"/>
    </row>
    <row r="102" spans="1:14" ht="15.75">
      <c r="A102" s="8"/>
      <c r="B102" s="10"/>
      <c r="C102" s="10"/>
      <c r="D102" s="10"/>
      <c r="E102" s="10"/>
      <c r="F102" s="10"/>
      <c r="G102" s="10"/>
      <c r="H102" s="10"/>
      <c r="I102" s="10"/>
      <c r="J102" s="10"/>
      <c r="K102" s="10"/>
      <c r="L102" s="58"/>
      <c r="M102" s="10"/>
      <c r="N102" s="141"/>
    </row>
    <row r="103" spans="1:14" ht="15.75">
      <c r="A103" s="2"/>
      <c r="B103" s="55" t="s">
        <v>72</v>
      </c>
      <c r="C103" s="56"/>
      <c r="D103" s="5"/>
      <c r="E103" s="5"/>
      <c r="F103" s="5"/>
      <c r="G103" s="5"/>
      <c r="H103" s="5"/>
      <c r="I103" s="5"/>
      <c r="J103" s="5"/>
      <c r="K103" s="5"/>
      <c r="L103" s="57"/>
      <c r="M103" s="5"/>
      <c r="N103" s="141"/>
    </row>
    <row r="104" spans="1:14" ht="15.75">
      <c r="A104" s="8"/>
      <c r="B104" s="22"/>
      <c r="C104" s="16"/>
      <c r="D104" s="10"/>
      <c r="E104" s="10"/>
      <c r="F104" s="10"/>
      <c r="G104" s="10"/>
      <c r="H104" s="10"/>
      <c r="I104" s="10"/>
      <c r="J104" s="10"/>
      <c r="K104" s="10"/>
      <c r="L104" s="58"/>
      <c r="M104" s="10"/>
      <c r="N104" s="141"/>
    </row>
    <row r="105" spans="1:14" ht="15.75">
      <c r="A105" s="8"/>
      <c r="B105" s="72" t="s">
        <v>73</v>
      </c>
      <c r="C105" s="16"/>
      <c r="D105" s="10"/>
      <c r="E105" s="10"/>
      <c r="F105" s="10"/>
      <c r="G105" s="10"/>
      <c r="H105" s="10"/>
      <c r="I105" s="10"/>
      <c r="J105" s="10"/>
      <c r="K105" s="10"/>
      <c r="L105" s="58"/>
      <c r="M105" s="10"/>
      <c r="N105" s="141"/>
    </row>
    <row r="106" spans="1:14" ht="15.75">
      <c r="A106" s="26"/>
      <c r="B106" s="27" t="s">
        <v>74</v>
      </c>
      <c r="C106" s="27"/>
      <c r="D106" s="27"/>
      <c r="E106" s="27"/>
      <c r="F106" s="27"/>
      <c r="G106" s="27"/>
      <c r="H106" s="27"/>
      <c r="I106" s="27"/>
      <c r="J106" s="27"/>
      <c r="K106" s="27"/>
      <c r="L106" s="62">
        <v>3698</v>
      </c>
      <c r="M106" s="27"/>
      <c r="N106" s="141"/>
    </row>
    <row r="107" spans="1:14" ht="15.75">
      <c r="A107" s="26"/>
      <c r="B107" s="27" t="s">
        <v>75</v>
      </c>
      <c r="C107" s="27"/>
      <c r="D107" s="27"/>
      <c r="E107" s="27"/>
      <c r="F107" s="27"/>
      <c r="G107" s="27"/>
      <c r="H107" s="27"/>
      <c r="I107" s="27"/>
      <c r="J107" s="27"/>
      <c r="K107" s="27"/>
      <c r="L107" s="62">
        <v>3698</v>
      </c>
      <c r="M107" s="27"/>
      <c r="N107" s="141"/>
    </row>
    <row r="108" spans="1:14" ht="15.75">
      <c r="A108" s="26"/>
      <c r="B108" s="27" t="s">
        <v>76</v>
      </c>
      <c r="C108" s="27"/>
      <c r="D108" s="27"/>
      <c r="E108" s="27"/>
      <c r="F108" s="27"/>
      <c r="G108" s="27"/>
      <c r="H108" s="27"/>
      <c r="I108" s="27"/>
      <c r="J108" s="27"/>
      <c r="K108" s="27"/>
      <c r="L108" s="62">
        <v>0</v>
      </c>
      <c r="M108" s="27"/>
      <c r="N108" s="141"/>
    </row>
    <row r="109" spans="1:14" ht="15.75">
      <c r="A109" s="26"/>
      <c r="B109" s="27" t="s">
        <v>77</v>
      </c>
      <c r="C109" s="27"/>
      <c r="D109" s="27"/>
      <c r="E109" s="27"/>
      <c r="F109" s="27"/>
      <c r="G109" s="27"/>
      <c r="H109" s="27"/>
      <c r="I109" s="27"/>
      <c r="J109" s="27"/>
      <c r="K109" s="27"/>
      <c r="L109" s="62">
        <v>0</v>
      </c>
      <c r="M109" s="27"/>
      <c r="N109" s="141"/>
    </row>
    <row r="110" spans="1:14" ht="15.75">
      <c r="A110" s="26"/>
      <c r="B110" s="27" t="s">
        <v>78</v>
      </c>
      <c r="C110" s="27"/>
      <c r="D110" s="27"/>
      <c r="E110" s="27"/>
      <c r="F110" s="27"/>
      <c r="G110" s="27"/>
      <c r="H110" s="27"/>
      <c r="I110" s="27"/>
      <c r="J110" s="27"/>
      <c r="K110" s="27"/>
      <c r="L110" s="62">
        <v>0</v>
      </c>
      <c r="M110" s="27"/>
      <c r="N110" s="141"/>
    </row>
    <row r="111" spans="1:14" ht="15.75">
      <c r="A111" s="26"/>
      <c r="B111" s="27" t="s">
        <v>55</v>
      </c>
      <c r="C111" s="27"/>
      <c r="D111" s="27"/>
      <c r="E111" s="27"/>
      <c r="F111" s="27"/>
      <c r="G111" s="27"/>
      <c r="H111" s="27"/>
      <c r="I111" s="27"/>
      <c r="J111" s="27"/>
      <c r="K111" s="27"/>
      <c r="L111" s="62">
        <v>0</v>
      </c>
      <c r="M111" s="27"/>
      <c r="N111" s="141"/>
    </row>
    <row r="112" spans="1:14" ht="15.75">
      <c r="A112" s="26"/>
      <c r="B112" s="27" t="s">
        <v>57</v>
      </c>
      <c r="C112" s="27"/>
      <c r="D112" s="27"/>
      <c r="E112" s="27"/>
      <c r="F112" s="27"/>
      <c r="G112" s="27"/>
      <c r="H112" s="27"/>
      <c r="I112" s="27"/>
      <c r="J112" s="27"/>
      <c r="K112" s="27"/>
      <c r="L112" s="62">
        <v>0</v>
      </c>
      <c r="M112" s="27"/>
      <c r="N112" s="141"/>
    </row>
    <row r="113" spans="1:14" ht="15.75">
      <c r="A113" s="26"/>
      <c r="B113" s="27" t="s">
        <v>79</v>
      </c>
      <c r="C113" s="27"/>
      <c r="D113" s="27"/>
      <c r="E113" s="27"/>
      <c r="F113" s="27"/>
      <c r="G113" s="27"/>
      <c r="H113" s="27"/>
      <c r="I113" s="27"/>
      <c r="J113" s="27"/>
      <c r="K113" s="27"/>
      <c r="L113" s="62">
        <f>SUM(L107:L111)</f>
        <v>3698</v>
      </c>
      <c r="M113" s="27"/>
      <c r="N113" s="141"/>
    </row>
    <row r="114" spans="1:14" ht="15.75">
      <c r="A114" s="26"/>
      <c r="B114" s="27"/>
      <c r="C114" s="27"/>
      <c r="D114" s="27"/>
      <c r="E114" s="27"/>
      <c r="F114" s="27"/>
      <c r="G114" s="27"/>
      <c r="H114" s="27"/>
      <c r="I114" s="27"/>
      <c r="J114" s="27"/>
      <c r="K114" s="27"/>
      <c r="L114" s="54"/>
      <c r="M114" s="27"/>
      <c r="N114" s="141"/>
    </row>
    <row r="115" spans="1:14" ht="15.75">
      <c r="A115" s="8"/>
      <c r="B115" s="72" t="s">
        <v>39</v>
      </c>
      <c r="C115" s="10"/>
      <c r="D115" s="10"/>
      <c r="E115" s="10"/>
      <c r="F115" s="10"/>
      <c r="G115" s="10"/>
      <c r="H115" s="10"/>
      <c r="I115" s="10"/>
      <c r="J115" s="10"/>
      <c r="K115" s="10"/>
      <c r="L115" s="58"/>
      <c r="M115" s="10"/>
      <c r="N115" s="141"/>
    </row>
    <row r="116" spans="1:14" ht="15.75">
      <c r="A116" s="26"/>
      <c r="B116" s="27" t="s">
        <v>80</v>
      </c>
      <c r="C116" s="27"/>
      <c r="D116" s="73"/>
      <c r="E116" s="27"/>
      <c r="F116" s="27"/>
      <c r="G116" s="27"/>
      <c r="H116" s="27"/>
      <c r="I116" s="27"/>
      <c r="J116" s="27"/>
      <c r="K116" s="27"/>
      <c r="L116" s="62">
        <f>1848891.08/1000</f>
        <v>1848.89108</v>
      </c>
      <c r="M116" s="27"/>
      <c r="N116" s="141"/>
    </row>
    <row r="117" spans="1:14" ht="15.75">
      <c r="A117" s="26"/>
      <c r="B117" s="27" t="s">
        <v>81</v>
      </c>
      <c r="C117" s="30"/>
      <c r="D117" s="30"/>
      <c r="E117" s="30"/>
      <c r="F117" s="30"/>
      <c r="G117" s="30"/>
      <c r="H117" s="30"/>
      <c r="I117" s="30"/>
      <c r="J117" s="30"/>
      <c r="K117" s="30"/>
      <c r="L117" s="63">
        <f>Dec00!L115+Dec00!L116</f>
        <v>819</v>
      </c>
      <c r="M117" s="27"/>
      <c r="N117" s="141"/>
    </row>
    <row r="118" spans="1:14" ht="15.75">
      <c r="A118" s="26"/>
      <c r="B118" s="27" t="s">
        <v>82</v>
      </c>
      <c r="C118" s="27"/>
      <c r="D118" s="27"/>
      <c r="E118" s="27"/>
      <c r="F118" s="27"/>
      <c r="G118" s="27"/>
      <c r="H118" s="27"/>
      <c r="I118" s="27"/>
      <c r="J118" s="27"/>
      <c r="K118" s="27"/>
      <c r="L118" s="62">
        <f>-L90</f>
        <v>687</v>
      </c>
      <c r="M118" s="27"/>
      <c r="N118" s="141"/>
    </row>
    <row r="119" spans="1:14" ht="15.75">
      <c r="A119" s="26"/>
      <c r="B119" s="27" t="s">
        <v>83</v>
      </c>
      <c r="C119" s="27"/>
      <c r="D119" s="27"/>
      <c r="E119" s="27"/>
      <c r="F119" s="27"/>
      <c r="G119" s="27"/>
      <c r="H119" s="27"/>
      <c r="I119" s="27"/>
      <c r="J119" s="27"/>
      <c r="K119" s="27"/>
      <c r="L119" s="62">
        <f>L116-L117-L118</f>
        <v>342.8910800000001</v>
      </c>
      <c r="M119" s="27"/>
      <c r="N119" s="141"/>
    </row>
    <row r="120" spans="1:14" ht="15.75">
      <c r="A120" s="26"/>
      <c r="B120" s="27"/>
      <c r="C120" s="27"/>
      <c r="D120" s="27"/>
      <c r="E120" s="27"/>
      <c r="F120" s="27"/>
      <c r="G120" s="27"/>
      <c r="H120" s="27"/>
      <c r="I120" s="27"/>
      <c r="J120" s="27"/>
      <c r="K120" s="27"/>
      <c r="L120" s="54"/>
      <c r="M120" s="27"/>
      <c r="N120" s="141"/>
    </row>
    <row r="121" spans="1:14" ht="15.75">
      <c r="A121" s="8"/>
      <c r="B121" s="72" t="s">
        <v>84</v>
      </c>
      <c r="C121" s="16"/>
      <c r="D121" s="10"/>
      <c r="E121" s="10"/>
      <c r="F121" s="10"/>
      <c r="G121" s="10"/>
      <c r="H121" s="10"/>
      <c r="I121" s="10"/>
      <c r="J121" s="10"/>
      <c r="K121" s="10"/>
      <c r="L121" s="74"/>
      <c r="M121" s="10"/>
      <c r="N121" s="141"/>
    </row>
    <row r="122" spans="1:14" ht="15.75">
      <c r="A122" s="26"/>
      <c r="B122" s="27" t="s">
        <v>85</v>
      </c>
      <c r="C122" s="27"/>
      <c r="D122" s="27"/>
      <c r="E122" s="27"/>
      <c r="F122" s="27"/>
      <c r="G122" s="27"/>
      <c r="H122" s="27"/>
      <c r="I122" s="27"/>
      <c r="J122" s="27"/>
      <c r="K122" s="27"/>
      <c r="L122" s="62">
        <f>Dec00!L124</f>
        <v>0</v>
      </c>
      <c r="M122" s="27"/>
      <c r="N122" s="141"/>
    </row>
    <row r="123" spans="1:14" ht="15.75">
      <c r="A123" s="26"/>
      <c r="B123" s="27" t="s">
        <v>86</v>
      </c>
      <c r="C123" s="27"/>
      <c r="D123" s="27"/>
      <c r="E123" s="27"/>
      <c r="F123" s="27"/>
      <c r="G123" s="27"/>
      <c r="H123" s="27"/>
      <c r="I123" s="27"/>
      <c r="J123" s="27"/>
      <c r="K123" s="27"/>
      <c r="L123" s="62">
        <v>150</v>
      </c>
      <c r="M123" s="27"/>
      <c r="N123" s="141"/>
    </row>
    <row r="124" spans="1:14" ht="15.75">
      <c r="A124" s="26"/>
      <c r="B124" s="27" t="s">
        <v>87</v>
      </c>
      <c r="C124" s="27"/>
      <c r="D124" s="27"/>
      <c r="E124" s="27"/>
      <c r="F124" s="27"/>
      <c r="G124" s="27"/>
      <c r="H124" s="27"/>
      <c r="I124" s="27"/>
      <c r="J124" s="27"/>
      <c r="K124" s="27"/>
      <c r="L124" s="62">
        <f>L123+L122</f>
        <v>150</v>
      </c>
      <c r="M124" s="27"/>
      <c r="N124" s="141"/>
    </row>
    <row r="125" spans="1:14" ht="15.75">
      <c r="A125" s="26"/>
      <c r="B125" s="27" t="s">
        <v>88</v>
      </c>
      <c r="C125" s="27"/>
      <c r="D125" s="27"/>
      <c r="E125" s="27"/>
      <c r="F125" s="27"/>
      <c r="G125" s="27"/>
      <c r="H125" s="75"/>
      <c r="I125" s="27"/>
      <c r="J125" s="27"/>
      <c r="K125" s="27"/>
      <c r="L125" s="62">
        <v>-150</v>
      </c>
      <c r="M125" s="27"/>
      <c r="N125" s="141"/>
    </row>
    <row r="126" spans="1:14" ht="15.75">
      <c r="A126" s="26"/>
      <c r="B126" s="27" t="s">
        <v>89</v>
      </c>
      <c r="C126" s="27"/>
      <c r="D126" s="27"/>
      <c r="E126" s="27"/>
      <c r="F126" s="27"/>
      <c r="G126" s="27"/>
      <c r="H126" s="27"/>
      <c r="I126" s="27"/>
      <c r="J126" s="27"/>
      <c r="K126" s="27"/>
      <c r="L126" s="62">
        <f>L124+L125</f>
        <v>0</v>
      </c>
      <c r="M126" s="27"/>
      <c r="N126" s="141"/>
    </row>
    <row r="127" spans="1:14" ht="15.75">
      <c r="A127" s="26"/>
      <c r="B127" s="27"/>
      <c r="C127" s="27"/>
      <c r="D127" s="27"/>
      <c r="E127" s="27"/>
      <c r="F127" s="27"/>
      <c r="G127" s="27"/>
      <c r="H127" s="27"/>
      <c r="I127" s="27"/>
      <c r="J127" s="27"/>
      <c r="K127" s="27"/>
      <c r="L127" s="54"/>
      <c r="M127" s="27"/>
      <c r="N127" s="141"/>
    </row>
    <row r="128" spans="1:14" ht="15.75">
      <c r="A128" s="2"/>
      <c r="B128" s="5"/>
      <c r="C128" s="5"/>
      <c r="D128" s="5"/>
      <c r="E128" s="5"/>
      <c r="F128" s="5"/>
      <c r="G128" s="5"/>
      <c r="H128" s="5"/>
      <c r="I128" s="5"/>
      <c r="J128" s="5"/>
      <c r="K128" s="5"/>
      <c r="L128" s="57"/>
      <c r="M128" s="5"/>
      <c r="N128" s="141"/>
    </row>
    <row r="129" spans="1:14" ht="15.75">
      <c r="A129" s="8"/>
      <c r="B129" s="72" t="s">
        <v>90</v>
      </c>
      <c r="C129" s="16"/>
      <c r="D129" s="10"/>
      <c r="E129" s="10"/>
      <c r="F129" s="10"/>
      <c r="G129" s="10"/>
      <c r="H129" s="10"/>
      <c r="I129" s="10"/>
      <c r="J129" s="10"/>
      <c r="K129" s="10"/>
      <c r="L129" s="58"/>
      <c r="M129" s="10"/>
      <c r="N129" s="141"/>
    </row>
    <row r="130" spans="1:14" ht="15.75">
      <c r="A130" s="8"/>
      <c r="B130" s="22"/>
      <c r="C130" s="16"/>
      <c r="D130" s="10"/>
      <c r="E130" s="10"/>
      <c r="F130" s="10"/>
      <c r="G130" s="10"/>
      <c r="H130" s="10"/>
      <c r="I130" s="10"/>
      <c r="J130" s="10"/>
      <c r="K130" s="10"/>
      <c r="L130" s="58"/>
      <c r="M130" s="10"/>
      <c r="N130" s="141"/>
    </row>
    <row r="131" spans="1:14" ht="15.75">
      <c r="A131" s="26"/>
      <c r="B131" s="27" t="s">
        <v>91</v>
      </c>
      <c r="C131" s="76"/>
      <c r="D131" s="27"/>
      <c r="E131" s="27"/>
      <c r="F131" s="27"/>
      <c r="G131" s="27"/>
      <c r="H131" s="27"/>
      <c r="I131" s="27"/>
      <c r="J131" s="27"/>
      <c r="K131" s="27"/>
      <c r="L131" s="62">
        <f>L55</f>
        <v>96619</v>
      </c>
      <c r="M131" s="27"/>
      <c r="N131" s="141"/>
    </row>
    <row r="132" spans="1:14" ht="15.75">
      <c r="A132" s="26"/>
      <c r="B132" s="27" t="s">
        <v>92</v>
      </c>
      <c r="C132" s="76"/>
      <c r="D132" s="27"/>
      <c r="E132" s="27"/>
      <c r="F132" s="27"/>
      <c r="G132" s="27"/>
      <c r="H132" s="27"/>
      <c r="I132" s="27"/>
      <c r="J132" s="27"/>
      <c r="K132" s="27"/>
      <c r="L132" s="62">
        <f>L67</f>
        <v>86061</v>
      </c>
      <c r="M132" s="27"/>
      <c r="N132" s="141"/>
    </row>
    <row r="133" spans="1:14" ht="15.75">
      <c r="A133" s="26"/>
      <c r="B133" s="27"/>
      <c r="C133" s="27"/>
      <c r="D133" s="27"/>
      <c r="E133" s="27"/>
      <c r="F133" s="27"/>
      <c r="G133" s="27"/>
      <c r="H133" s="27"/>
      <c r="I133" s="27"/>
      <c r="J133" s="27"/>
      <c r="K133" s="27"/>
      <c r="L133" s="54"/>
      <c r="M133" s="27"/>
      <c r="N133" s="141"/>
    </row>
    <row r="134" spans="1:14" ht="15.75">
      <c r="A134" s="2"/>
      <c r="B134" s="5"/>
      <c r="C134" s="5"/>
      <c r="D134" s="5"/>
      <c r="E134" s="5"/>
      <c r="F134" s="5"/>
      <c r="G134" s="5"/>
      <c r="H134" s="5"/>
      <c r="I134" s="5"/>
      <c r="J134" s="5"/>
      <c r="K134" s="5"/>
      <c r="L134" s="57"/>
      <c r="M134" s="5"/>
      <c r="N134" s="141"/>
    </row>
    <row r="135" spans="1:14" ht="15.75">
      <c r="A135" s="8"/>
      <c r="B135" s="72" t="s">
        <v>93</v>
      </c>
      <c r="C135" s="16"/>
      <c r="D135" s="10"/>
      <c r="E135" s="10"/>
      <c r="F135" s="10"/>
      <c r="G135" s="10"/>
      <c r="H135" s="77" t="s">
        <v>170</v>
      </c>
      <c r="I135" s="77"/>
      <c r="J135" s="77" t="s">
        <v>182</v>
      </c>
      <c r="K135" s="12"/>
      <c r="L135" s="78" t="s">
        <v>197</v>
      </c>
      <c r="M135" s="10"/>
      <c r="N135" s="141"/>
    </row>
    <row r="136" spans="1:14" ht="15.75">
      <c r="A136" s="26"/>
      <c r="B136" s="27" t="s">
        <v>94</v>
      </c>
      <c r="C136" s="27"/>
      <c r="D136" s="27"/>
      <c r="E136" s="27"/>
      <c r="F136" s="27"/>
      <c r="G136" s="27"/>
      <c r="H136" s="62">
        <v>31500</v>
      </c>
      <c r="I136" s="27"/>
      <c r="J136" s="47" t="s">
        <v>183</v>
      </c>
      <c r="K136" s="27"/>
      <c r="L136" s="62"/>
      <c r="M136" s="27"/>
      <c r="N136" s="141"/>
    </row>
    <row r="137" spans="1:14" ht="15.75">
      <c r="A137" s="26"/>
      <c r="B137" s="27" t="s">
        <v>95</v>
      </c>
      <c r="C137" s="27"/>
      <c r="D137" s="27"/>
      <c r="E137" s="27"/>
      <c r="F137" s="27"/>
      <c r="G137" s="27"/>
      <c r="H137" s="62">
        <v>508</v>
      </c>
      <c r="I137" s="27"/>
      <c r="J137" s="27">
        <v>23</v>
      </c>
      <c r="K137" s="27"/>
      <c r="L137" s="62">
        <f>J137+H137</f>
        <v>531</v>
      </c>
      <c r="M137" s="27"/>
      <c r="N137" s="141"/>
    </row>
    <row r="138" spans="1:14" ht="15.75">
      <c r="A138" s="26"/>
      <c r="B138" s="27" t="s">
        <v>96</v>
      </c>
      <c r="C138" s="27"/>
      <c r="D138" s="27"/>
      <c r="E138" s="27"/>
      <c r="F138" s="27"/>
      <c r="G138" s="27"/>
      <c r="H138" s="62">
        <v>502</v>
      </c>
      <c r="I138" s="27"/>
      <c r="J138" s="38">
        <v>0</v>
      </c>
      <c r="K138" s="27"/>
      <c r="L138" s="62">
        <f>J138+H138</f>
        <v>502</v>
      </c>
      <c r="M138" s="27"/>
      <c r="N138" s="141"/>
    </row>
    <row r="139" spans="1:14" ht="15.75">
      <c r="A139" s="26"/>
      <c r="B139" s="27" t="s">
        <v>97</v>
      </c>
      <c r="C139" s="27"/>
      <c r="D139" s="27"/>
      <c r="E139" s="27"/>
      <c r="F139" s="27"/>
      <c r="G139" s="27"/>
      <c r="H139" s="62">
        <f>H138+H137</f>
        <v>1010</v>
      </c>
      <c r="I139" s="27"/>
      <c r="J139" s="62">
        <f>J138+J137</f>
        <v>23</v>
      </c>
      <c r="K139" s="27"/>
      <c r="L139" s="62">
        <f>J139+H139</f>
        <v>1033</v>
      </c>
      <c r="M139" s="27"/>
      <c r="N139" s="141"/>
    </row>
    <row r="140" spans="1:14" ht="15.75">
      <c r="A140" s="26"/>
      <c r="B140" s="27" t="s">
        <v>98</v>
      </c>
      <c r="C140" s="27"/>
      <c r="D140" s="27"/>
      <c r="E140" s="27"/>
      <c r="F140" s="27"/>
      <c r="G140" s="27"/>
      <c r="H140" s="62">
        <f>H136-H139</f>
        <v>30490</v>
      </c>
      <c r="I140" s="27"/>
      <c r="J140" s="47" t="s">
        <v>183</v>
      </c>
      <c r="K140" s="27"/>
      <c r="L140" s="62"/>
      <c r="M140" s="27"/>
      <c r="N140" s="141"/>
    </row>
    <row r="141" spans="1:14" ht="15.75">
      <c r="A141" s="26"/>
      <c r="B141" s="27"/>
      <c r="C141" s="27"/>
      <c r="D141" s="27"/>
      <c r="E141" s="27"/>
      <c r="F141" s="27"/>
      <c r="G141" s="27"/>
      <c r="H141" s="27"/>
      <c r="I141" s="27"/>
      <c r="J141" s="27"/>
      <c r="K141" s="27"/>
      <c r="L141" s="54"/>
      <c r="M141" s="27"/>
      <c r="N141" s="141"/>
    </row>
    <row r="142" spans="1:14" ht="15.75">
      <c r="A142" s="2"/>
      <c r="B142" s="5"/>
      <c r="C142" s="5"/>
      <c r="D142" s="5"/>
      <c r="E142" s="5"/>
      <c r="F142" s="5"/>
      <c r="G142" s="5"/>
      <c r="H142" s="5"/>
      <c r="I142" s="5"/>
      <c r="J142" s="5"/>
      <c r="K142" s="5"/>
      <c r="L142" s="57"/>
      <c r="M142" s="5"/>
      <c r="N142" s="141"/>
    </row>
    <row r="143" spans="1:14" ht="15.75">
      <c r="A143" s="8"/>
      <c r="B143" s="72" t="s">
        <v>99</v>
      </c>
      <c r="C143" s="16"/>
      <c r="D143" s="10"/>
      <c r="E143" s="10"/>
      <c r="F143" s="10"/>
      <c r="G143" s="10"/>
      <c r="H143" s="10"/>
      <c r="I143" s="10"/>
      <c r="J143" s="10"/>
      <c r="K143" s="10"/>
      <c r="L143" s="79"/>
      <c r="M143" s="10"/>
      <c r="N143" s="141"/>
    </row>
    <row r="144" spans="1:14" ht="15.75">
      <c r="A144" s="26"/>
      <c r="B144" s="27" t="s">
        <v>100</v>
      </c>
      <c r="C144" s="27"/>
      <c r="D144" s="27"/>
      <c r="E144" s="27"/>
      <c r="F144" s="27"/>
      <c r="G144" s="27"/>
      <c r="H144" s="27"/>
      <c r="I144" s="27"/>
      <c r="J144" s="27"/>
      <c r="K144" s="27"/>
      <c r="L144" s="71">
        <f>SUM(L77:L82)/-L83</f>
        <v>3.0620782726045883</v>
      </c>
      <c r="M144" s="27" t="s">
        <v>198</v>
      </c>
      <c r="N144" s="141"/>
    </row>
    <row r="145" spans="1:14" ht="15.75">
      <c r="A145" s="26"/>
      <c r="B145" s="27" t="s">
        <v>101</v>
      </c>
      <c r="C145" s="27"/>
      <c r="D145" s="27"/>
      <c r="E145" s="27"/>
      <c r="F145" s="27"/>
      <c r="G145" s="27"/>
      <c r="H145" s="27"/>
      <c r="I145" s="27"/>
      <c r="J145" s="27"/>
      <c r="K145" s="27"/>
      <c r="L145" s="71">
        <v>1.72</v>
      </c>
      <c r="M145" s="27" t="s">
        <v>198</v>
      </c>
      <c r="N145" s="141"/>
    </row>
    <row r="146" spans="1:14" ht="15.75">
      <c r="A146" s="26"/>
      <c r="B146" s="27" t="s">
        <v>102</v>
      </c>
      <c r="C146" s="27"/>
      <c r="D146" s="27"/>
      <c r="E146" s="27"/>
      <c r="F146" s="27"/>
      <c r="G146" s="27"/>
      <c r="H146" s="27"/>
      <c r="I146" s="27"/>
      <c r="J146" s="27"/>
      <c r="K146" s="27"/>
      <c r="L146" s="71">
        <f>SUM(L77:L84)/-L85</f>
        <v>2.944015444015444</v>
      </c>
      <c r="M146" s="27" t="s">
        <v>198</v>
      </c>
      <c r="N146" s="141"/>
    </row>
    <row r="147" spans="1:14" ht="15.75">
      <c r="A147" s="26"/>
      <c r="B147" s="27" t="s">
        <v>103</v>
      </c>
      <c r="C147" s="27"/>
      <c r="D147" s="27"/>
      <c r="E147" s="27"/>
      <c r="F147" s="27"/>
      <c r="G147" s="27"/>
      <c r="H147" s="27"/>
      <c r="I147" s="27"/>
      <c r="J147" s="27"/>
      <c r="K147" s="27"/>
      <c r="L147" s="71">
        <v>1.97</v>
      </c>
      <c r="M147" s="27" t="s">
        <v>198</v>
      </c>
      <c r="N147" s="141"/>
    </row>
    <row r="148" spans="1:14" ht="15.75">
      <c r="A148" s="26"/>
      <c r="B148" s="27" t="s">
        <v>104</v>
      </c>
      <c r="C148" s="27"/>
      <c r="D148" s="27"/>
      <c r="E148" s="27"/>
      <c r="F148" s="27"/>
      <c r="G148" s="27"/>
      <c r="H148" s="27"/>
      <c r="I148" s="27"/>
      <c r="J148" s="27"/>
      <c r="K148" s="27"/>
      <c r="L148" s="71">
        <f>SUM(L77:L85)/-L86</f>
        <v>5.923529411764706</v>
      </c>
      <c r="M148" s="27" t="s">
        <v>198</v>
      </c>
      <c r="N148" s="141"/>
    </row>
    <row r="149" spans="1:14" ht="15.75">
      <c r="A149" s="26"/>
      <c r="B149" s="27" t="s">
        <v>105</v>
      </c>
      <c r="C149" s="27"/>
      <c r="D149" s="27"/>
      <c r="E149" s="27"/>
      <c r="F149" s="27"/>
      <c r="G149" s="27"/>
      <c r="H149" s="27"/>
      <c r="I149" s="27"/>
      <c r="J149" s="27"/>
      <c r="K149" s="27"/>
      <c r="L149" s="71">
        <v>2.98</v>
      </c>
      <c r="M149" s="27" t="s">
        <v>198</v>
      </c>
      <c r="N149" s="141"/>
    </row>
    <row r="150" spans="1:14" ht="15.75">
      <c r="A150" s="26"/>
      <c r="B150" s="27"/>
      <c r="C150" s="27"/>
      <c r="D150" s="27"/>
      <c r="E150" s="27"/>
      <c r="F150" s="27"/>
      <c r="G150" s="27"/>
      <c r="H150" s="27"/>
      <c r="I150" s="27"/>
      <c r="J150" s="27"/>
      <c r="K150" s="27"/>
      <c r="L150" s="27"/>
      <c r="M150" s="27"/>
      <c r="N150" s="141"/>
    </row>
    <row r="151" spans="1:14" ht="15.75">
      <c r="A151" s="8"/>
      <c r="B151" s="15"/>
      <c r="C151" s="15"/>
      <c r="D151" s="15"/>
      <c r="E151" s="15"/>
      <c r="F151" s="15"/>
      <c r="G151" s="15"/>
      <c r="H151" s="15"/>
      <c r="I151" s="15"/>
      <c r="J151" s="15"/>
      <c r="K151" s="15"/>
      <c r="L151" s="15"/>
      <c r="M151" s="15"/>
      <c r="N151" s="141"/>
    </row>
    <row r="152" spans="1:14" ht="15.75">
      <c r="A152" s="139"/>
      <c r="B152" s="55" t="s">
        <v>106</v>
      </c>
      <c r="C152" s="83"/>
      <c r="D152" s="83"/>
      <c r="E152" s="83"/>
      <c r="F152" s="83"/>
      <c r="G152" s="84"/>
      <c r="H152" s="84"/>
      <c r="I152" s="84"/>
      <c r="J152" s="84">
        <v>36981</v>
      </c>
      <c r="K152" s="5"/>
      <c r="L152" s="5"/>
      <c r="M152" s="5"/>
      <c r="N152" s="141"/>
    </row>
    <row r="153" spans="1:14" ht="15.75">
      <c r="A153" s="86"/>
      <c r="B153" s="87"/>
      <c r="C153" s="88"/>
      <c r="D153" s="88"/>
      <c r="E153" s="88"/>
      <c r="F153" s="88"/>
      <c r="G153" s="89"/>
      <c r="H153" s="89"/>
      <c r="I153" s="89"/>
      <c r="J153" s="89"/>
      <c r="K153" s="10"/>
      <c r="L153" s="10"/>
      <c r="M153" s="10"/>
      <c r="N153" s="141"/>
    </row>
    <row r="154" spans="1:14" ht="15.75">
      <c r="A154" s="90"/>
      <c r="B154" s="91" t="s">
        <v>107</v>
      </c>
      <c r="C154" s="92"/>
      <c r="D154" s="92"/>
      <c r="E154" s="92"/>
      <c r="F154" s="92"/>
      <c r="G154" s="75"/>
      <c r="H154" s="75"/>
      <c r="I154" s="75"/>
      <c r="J154" s="93">
        <v>0.104</v>
      </c>
      <c r="K154" s="27"/>
      <c r="L154" s="27"/>
      <c r="M154" s="27"/>
      <c r="N154" s="141"/>
    </row>
    <row r="155" spans="1:14" ht="15.75">
      <c r="A155" s="90"/>
      <c r="B155" s="91" t="s">
        <v>108</v>
      </c>
      <c r="C155" s="92"/>
      <c r="D155" s="92"/>
      <c r="E155" s="92"/>
      <c r="F155" s="92"/>
      <c r="G155" s="75"/>
      <c r="H155" s="75"/>
      <c r="I155" s="75"/>
      <c r="J155" s="46">
        <v>0.093</v>
      </c>
      <c r="K155" s="27"/>
      <c r="L155" s="27"/>
      <c r="M155" s="27"/>
      <c r="N155" s="141"/>
    </row>
    <row r="156" spans="1:14" ht="15.75">
      <c r="A156" s="90"/>
      <c r="B156" s="91" t="s">
        <v>109</v>
      </c>
      <c r="C156" s="92"/>
      <c r="D156" s="92"/>
      <c r="E156" s="92"/>
      <c r="F156" s="92"/>
      <c r="G156" s="75"/>
      <c r="H156" s="75"/>
      <c r="I156" s="75"/>
      <c r="J156" s="93">
        <f>J154-J155</f>
        <v>0.010999999999999996</v>
      </c>
      <c r="K156" s="27"/>
      <c r="L156" s="27"/>
      <c r="M156" s="27"/>
      <c r="N156" s="141"/>
    </row>
    <row r="157" spans="1:14" ht="15.75">
      <c r="A157" s="90"/>
      <c r="B157" s="91" t="s">
        <v>110</v>
      </c>
      <c r="C157" s="92"/>
      <c r="D157" s="92"/>
      <c r="E157" s="92"/>
      <c r="F157" s="92"/>
      <c r="G157" s="75"/>
      <c r="H157" s="75"/>
      <c r="I157" s="75"/>
      <c r="J157" s="93">
        <v>0.09257</v>
      </c>
      <c r="K157" s="27"/>
      <c r="L157" s="27"/>
      <c r="M157" s="27"/>
      <c r="N157" s="141"/>
    </row>
    <row r="158" spans="1:14" ht="15.75">
      <c r="A158" s="90"/>
      <c r="B158" s="91" t="s">
        <v>111</v>
      </c>
      <c r="C158" s="92"/>
      <c r="D158" s="92"/>
      <c r="E158" s="92"/>
      <c r="F158" s="92"/>
      <c r="G158" s="75"/>
      <c r="H158" s="75"/>
      <c r="I158" s="75"/>
      <c r="J158" s="93">
        <f>L31</f>
        <v>0.06238627201503781</v>
      </c>
      <c r="K158" s="27"/>
      <c r="L158" s="27"/>
      <c r="M158" s="27"/>
      <c r="N158" s="141"/>
    </row>
    <row r="159" spans="1:14" ht="15.75">
      <c r="A159" s="90"/>
      <c r="B159" s="91" t="s">
        <v>112</v>
      </c>
      <c r="C159" s="92"/>
      <c r="D159" s="92"/>
      <c r="E159" s="92"/>
      <c r="F159" s="92"/>
      <c r="G159" s="75"/>
      <c r="H159" s="75"/>
      <c r="I159" s="75"/>
      <c r="J159" s="93">
        <f>J157-J158</f>
        <v>0.03018372798496219</v>
      </c>
      <c r="K159" s="27"/>
      <c r="L159" s="27"/>
      <c r="M159" s="27"/>
      <c r="N159" s="141"/>
    </row>
    <row r="160" spans="1:14" ht="15.75">
      <c r="A160" s="90"/>
      <c r="B160" s="91" t="s">
        <v>113</v>
      </c>
      <c r="C160" s="92"/>
      <c r="D160" s="92"/>
      <c r="E160" s="92"/>
      <c r="F160" s="92"/>
      <c r="G160" s="75"/>
      <c r="H160" s="75"/>
      <c r="I160" s="75"/>
      <c r="J160" s="94" t="s">
        <v>184</v>
      </c>
      <c r="K160" s="27"/>
      <c r="L160" s="27"/>
      <c r="M160" s="27"/>
      <c r="N160" s="141"/>
    </row>
    <row r="161" spans="1:14" ht="15.75">
      <c r="A161" s="90"/>
      <c r="B161" s="91" t="s">
        <v>114</v>
      </c>
      <c r="C161" s="92"/>
      <c r="D161" s="92"/>
      <c r="E161" s="92"/>
      <c r="F161" s="92"/>
      <c r="G161" s="75"/>
      <c r="H161" s="75"/>
      <c r="I161" s="75"/>
      <c r="J161" s="95">
        <v>17.6</v>
      </c>
      <c r="K161" s="27" t="s">
        <v>189</v>
      </c>
      <c r="L161" s="27"/>
      <c r="M161" s="27"/>
      <c r="N161" s="141"/>
    </row>
    <row r="162" spans="1:14" ht="15.75">
      <c r="A162" s="90"/>
      <c r="B162" s="91" t="s">
        <v>115</v>
      </c>
      <c r="C162" s="92"/>
      <c r="D162" s="92"/>
      <c r="E162" s="92"/>
      <c r="F162" s="92"/>
      <c r="G162" s="75"/>
      <c r="H162" s="75"/>
      <c r="I162" s="75"/>
      <c r="J162" s="95">
        <v>15</v>
      </c>
      <c r="K162" s="27" t="s">
        <v>189</v>
      </c>
      <c r="L162" s="27"/>
      <c r="M162" s="27"/>
      <c r="N162" s="141"/>
    </row>
    <row r="163" spans="1:14" ht="15.75">
      <c r="A163" s="90"/>
      <c r="B163" s="91" t="s">
        <v>116</v>
      </c>
      <c r="C163" s="92"/>
      <c r="D163" s="92"/>
      <c r="E163" s="92"/>
      <c r="F163" s="92"/>
      <c r="G163" s="75"/>
      <c r="H163" s="75"/>
      <c r="I163" s="75"/>
      <c r="J163" s="93">
        <f>F55/D55*4</f>
        <v>0.21661090336547922</v>
      </c>
      <c r="K163" s="27"/>
      <c r="L163" s="27"/>
      <c r="M163" s="27"/>
      <c r="N163" s="141"/>
    </row>
    <row r="164" spans="1:14" ht="15.75">
      <c r="A164" s="90"/>
      <c r="B164" s="91"/>
      <c r="C164" s="91"/>
      <c r="D164" s="91"/>
      <c r="E164" s="91"/>
      <c r="F164" s="91"/>
      <c r="G164" s="27"/>
      <c r="H164" s="27"/>
      <c r="I164" s="27"/>
      <c r="J164" s="54"/>
      <c r="K164" s="27"/>
      <c r="L164" s="96"/>
      <c r="M164" s="27"/>
      <c r="N164" s="141"/>
    </row>
    <row r="165" spans="1:14" ht="15.75">
      <c r="A165" s="97"/>
      <c r="B165" s="17" t="s">
        <v>117</v>
      </c>
      <c r="C165" s="20"/>
      <c r="D165" s="98"/>
      <c r="E165" s="20"/>
      <c r="F165" s="98"/>
      <c r="G165" s="20"/>
      <c r="H165" s="98"/>
      <c r="I165" s="20" t="s">
        <v>171</v>
      </c>
      <c r="J165" s="98" t="s">
        <v>185</v>
      </c>
      <c r="K165" s="18"/>
      <c r="L165" s="18"/>
      <c r="M165" s="10"/>
      <c r="N165" s="141"/>
    </row>
    <row r="166" spans="1:14" ht="15.75">
      <c r="A166" s="99"/>
      <c r="B166" s="91" t="s">
        <v>118</v>
      </c>
      <c r="C166" s="63"/>
      <c r="D166" s="63"/>
      <c r="E166" s="63"/>
      <c r="F166" s="27"/>
      <c r="G166" s="27"/>
      <c r="H166" s="27"/>
      <c r="I166" s="27">
        <v>256</v>
      </c>
      <c r="J166" s="100">
        <v>19626</v>
      </c>
      <c r="K166" s="27"/>
      <c r="L166" s="96"/>
      <c r="M166" s="101"/>
      <c r="N166" s="141"/>
    </row>
    <row r="167" spans="1:14" ht="15.75">
      <c r="A167" s="99"/>
      <c r="B167" s="91" t="s">
        <v>119</v>
      </c>
      <c r="C167" s="63"/>
      <c r="D167" s="63"/>
      <c r="E167" s="63"/>
      <c r="F167" s="27"/>
      <c r="G167" s="27"/>
      <c r="H167" s="27"/>
      <c r="I167" s="27">
        <v>18</v>
      </c>
      <c r="J167" s="100">
        <v>1893</v>
      </c>
      <c r="K167" s="27"/>
      <c r="L167" s="96"/>
      <c r="M167" s="101"/>
      <c r="N167" s="141"/>
    </row>
    <row r="168" spans="1:14" ht="15.75">
      <c r="A168" s="99"/>
      <c r="B168" s="102" t="s">
        <v>120</v>
      </c>
      <c r="C168" s="63"/>
      <c r="D168" s="63"/>
      <c r="E168" s="63"/>
      <c r="F168" s="27"/>
      <c r="G168" s="27"/>
      <c r="H168" s="27"/>
      <c r="I168" s="27">
        <v>1</v>
      </c>
      <c r="J168" s="100">
        <v>70</v>
      </c>
      <c r="K168" s="27"/>
      <c r="L168" s="96"/>
      <c r="M168" s="101"/>
      <c r="N168" s="141"/>
    </row>
    <row r="169" spans="1:14" ht="15.75">
      <c r="A169" s="99"/>
      <c r="B169" s="102" t="s">
        <v>121</v>
      </c>
      <c r="C169" s="63"/>
      <c r="D169" s="63"/>
      <c r="E169" s="63"/>
      <c r="F169" s="27"/>
      <c r="G169" s="27"/>
      <c r="H169" s="27"/>
      <c r="I169" s="27"/>
      <c r="J169" s="103" t="s">
        <v>186</v>
      </c>
      <c r="K169" s="27"/>
      <c r="L169" s="96"/>
      <c r="M169" s="101"/>
      <c r="N169" s="141"/>
    </row>
    <row r="170" spans="1:14" ht="15.75">
      <c r="A170" s="104"/>
      <c r="B170" s="102" t="s">
        <v>122</v>
      </c>
      <c r="C170" s="63"/>
      <c r="D170" s="91"/>
      <c r="E170" s="91"/>
      <c r="F170" s="91"/>
      <c r="G170" s="27"/>
      <c r="H170" s="27"/>
      <c r="I170" s="27"/>
      <c r="J170" s="103"/>
      <c r="K170" s="27"/>
      <c r="L170" s="96"/>
      <c r="M170" s="105"/>
      <c r="N170" s="141"/>
    </row>
    <row r="171" spans="1:14" ht="15.75">
      <c r="A171" s="99"/>
      <c r="B171" s="91" t="s">
        <v>123</v>
      </c>
      <c r="C171" s="63"/>
      <c r="D171" s="63"/>
      <c r="E171" s="63"/>
      <c r="F171" s="63"/>
      <c r="G171" s="27"/>
      <c r="H171" s="27"/>
      <c r="I171" s="27">
        <f>133-129</f>
        <v>4</v>
      </c>
      <c r="J171" s="100">
        <v>150</v>
      </c>
      <c r="K171" s="27"/>
      <c r="L171" s="96"/>
      <c r="M171" s="105"/>
      <c r="N171" s="141"/>
    </row>
    <row r="172" spans="1:14" ht="15.75">
      <c r="A172" s="99"/>
      <c r="B172" s="91" t="s">
        <v>124</v>
      </c>
      <c r="C172" s="63"/>
      <c r="D172" s="63"/>
      <c r="E172" s="63"/>
      <c r="F172" s="63"/>
      <c r="G172" s="27"/>
      <c r="H172" s="27"/>
      <c r="I172" s="27">
        <v>133</v>
      </c>
      <c r="J172" s="100">
        <v>3087</v>
      </c>
      <c r="K172" s="27"/>
      <c r="L172" s="96"/>
      <c r="M172" s="105"/>
      <c r="N172" s="141"/>
    </row>
    <row r="173" spans="1:14" ht="15.75">
      <c r="A173" s="99"/>
      <c r="B173" s="91" t="s">
        <v>208</v>
      </c>
      <c r="C173" s="63"/>
      <c r="D173" s="63"/>
      <c r="E173" s="63"/>
      <c r="F173" s="63"/>
      <c r="G173" s="27"/>
      <c r="H173" s="27"/>
      <c r="I173" s="27"/>
      <c r="J173" s="100">
        <v>9</v>
      </c>
      <c r="K173" s="27"/>
      <c r="L173" s="96"/>
      <c r="M173" s="105"/>
      <c r="N173" s="141"/>
    </row>
    <row r="174" spans="1:14" ht="15.75">
      <c r="A174" s="104"/>
      <c r="B174" s="102" t="s">
        <v>125</v>
      </c>
      <c r="C174" s="63"/>
      <c r="D174" s="91"/>
      <c r="E174" s="91"/>
      <c r="F174" s="91"/>
      <c r="G174" s="27"/>
      <c r="H174" s="27"/>
      <c r="I174" s="27"/>
      <c r="J174" s="100"/>
      <c r="K174" s="27"/>
      <c r="L174" s="96"/>
      <c r="M174" s="105"/>
      <c r="N174" s="141"/>
    </row>
    <row r="175" spans="1:14" ht="15.75">
      <c r="A175" s="104"/>
      <c r="B175" s="91" t="s">
        <v>126</v>
      </c>
      <c r="C175" s="63"/>
      <c r="D175" s="91"/>
      <c r="E175" s="91"/>
      <c r="F175" s="91"/>
      <c r="G175" s="27"/>
      <c r="H175" s="27"/>
      <c r="I175" s="27">
        <v>6</v>
      </c>
      <c r="J175" s="100">
        <v>333</v>
      </c>
      <c r="K175" s="27"/>
      <c r="L175" s="96"/>
      <c r="M175" s="105"/>
      <c r="N175" s="141"/>
    </row>
    <row r="176" spans="1:14" ht="15.75">
      <c r="A176" s="99"/>
      <c r="B176" s="91" t="s">
        <v>127</v>
      </c>
      <c r="C176" s="63"/>
      <c r="D176" s="106"/>
      <c r="E176" s="106"/>
      <c r="F176" s="107"/>
      <c r="G176" s="27"/>
      <c r="H176" s="27"/>
      <c r="I176" s="27"/>
      <c r="J176" s="103">
        <v>38.238</v>
      </c>
      <c r="K176" s="27"/>
      <c r="L176" s="96"/>
      <c r="M176" s="105"/>
      <c r="N176" s="141"/>
    </row>
    <row r="177" spans="1:14" ht="15.75">
      <c r="A177" s="99"/>
      <c r="B177" s="91" t="s">
        <v>128</v>
      </c>
      <c r="C177" s="63"/>
      <c r="D177" s="106"/>
      <c r="E177" s="106"/>
      <c r="F177" s="107"/>
      <c r="G177" s="27"/>
      <c r="H177" s="27"/>
      <c r="I177" s="27"/>
      <c r="J177" s="103">
        <v>13.17</v>
      </c>
      <c r="K177" s="27"/>
      <c r="L177" s="96"/>
      <c r="M177" s="105"/>
      <c r="N177" s="141"/>
    </row>
    <row r="178" spans="1:14" ht="15.75">
      <c r="A178" s="99"/>
      <c r="B178" s="91" t="s">
        <v>129</v>
      </c>
      <c r="C178" s="63"/>
      <c r="D178" s="109"/>
      <c r="E178" s="106"/>
      <c r="F178" s="107"/>
      <c r="G178" s="27"/>
      <c r="H178" s="27"/>
      <c r="I178" s="27"/>
      <c r="J178" s="110">
        <v>0.8918</v>
      </c>
      <c r="K178" s="27"/>
      <c r="L178" s="96"/>
      <c r="M178" s="105"/>
      <c r="N178" s="141"/>
    </row>
    <row r="179" spans="1:14" ht="15.75">
      <c r="A179" s="99"/>
      <c r="B179" s="91"/>
      <c r="C179" s="63"/>
      <c r="D179" s="109"/>
      <c r="E179" s="106"/>
      <c r="F179" s="107"/>
      <c r="G179" s="27"/>
      <c r="H179" s="27"/>
      <c r="I179" s="27"/>
      <c r="J179" s="110"/>
      <c r="K179" s="27"/>
      <c r="L179" s="96"/>
      <c r="M179" s="105"/>
      <c r="N179" s="141"/>
    </row>
    <row r="180" spans="1:14" ht="15.75">
      <c r="A180" s="8"/>
      <c r="B180" s="17" t="s">
        <v>130</v>
      </c>
      <c r="C180" s="20"/>
      <c r="D180" s="98"/>
      <c r="E180" s="20"/>
      <c r="F180" s="98"/>
      <c r="G180" s="20"/>
      <c r="H180" s="98" t="s">
        <v>171</v>
      </c>
      <c r="I180" s="20" t="s">
        <v>172</v>
      </c>
      <c r="J180" s="98" t="s">
        <v>187</v>
      </c>
      <c r="K180" s="20" t="s">
        <v>172</v>
      </c>
      <c r="L180" s="18"/>
      <c r="M180" s="111"/>
      <c r="N180" s="141"/>
    </row>
    <row r="181" spans="1:14" ht="15.75">
      <c r="A181" s="26"/>
      <c r="B181" s="63" t="s">
        <v>131</v>
      </c>
      <c r="C181" s="112"/>
      <c r="D181" s="63"/>
      <c r="E181" s="112"/>
      <c r="F181" s="27"/>
      <c r="G181" s="112"/>
      <c r="H181" s="63">
        <f>142+1336</f>
        <v>1478</v>
      </c>
      <c r="I181" s="113">
        <f>H181/H187</f>
        <v>0.6804788213627992</v>
      </c>
      <c r="J181" s="62">
        <f>4592+55077</f>
        <v>59669</v>
      </c>
      <c r="K181" s="113">
        <f>J181/J187</f>
        <v>0.617570043159213</v>
      </c>
      <c r="L181" s="96"/>
      <c r="M181" s="105"/>
      <c r="N181" s="141"/>
    </row>
    <row r="182" spans="1:14" ht="15.75">
      <c r="A182" s="26"/>
      <c r="B182" s="63" t="s">
        <v>132</v>
      </c>
      <c r="C182" s="112"/>
      <c r="D182" s="63"/>
      <c r="E182" s="112"/>
      <c r="F182" s="27"/>
      <c r="G182" s="114"/>
      <c r="H182" s="63">
        <f>41+18</f>
        <v>59</v>
      </c>
      <c r="I182" s="112">
        <f>H182/H187</f>
        <v>0.02716390423572744</v>
      </c>
      <c r="J182" s="62">
        <f>1466+835</f>
        <v>2301</v>
      </c>
      <c r="K182" s="113">
        <f>J182/J187</f>
        <v>0.023815191628975666</v>
      </c>
      <c r="L182" s="96"/>
      <c r="M182" s="105"/>
      <c r="N182" s="141"/>
    </row>
    <row r="183" spans="1:14" ht="15.75">
      <c r="A183" s="26"/>
      <c r="B183" s="63" t="s">
        <v>133</v>
      </c>
      <c r="C183" s="112"/>
      <c r="D183" s="63"/>
      <c r="E183" s="112"/>
      <c r="F183" s="27"/>
      <c r="G183" s="114"/>
      <c r="H183" s="63">
        <f>25+6</f>
        <v>31</v>
      </c>
      <c r="I183" s="112">
        <f>H183/H187</f>
        <v>0.01427255985267035</v>
      </c>
      <c r="J183" s="62">
        <f>1073+185</f>
        <v>1258</v>
      </c>
      <c r="K183" s="113">
        <f>J183/J187</f>
        <v>0.013020213415580786</v>
      </c>
      <c r="L183" s="96"/>
      <c r="M183" s="105"/>
      <c r="N183" s="141"/>
    </row>
    <row r="184" spans="1:14" ht="15.75">
      <c r="A184" s="26"/>
      <c r="B184" s="63" t="s">
        <v>134</v>
      </c>
      <c r="C184" s="112"/>
      <c r="D184" s="63"/>
      <c r="E184" s="112"/>
      <c r="F184" s="27"/>
      <c r="G184" s="114"/>
      <c r="H184" s="63">
        <f>21+567+5+11</f>
        <v>604</v>
      </c>
      <c r="I184" s="112">
        <f>H184/H187</f>
        <v>0.27808471454880296</v>
      </c>
      <c r="J184" s="62">
        <f>632+27481-14+217+311+168+4596</f>
        <v>33391</v>
      </c>
      <c r="K184" s="113">
        <f>J184/J187</f>
        <v>0.34559455179623055</v>
      </c>
      <c r="L184" s="96"/>
      <c r="M184" s="105"/>
      <c r="N184" s="141"/>
    </row>
    <row r="185" spans="1:14" ht="15.75">
      <c r="A185" s="26"/>
      <c r="B185" s="30"/>
      <c r="C185" s="112"/>
      <c r="D185" s="63"/>
      <c r="E185" s="112"/>
      <c r="F185" s="27"/>
      <c r="G185" s="114"/>
      <c r="H185" s="63"/>
      <c r="I185" s="112"/>
      <c r="J185" s="62"/>
      <c r="K185" s="113"/>
      <c r="L185" s="96"/>
      <c r="M185" s="105"/>
      <c r="N185" s="141"/>
    </row>
    <row r="186" spans="1:14" ht="15.75">
      <c r="A186" s="26"/>
      <c r="B186" s="63"/>
      <c r="C186" s="115"/>
      <c r="D186" s="101"/>
      <c r="E186" s="115"/>
      <c r="F186" s="27"/>
      <c r="G186" s="115"/>
      <c r="H186" s="101"/>
      <c r="I186" s="115"/>
      <c r="J186" s="62"/>
      <c r="K186" s="113"/>
      <c r="L186" s="96"/>
      <c r="M186" s="105"/>
      <c r="N186" s="141"/>
    </row>
    <row r="187" spans="1:14" ht="15.75">
      <c r="A187" s="26"/>
      <c r="B187" s="27"/>
      <c r="C187" s="27"/>
      <c r="D187" s="27"/>
      <c r="E187" s="27"/>
      <c r="F187" s="27"/>
      <c r="G187" s="27"/>
      <c r="H187" s="38">
        <f>SUM(H181:H185)</f>
        <v>2172</v>
      </c>
      <c r="I187" s="116">
        <f>SUM(I181:I186)</f>
        <v>1</v>
      </c>
      <c r="J187" s="62">
        <f>SUM(J181:J186)</f>
        <v>96619</v>
      </c>
      <c r="K187" s="116">
        <f>SUM(K181:K186)</f>
        <v>1</v>
      </c>
      <c r="L187" s="27"/>
      <c r="M187" s="27"/>
      <c r="N187" s="141"/>
    </row>
    <row r="188" spans="1:14" ht="15.75">
      <c r="A188" s="26"/>
      <c r="B188" s="27"/>
      <c r="C188" s="27"/>
      <c r="D188" s="27"/>
      <c r="E188" s="27"/>
      <c r="F188" s="27"/>
      <c r="G188" s="27"/>
      <c r="H188" s="38"/>
      <c r="I188" s="116"/>
      <c r="J188" s="62"/>
      <c r="K188" s="116"/>
      <c r="L188" s="27"/>
      <c r="M188" s="27"/>
      <c r="N188" s="141"/>
    </row>
    <row r="189" spans="1:14" ht="15.75">
      <c r="A189" s="8"/>
      <c r="B189" s="10"/>
      <c r="C189" s="10"/>
      <c r="D189" s="10"/>
      <c r="E189" s="10"/>
      <c r="F189" s="10"/>
      <c r="G189" s="10"/>
      <c r="H189" s="64"/>
      <c r="I189" s="119"/>
      <c r="J189" s="120"/>
      <c r="K189" s="119"/>
      <c r="L189" s="10"/>
      <c r="M189" s="10"/>
      <c r="N189" s="141"/>
    </row>
    <row r="190" spans="1:14" ht="15.75">
      <c r="A190" s="124"/>
      <c r="B190" s="17" t="s">
        <v>136</v>
      </c>
      <c r="C190" s="122"/>
      <c r="D190" s="20" t="s">
        <v>151</v>
      </c>
      <c r="E190" s="18"/>
      <c r="F190" s="17" t="s">
        <v>161</v>
      </c>
      <c r="G190" s="15"/>
      <c r="H190" s="15"/>
      <c r="I190" s="15"/>
      <c r="J190" s="15"/>
      <c r="K190" s="15"/>
      <c r="L190" s="15"/>
      <c r="M190" s="15"/>
      <c r="N190" s="141"/>
    </row>
    <row r="191" spans="1:14" ht="15.75">
      <c r="A191" s="124"/>
      <c r="B191" s="15"/>
      <c r="C191" s="15"/>
      <c r="D191" s="10"/>
      <c r="E191" s="10"/>
      <c r="F191" s="10"/>
      <c r="G191" s="15"/>
      <c r="H191" s="15"/>
      <c r="I191" s="15"/>
      <c r="J191" s="15"/>
      <c r="K191" s="15"/>
      <c r="L191" s="15"/>
      <c r="M191" s="15"/>
      <c r="N191" s="141"/>
    </row>
    <row r="192" spans="1:14" ht="15.75">
      <c r="A192" s="124"/>
      <c r="B192" s="16" t="s">
        <v>137</v>
      </c>
      <c r="C192" s="125"/>
      <c r="D192" s="126" t="s">
        <v>152</v>
      </c>
      <c r="E192" s="16"/>
      <c r="F192" s="16" t="s">
        <v>162</v>
      </c>
      <c r="G192" s="125"/>
      <c r="H192" s="125"/>
      <c r="I192" s="125"/>
      <c r="J192" s="125"/>
      <c r="K192" s="15"/>
      <c r="L192" s="15"/>
      <c r="M192" s="15"/>
      <c r="N192" s="141"/>
    </row>
    <row r="193" spans="1:14" ht="15.75">
      <c r="A193" s="124"/>
      <c r="B193" s="16" t="s">
        <v>138</v>
      </c>
      <c r="C193" s="125"/>
      <c r="D193" s="126" t="s">
        <v>153</v>
      </c>
      <c r="E193" s="16"/>
      <c r="F193" s="16" t="s">
        <v>163</v>
      </c>
      <c r="G193" s="125"/>
      <c r="H193" s="125"/>
      <c r="I193" s="125"/>
      <c r="J193" s="125"/>
      <c r="K193" s="15"/>
      <c r="L193" s="15"/>
      <c r="M193" s="15"/>
      <c r="N193" s="141"/>
    </row>
    <row r="194" spans="1:13" ht="15">
      <c r="A194" s="140"/>
      <c r="B194" s="140"/>
      <c r="C194" s="140"/>
      <c r="D194" s="140"/>
      <c r="E194" s="140"/>
      <c r="F194" s="140"/>
      <c r="G194" s="140"/>
      <c r="H194" s="140"/>
      <c r="I194" s="140"/>
      <c r="J194" s="140"/>
      <c r="K194" s="140"/>
      <c r="L194" s="140"/>
      <c r="M194" s="140"/>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xl/worksheets/sheet9.xml><?xml version="1.0" encoding="utf-8"?>
<worksheet xmlns="http://schemas.openxmlformats.org/spreadsheetml/2006/main" xmlns:r="http://schemas.openxmlformats.org/officeDocument/2006/relationships">
  <dimension ref="A1:N194"/>
  <sheetViews>
    <sheetView showOutlineSymbols="0" zoomScale="70" zoomScaleNormal="70" workbookViewId="0" topLeftCell="D1">
      <selection activeCell="O9" sqref="O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5.6640625" style="1" customWidth="1"/>
    <col min="12" max="12" width="13.6640625" style="1" customWidth="1"/>
    <col min="13" max="13" width="21.4453125" style="1" customWidth="1"/>
    <col min="14" max="16384" width="9.6640625" style="1" customWidth="1"/>
  </cols>
  <sheetData>
    <row r="1" spans="1:14" ht="20.25">
      <c r="A1" s="2"/>
      <c r="B1" s="3" t="s">
        <v>0</v>
      </c>
      <c r="C1" s="4"/>
      <c r="D1" s="5"/>
      <c r="E1" s="5"/>
      <c r="F1" s="5"/>
      <c r="G1" s="5"/>
      <c r="H1" s="5"/>
      <c r="I1" s="5"/>
      <c r="J1" s="5"/>
      <c r="K1" s="5"/>
      <c r="L1" s="5"/>
      <c r="M1" s="5"/>
      <c r="N1" s="141"/>
    </row>
    <row r="2" spans="1:14" ht="15.75">
      <c r="A2" s="8"/>
      <c r="B2" s="9"/>
      <c r="C2" s="9"/>
      <c r="D2" s="10"/>
      <c r="E2" s="10"/>
      <c r="F2" s="10"/>
      <c r="G2" s="10"/>
      <c r="H2" s="10"/>
      <c r="I2" s="10"/>
      <c r="J2" s="10"/>
      <c r="K2" s="10"/>
      <c r="L2" s="10"/>
      <c r="M2" s="10"/>
      <c r="N2" s="141"/>
    </row>
    <row r="3" spans="1:14" ht="15.75">
      <c r="A3" s="11"/>
      <c r="B3" s="12" t="s">
        <v>1</v>
      </c>
      <c r="C3" s="10"/>
      <c r="D3" s="10"/>
      <c r="E3" s="10"/>
      <c r="F3" s="10"/>
      <c r="G3" s="10"/>
      <c r="H3" s="10"/>
      <c r="I3" s="10"/>
      <c r="J3" s="10"/>
      <c r="K3" s="10"/>
      <c r="L3" s="10"/>
      <c r="M3" s="10"/>
      <c r="N3" s="141"/>
    </row>
    <row r="4" spans="1:14" ht="15.75">
      <c r="A4" s="8"/>
      <c r="B4" s="9"/>
      <c r="C4" s="9"/>
      <c r="D4" s="10"/>
      <c r="E4" s="10"/>
      <c r="F4" s="10"/>
      <c r="G4" s="10"/>
      <c r="H4" s="10"/>
      <c r="I4" s="10"/>
      <c r="J4" s="10"/>
      <c r="K4" s="10"/>
      <c r="L4" s="10"/>
      <c r="M4" s="10"/>
      <c r="N4" s="141"/>
    </row>
    <row r="5" spans="1:14" ht="15.75">
      <c r="A5" s="8"/>
      <c r="B5" s="13" t="s">
        <v>2</v>
      </c>
      <c r="C5" s="14"/>
      <c r="D5" s="10"/>
      <c r="E5" s="10"/>
      <c r="F5" s="10"/>
      <c r="G5" s="10"/>
      <c r="H5" s="10"/>
      <c r="I5" s="10"/>
      <c r="J5" s="10"/>
      <c r="K5" s="10"/>
      <c r="L5" s="10"/>
      <c r="M5" s="10"/>
      <c r="N5" s="141"/>
    </row>
    <row r="6" spans="1:14" ht="15.75">
      <c r="A6" s="8"/>
      <c r="B6" s="13" t="s">
        <v>3</v>
      </c>
      <c r="C6" s="14"/>
      <c r="D6" s="10"/>
      <c r="E6" s="10"/>
      <c r="F6" s="10"/>
      <c r="G6" s="10"/>
      <c r="H6" s="10"/>
      <c r="I6" s="10"/>
      <c r="J6" s="10"/>
      <c r="K6" s="10"/>
      <c r="L6" s="10"/>
      <c r="M6" s="10"/>
      <c r="N6" s="141"/>
    </row>
    <row r="7" spans="1:14" ht="15.75">
      <c r="A7" s="8"/>
      <c r="B7" s="13" t="s">
        <v>4</v>
      </c>
      <c r="C7" s="14"/>
      <c r="D7" s="10"/>
      <c r="E7" s="10"/>
      <c r="F7" s="10"/>
      <c r="G7" s="10"/>
      <c r="H7" s="10"/>
      <c r="I7" s="10"/>
      <c r="J7" s="10"/>
      <c r="K7" s="10"/>
      <c r="L7" s="10"/>
      <c r="M7" s="10"/>
      <c r="N7" s="141"/>
    </row>
    <row r="8" spans="1:14" ht="15.75">
      <c r="A8" s="8"/>
      <c r="B8" s="13" t="s">
        <v>5</v>
      </c>
      <c r="C8" s="14"/>
      <c r="D8" s="10"/>
      <c r="E8" s="10"/>
      <c r="F8" s="10"/>
      <c r="G8" s="10"/>
      <c r="H8" s="10"/>
      <c r="I8" s="10"/>
      <c r="J8" s="10"/>
      <c r="K8" s="10"/>
      <c r="L8" s="10"/>
      <c r="M8" s="10"/>
      <c r="N8" s="141"/>
    </row>
    <row r="9" spans="1:14" ht="15.75">
      <c r="A9" s="8"/>
      <c r="B9" s="15"/>
      <c r="C9" s="14"/>
      <c r="D9" s="10"/>
      <c r="E9" s="10"/>
      <c r="F9" s="10"/>
      <c r="G9" s="10"/>
      <c r="H9" s="10"/>
      <c r="I9" s="10"/>
      <c r="J9" s="10"/>
      <c r="K9" s="10"/>
      <c r="L9" s="10"/>
      <c r="M9" s="10"/>
      <c r="N9" s="141"/>
    </row>
    <row r="10" spans="1:14" ht="15.75">
      <c r="A10" s="8"/>
      <c r="B10" s="13"/>
      <c r="C10" s="14"/>
      <c r="D10" s="16"/>
      <c r="E10" s="16"/>
      <c r="F10" s="10"/>
      <c r="G10" s="10"/>
      <c r="H10" s="10"/>
      <c r="I10" s="10"/>
      <c r="J10" s="10"/>
      <c r="K10" s="10"/>
      <c r="L10" s="10"/>
      <c r="M10" s="10"/>
      <c r="N10" s="141"/>
    </row>
    <row r="11" spans="1:14" ht="15.75">
      <c r="A11" s="8"/>
      <c r="B11" s="16" t="s">
        <v>6</v>
      </c>
      <c r="C11" s="16"/>
      <c r="D11" s="10"/>
      <c r="E11" s="10"/>
      <c r="F11" s="10"/>
      <c r="G11" s="10"/>
      <c r="H11" s="10"/>
      <c r="I11" s="10"/>
      <c r="J11" s="10"/>
      <c r="K11" s="10"/>
      <c r="L11" s="10"/>
      <c r="M11" s="10"/>
      <c r="N11" s="141"/>
    </row>
    <row r="12" spans="1:14" ht="15.75">
      <c r="A12" s="8"/>
      <c r="B12" s="16"/>
      <c r="C12" s="16"/>
      <c r="D12" s="10"/>
      <c r="E12" s="10"/>
      <c r="F12" s="10"/>
      <c r="G12" s="10"/>
      <c r="H12" s="10"/>
      <c r="I12" s="10"/>
      <c r="J12" s="10"/>
      <c r="K12" s="10"/>
      <c r="L12" s="10"/>
      <c r="M12" s="10"/>
      <c r="N12" s="141"/>
    </row>
    <row r="13" spans="1:14" ht="15.75">
      <c r="A13" s="2"/>
      <c r="B13" s="5"/>
      <c r="C13" s="5"/>
      <c r="D13" s="5"/>
      <c r="E13" s="5"/>
      <c r="F13" s="5"/>
      <c r="G13" s="5"/>
      <c r="H13" s="5"/>
      <c r="I13" s="5"/>
      <c r="J13" s="5"/>
      <c r="K13" s="5"/>
      <c r="L13" s="5"/>
      <c r="M13" s="5"/>
      <c r="N13" s="141"/>
    </row>
    <row r="14" spans="1:14" ht="15.75">
      <c r="A14" s="8"/>
      <c r="B14" s="17" t="s">
        <v>7</v>
      </c>
      <c r="C14" s="17"/>
      <c r="D14" s="18"/>
      <c r="E14" s="18"/>
      <c r="F14" s="18"/>
      <c r="G14" s="18"/>
      <c r="H14" s="18"/>
      <c r="I14" s="18"/>
      <c r="J14" s="18"/>
      <c r="K14" s="18"/>
      <c r="L14" s="19" t="s">
        <v>190</v>
      </c>
      <c r="M14" s="18"/>
      <c r="N14" s="141"/>
    </row>
    <row r="15" spans="1:14" ht="15.75">
      <c r="A15" s="8"/>
      <c r="B15" s="17" t="s">
        <v>206</v>
      </c>
      <c r="C15" s="17"/>
      <c r="D15" s="18"/>
      <c r="E15" s="18"/>
      <c r="F15" s="18"/>
      <c r="G15" s="18"/>
      <c r="H15" s="20" t="s">
        <v>209</v>
      </c>
      <c r="I15" s="142">
        <v>0.49</v>
      </c>
      <c r="J15" s="20" t="s">
        <v>210</v>
      </c>
      <c r="K15" s="142">
        <v>0.51</v>
      </c>
      <c r="L15" s="19"/>
      <c r="M15" s="18"/>
      <c r="N15" s="141"/>
    </row>
    <row r="16" spans="1:14" ht="15.75">
      <c r="A16" s="8"/>
      <c r="B16" s="17" t="s">
        <v>207</v>
      </c>
      <c r="C16" s="17"/>
      <c r="D16" s="18"/>
      <c r="E16" s="18"/>
      <c r="F16" s="18"/>
      <c r="G16" s="18"/>
      <c r="H16" s="20" t="s">
        <v>209</v>
      </c>
      <c r="I16" s="142">
        <v>0.41</v>
      </c>
      <c r="J16" s="20" t="s">
        <v>210</v>
      </c>
      <c r="K16" s="142">
        <v>0.59</v>
      </c>
      <c r="L16" s="19"/>
      <c r="M16" s="18"/>
      <c r="N16" s="141"/>
    </row>
    <row r="17" spans="1:14" ht="15.75">
      <c r="A17" s="8"/>
      <c r="B17" s="17" t="s">
        <v>8</v>
      </c>
      <c r="C17" s="17"/>
      <c r="D17" s="18"/>
      <c r="E17" s="18"/>
      <c r="F17" s="18"/>
      <c r="G17" s="18"/>
      <c r="H17" s="18"/>
      <c r="I17" s="18"/>
      <c r="J17" s="18"/>
      <c r="K17" s="18"/>
      <c r="L17" s="20" t="s">
        <v>191</v>
      </c>
      <c r="M17" s="18"/>
      <c r="N17" s="141"/>
    </row>
    <row r="18" spans="1:14" ht="15.75">
      <c r="A18" s="8"/>
      <c r="B18" s="17" t="s">
        <v>9</v>
      </c>
      <c r="C18" s="17"/>
      <c r="D18" s="18"/>
      <c r="E18" s="18"/>
      <c r="F18" s="18"/>
      <c r="G18" s="18"/>
      <c r="H18" s="18"/>
      <c r="I18" s="18"/>
      <c r="J18" s="18"/>
      <c r="K18" s="18"/>
      <c r="L18" s="130">
        <v>37096</v>
      </c>
      <c r="M18" s="18"/>
      <c r="N18" s="141"/>
    </row>
    <row r="19" spans="1:14" ht="15.75">
      <c r="A19" s="8"/>
      <c r="B19" s="10"/>
      <c r="C19" s="10"/>
      <c r="D19" s="10"/>
      <c r="E19" s="10"/>
      <c r="F19" s="10"/>
      <c r="G19" s="10"/>
      <c r="H19" s="10"/>
      <c r="I19" s="10"/>
      <c r="J19" s="10"/>
      <c r="K19" s="10"/>
      <c r="L19" s="21"/>
      <c r="M19" s="10"/>
      <c r="N19" s="141"/>
    </row>
    <row r="20" spans="1:14" ht="15.75">
      <c r="A20" s="8"/>
      <c r="B20" s="22" t="s">
        <v>10</v>
      </c>
      <c r="C20" s="10"/>
      <c r="D20" s="10"/>
      <c r="E20" s="10"/>
      <c r="F20" s="10"/>
      <c r="G20" s="10"/>
      <c r="H20" s="10"/>
      <c r="I20" s="10"/>
      <c r="J20" s="21" t="s">
        <v>173</v>
      </c>
      <c r="K20" s="10"/>
      <c r="L20" s="15"/>
      <c r="M20" s="10"/>
      <c r="N20" s="141"/>
    </row>
    <row r="21" spans="1:14" ht="15.75">
      <c r="A21" s="8"/>
      <c r="B21" s="10"/>
      <c r="C21" s="10"/>
      <c r="D21" s="10"/>
      <c r="E21" s="10"/>
      <c r="F21" s="10"/>
      <c r="G21" s="10"/>
      <c r="H21" s="10"/>
      <c r="I21" s="10"/>
      <c r="J21" s="10"/>
      <c r="K21" s="10"/>
      <c r="L21" s="23"/>
      <c r="M21" s="10"/>
      <c r="N21" s="141"/>
    </row>
    <row r="22" spans="1:14" ht="15.75">
      <c r="A22" s="8"/>
      <c r="B22" s="10"/>
      <c r="C22" s="24" t="s">
        <v>139</v>
      </c>
      <c r="D22" s="25" t="s">
        <v>143</v>
      </c>
      <c r="E22" s="25"/>
      <c r="F22" s="25" t="s">
        <v>154</v>
      </c>
      <c r="G22" s="25"/>
      <c r="H22" s="25" t="s">
        <v>164</v>
      </c>
      <c r="I22" s="25"/>
      <c r="J22" s="25" t="s">
        <v>174</v>
      </c>
      <c r="K22" s="137"/>
      <c r="L22" s="137"/>
      <c r="M22" s="10"/>
      <c r="N22" s="141"/>
    </row>
    <row r="23" spans="1:14" ht="15.75">
      <c r="A23" s="26"/>
      <c r="B23" s="27" t="s">
        <v>11</v>
      </c>
      <c r="C23" s="28" t="s">
        <v>140</v>
      </c>
      <c r="D23" s="29" t="s">
        <v>144</v>
      </c>
      <c r="E23" s="29"/>
      <c r="F23" s="29" t="s">
        <v>144</v>
      </c>
      <c r="G23" s="29"/>
      <c r="H23" s="29" t="s">
        <v>165</v>
      </c>
      <c r="I23" s="29"/>
      <c r="J23" s="29" t="s">
        <v>175</v>
      </c>
      <c r="K23" s="30"/>
      <c r="L23" s="30"/>
      <c r="M23" s="27"/>
      <c r="N23" s="141"/>
    </row>
    <row r="24" spans="1:14" ht="15.75">
      <c r="A24" s="131"/>
      <c r="B24" s="31" t="s">
        <v>12</v>
      </c>
      <c r="C24" s="138" t="s">
        <v>165</v>
      </c>
      <c r="D24" s="32" t="s">
        <v>144</v>
      </c>
      <c r="E24" s="32"/>
      <c r="F24" s="32" t="s">
        <v>144</v>
      </c>
      <c r="G24" s="32"/>
      <c r="H24" s="32" t="s">
        <v>165</v>
      </c>
      <c r="I24" s="32"/>
      <c r="J24" s="32" t="s">
        <v>175</v>
      </c>
      <c r="K24" s="33"/>
      <c r="L24" s="33"/>
      <c r="M24" s="27"/>
      <c r="N24" s="141"/>
    </row>
    <row r="25" spans="1:14" ht="15.75">
      <c r="A25" s="26"/>
      <c r="B25" s="27" t="s">
        <v>13</v>
      </c>
      <c r="C25" s="27"/>
      <c r="D25" s="34" t="s">
        <v>145</v>
      </c>
      <c r="E25" s="29"/>
      <c r="F25" s="34" t="s">
        <v>155</v>
      </c>
      <c r="G25" s="29"/>
      <c r="H25" s="34" t="s">
        <v>166</v>
      </c>
      <c r="I25" s="29"/>
      <c r="J25" s="34" t="s">
        <v>176</v>
      </c>
      <c r="K25" s="30"/>
      <c r="L25" s="30"/>
      <c r="M25" s="27"/>
      <c r="N25" s="141"/>
    </row>
    <row r="26" spans="1:14" ht="15.75">
      <c r="A26" s="26"/>
      <c r="B26" s="27"/>
      <c r="C26" s="27"/>
      <c r="D26" s="27"/>
      <c r="E26" s="29"/>
      <c r="F26" s="29"/>
      <c r="G26" s="29"/>
      <c r="H26" s="29"/>
      <c r="I26" s="29"/>
      <c r="J26" s="29"/>
      <c r="K26" s="30"/>
      <c r="L26" s="30"/>
      <c r="M26" s="27"/>
      <c r="N26" s="141"/>
    </row>
    <row r="27" spans="1:14" ht="15.75">
      <c r="A27" s="26"/>
      <c r="B27" s="27" t="s">
        <v>14</v>
      </c>
      <c r="C27" s="27"/>
      <c r="D27" s="35">
        <v>55000</v>
      </c>
      <c r="E27" s="36"/>
      <c r="F27" s="35">
        <v>77000</v>
      </c>
      <c r="G27" s="35"/>
      <c r="H27" s="35">
        <v>33000</v>
      </c>
      <c r="I27" s="35"/>
      <c r="J27" s="35">
        <v>10000</v>
      </c>
      <c r="K27" s="37"/>
      <c r="L27" s="35">
        <f>J27+H27+F27+D27</f>
        <v>175000</v>
      </c>
      <c r="M27" s="38"/>
      <c r="N27" s="141"/>
    </row>
    <row r="28" spans="1:14" ht="15.75">
      <c r="A28" s="26"/>
      <c r="B28" s="27" t="s">
        <v>15</v>
      </c>
      <c r="C28" s="39">
        <v>0.55924</v>
      </c>
      <c r="D28" s="35">
        <v>0</v>
      </c>
      <c r="E28" s="36"/>
      <c r="F28" s="35">
        <f>77000*C28</f>
        <v>43061.479999999996</v>
      </c>
      <c r="G28" s="35"/>
      <c r="H28" s="35">
        <v>33000</v>
      </c>
      <c r="I28" s="35"/>
      <c r="J28" s="35">
        <v>10000</v>
      </c>
      <c r="K28" s="37"/>
      <c r="L28" s="35">
        <f>J28+H28+F28+D28</f>
        <v>86061.48</v>
      </c>
      <c r="M28" s="38"/>
      <c r="N28" s="141"/>
    </row>
    <row r="29" spans="1:14" ht="15.75">
      <c r="A29" s="26"/>
      <c r="B29" s="31" t="s">
        <v>16</v>
      </c>
      <c r="C29" s="39">
        <v>0.481831</v>
      </c>
      <c r="D29" s="40">
        <v>0</v>
      </c>
      <c r="E29" s="41"/>
      <c r="F29" s="40">
        <f>77000*C29</f>
        <v>37100.987</v>
      </c>
      <c r="G29" s="40"/>
      <c r="H29" s="40">
        <v>33000</v>
      </c>
      <c r="I29" s="40"/>
      <c r="J29" s="40">
        <v>10000</v>
      </c>
      <c r="K29" s="42"/>
      <c r="L29" s="40">
        <f>J29+H29+F29+D29</f>
        <v>80100.987</v>
      </c>
      <c r="M29" s="38"/>
      <c r="N29" s="141"/>
    </row>
    <row r="30" spans="1:14" ht="15.75">
      <c r="A30" s="26"/>
      <c r="B30" s="27" t="s">
        <v>17</v>
      </c>
      <c r="C30" s="27"/>
      <c r="D30" s="34" t="s">
        <v>146</v>
      </c>
      <c r="E30" s="27"/>
      <c r="F30" s="34" t="s">
        <v>156</v>
      </c>
      <c r="G30" s="34"/>
      <c r="H30" s="34" t="s">
        <v>167</v>
      </c>
      <c r="I30" s="34"/>
      <c r="J30" s="34" t="s">
        <v>177</v>
      </c>
      <c r="K30" s="30"/>
      <c r="L30" s="30"/>
      <c r="M30" s="27"/>
      <c r="N30" s="141"/>
    </row>
    <row r="31" spans="1:14" ht="15.75">
      <c r="A31" s="26"/>
      <c r="B31" s="27" t="s">
        <v>18</v>
      </c>
      <c r="C31" s="27"/>
      <c r="D31" s="45"/>
      <c r="E31" s="27"/>
      <c r="F31" s="45">
        <v>0.0570641</v>
      </c>
      <c r="G31" s="46"/>
      <c r="H31" s="45">
        <v>0.0592641</v>
      </c>
      <c r="I31" s="46"/>
      <c r="J31" s="45">
        <v>0.0644641</v>
      </c>
      <c r="K31" s="30"/>
      <c r="L31" s="46">
        <f>SUMPRODUCT(D31:J31,D28:J28)/L28</f>
        <v>0.058767533405979074</v>
      </c>
      <c r="M31" s="27"/>
      <c r="N31" s="141"/>
    </row>
    <row r="32" spans="1:14" ht="15.75">
      <c r="A32" s="26"/>
      <c r="B32" s="27" t="s">
        <v>19</v>
      </c>
      <c r="C32" s="27"/>
      <c r="D32" s="45"/>
      <c r="E32" s="27"/>
      <c r="F32" s="45">
        <v>0.0607906</v>
      </c>
      <c r="G32" s="46"/>
      <c r="H32" s="45">
        <v>0.0629906</v>
      </c>
      <c r="I32" s="46"/>
      <c r="J32" s="45">
        <v>0.0681906</v>
      </c>
      <c r="K32" s="30"/>
      <c r="L32" s="30"/>
      <c r="M32" s="27"/>
      <c r="N32" s="141"/>
    </row>
    <row r="33" spans="1:14" ht="15.75">
      <c r="A33" s="26"/>
      <c r="B33" s="27" t="s">
        <v>20</v>
      </c>
      <c r="C33" s="27"/>
      <c r="D33" s="34" t="s">
        <v>147</v>
      </c>
      <c r="E33" s="27"/>
      <c r="F33" s="34" t="s">
        <v>157</v>
      </c>
      <c r="G33" s="34"/>
      <c r="H33" s="34" t="s">
        <v>157</v>
      </c>
      <c r="I33" s="34"/>
      <c r="J33" s="34" t="s">
        <v>157</v>
      </c>
      <c r="K33" s="30"/>
      <c r="L33" s="30"/>
      <c r="M33" s="27"/>
      <c r="N33" s="141"/>
    </row>
    <row r="34" spans="1:14" ht="15.75">
      <c r="A34" s="26"/>
      <c r="B34" s="27" t="s">
        <v>21</v>
      </c>
      <c r="C34" s="27"/>
      <c r="D34" s="34" t="s">
        <v>148</v>
      </c>
      <c r="E34" s="27"/>
      <c r="F34" s="34" t="s">
        <v>158</v>
      </c>
      <c r="G34" s="34"/>
      <c r="H34" s="34" t="s">
        <v>158</v>
      </c>
      <c r="I34" s="34"/>
      <c r="J34" s="34" t="s">
        <v>158</v>
      </c>
      <c r="K34" s="30"/>
      <c r="L34" s="30"/>
      <c r="M34" s="27"/>
      <c r="N34" s="141"/>
    </row>
    <row r="35" spans="1:14" ht="15.75">
      <c r="A35" s="26"/>
      <c r="B35" s="27" t="s">
        <v>22</v>
      </c>
      <c r="C35" s="27"/>
      <c r="D35" s="34" t="s">
        <v>149</v>
      </c>
      <c r="E35" s="27"/>
      <c r="F35" s="34" t="s">
        <v>159</v>
      </c>
      <c r="G35" s="34"/>
      <c r="H35" s="34" t="s">
        <v>168</v>
      </c>
      <c r="I35" s="34"/>
      <c r="J35" s="34" t="s">
        <v>178</v>
      </c>
      <c r="K35" s="30"/>
      <c r="L35" s="30"/>
      <c r="M35" s="27"/>
      <c r="N35" s="141"/>
    </row>
    <row r="36" spans="1:14" ht="15.75">
      <c r="A36" s="26"/>
      <c r="B36" s="27"/>
      <c r="C36" s="27"/>
      <c r="D36" s="47"/>
      <c r="E36" s="47"/>
      <c r="F36" s="27"/>
      <c r="G36" s="47"/>
      <c r="H36" s="47"/>
      <c r="I36" s="47"/>
      <c r="J36" s="47"/>
      <c r="K36" s="47"/>
      <c r="L36" s="47"/>
      <c r="M36" s="27"/>
      <c r="N36" s="141"/>
    </row>
    <row r="37" spans="1:14" ht="15.75">
      <c r="A37" s="26"/>
      <c r="B37" s="27" t="s">
        <v>23</v>
      </c>
      <c r="C37" s="27"/>
      <c r="D37" s="27"/>
      <c r="E37" s="27"/>
      <c r="F37" s="27"/>
      <c r="G37" s="27"/>
      <c r="H37" s="27"/>
      <c r="I37" s="27"/>
      <c r="J37" s="27"/>
      <c r="K37" s="27"/>
      <c r="L37" s="46">
        <f>(H27+J27)/(D27+F27)</f>
        <v>0.32575757575757575</v>
      </c>
      <c r="M37" s="27"/>
      <c r="N37" s="141"/>
    </row>
    <row r="38" spans="1:14" ht="15.75">
      <c r="A38" s="26"/>
      <c r="B38" s="27" t="s">
        <v>24</v>
      </c>
      <c r="C38" s="133"/>
      <c r="D38" s="27"/>
      <c r="E38" s="27"/>
      <c r="F38" s="27"/>
      <c r="G38" s="27"/>
      <c r="H38" s="27"/>
      <c r="I38" s="27"/>
      <c r="J38" s="27"/>
      <c r="K38" s="27"/>
      <c r="L38" s="46">
        <f>(H29+J29)/(D29+F29)</f>
        <v>1.158998815853605</v>
      </c>
      <c r="M38" s="27"/>
      <c r="N38" s="141"/>
    </row>
    <row r="39" spans="1:14" ht="15.75">
      <c r="A39" s="26"/>
      <c r="B39" s="27" t="s">
        <v>25</v>
      </c>
      <c r="C39" s="133"/>
      <c r="D39" s="27"/>
      <c r="E39" s="27"/>
      <c r="F39" s="27"/>
      <c r="G39" s="27"/>
      <c r="H39" s="27"/>
      <c r="I39" s="27"/>
      <c r="J39" s="34" t="s">
        <v>179</v>
      </c>
      <c r="K39" s="34" t="s">
        <v>188</v>
      </c>
      <c r="L39" s="35">
        <v>44500000</v>
      </c>
      <c r="M39" s="27"/>
      <c r="N39" s="141"/>
    </row>
    <row r="40" spans="1:14" ht="15.75">
      <c r="A40" s="26"/>
      <c r="B40" s="27"/>
      <c r="C40" s="133"/>
      <c r="D40" s="27"/>
      <c r="E40" s="27"/>
      <c r="F40" s="27"/>
      <c r="G40" s="27"/>
      <c r="H40" s="27"/>
      <c r="I40" s="27"/>
      <c r="J40" s="27"/>
      <c r="K40" s="27"/>
      <c r="L40" s="48"/>
      <c r="M40" s="27"/>
      <c r="N40" s="141"/>
    </row>
    <row r="41" spans="1:14" ht="15.75">
      <c r="A41" s="26"/>
      <c r="B41" s="27" t="s">
        <v>26</v>
      </c>
      <c r="C41" s="133"/>
      <c r="D41" s="27"/>
      <c r="E41" s="27"/>
      <c r="F41" s="27"/>
      <c r="G41" s="27"/>
      <c r="H41" s="27"/>
      <c r="I41" s="27"/>
      <c r="J41" s="34"/>
      <c r="K41" s="34"/>
      <c r="L41" s="34" t="s">
        <v>193</v>
      </c>
      <c r="M41" s="27"/>
      <c r="N41" s="141"/>
    </row>
    <row r="42" spans="1:14" ht="15.75">
      <c r="A42" s="131"/>
      <c r="B42" s="31" t="s">
        <v>27</v>
      </c>
      <c r="C42" s="31"/>
      <c r="D42" s="31"/>
      <c r="E42" s="31"/>
      <c r="F42" s="31"/>
      <c r="G42" s="31"/>
      <c r="H42" s="31"/>
      <c r="I42" s="31"/>
      <c r="J42" s="49"/>
      <c r="K42" s="49"/>
      <c r="L42" s="50">
        <v>37071</v>
      </c>
      <c r="M42" s="31"/>
      <c r="N42" s="141"/>
    </row>
    <row r="43" spans="1:14" ht="15.75">
      <c r="A43" s="26"/>
      <c r="B43" s="27" t="s">
        <v>28</v>
      </c>
      <c r="C43" s="27"/>
      <c r="D43" s="27"/>
      <c r="E43" s="27"/>
      <c r="F43" s="27"/>
      <c r="G43" s="27"/>
      <c r="H43" s="27"/>
      <c r="I43" s="27">
        <f>L43-J43+1</f>
        <v>91</v>
      </c>
      <c r="J43" s="51">
        <v>36889</v>
      </c>
      <c r="K43" s="52"/>
      <c r="L43" s="51">
        <v>36979</v>
      </c>
      <c r="M43" s="27"/>
      <c r="N43" s="141"/>
    </row>
    <row r="44" spans="1:14" ht="15.75">
      <c r="A44" s="26"/>
      <c r="B44" s="27" t="s">
        <v>29</v>
      </c>
      <c r="C44" s="27"/>
      <c r="D44" s="27"/>
      <c r="E44" s="27"/>
      <c r="F44" s="27"/>
      <c r="G44" s="27"/>
      <c r="H44" s="27"/>
      <c r="I44" s="27">
        <f>L44-J44+1</f>
        <v>91</v>
      </c>
      <c r="J44" s="51">
        <v>36980</v>
      </c>
      <c r="K44" s="52"/>
      <c r="L44" s="51">
        <v>37070</v>
      </c>
      <c r="M44" s="27"/>
      <c r="N44" s="141"/>
    </row>
    <row r="45" spans="1:14" ht="15.75">
      <c r="A45" s="26"/>
      <c r="B45" s="27" t="s">
        <v>30</v>
      </c>
      <c r="C45" s="27"/>
      <c r="D45" s="27"/>
      <c r="E45" s="27"/>
      <c r="F45" s="27"/>
      <c r="G45" s="27"/>
      <c r="H45" s="27"/>
      <c r="I45" s="27"/>
      <c r="J45" s="51"/>
      <c r="K45" s="52"/>
      <c r="L45" s="51" t="s">
        <v>194</v>
      </c>
      <c r="M45" s="27"/>
      <c r="N45" s="141"/>
    </row>
    <row r="46" spans="1:14" ht="15.75">
      <c r="A46" s="26"/>
      <c r="B46" s="27" t="s">
        <v>31</v>
      </c>
      <c r="C46" s="27"/>
      <c r="D46" s="27"/>
      <c r="E46" s="27"/>
      <c r="F46" s="27"/>
      <c r="G46" s="27"/>
      <c r="H46" s="27"/>
      <c r="I46" s="27"/>
      <c r="J46" s="51"/>
      <c r="K46" s="52"/>
      <c r="L46" s="51">
        <v>37062</v>
      </c>
      <c r="M46" s="27"/>
      <c r="N46" s="141"/>
    </row>
    <row r="47" spans="1:14" ht="15.75">
      <c r="A47" s="26"/>
      <c r="B47" s="27"/>
      <c r="C47" s="27"/>
      <c r="D47" s="27"/>
      <c r="E47" s="27"/>
      <c r="F47" s="27"/>
      <c r="G47" s="27"/>
      <c r="H47" s="27"/>
      <c r="I47" s="27"/>
      <c r="J47" s="27"/>
      <c r="K47" s="27"/>
      <c r="L47" s="53"/>
      <c r="M47" s="27"/>
      <c r="N47" s="141"/>
    </row>
    <row r="48" spans="1:14" ht="15.75">
      <c r="A48" s="8"/>
      <c r="B48" s="10"/>
      <c r="C48" s="10"/>
      <c r="D48" s="10"/>
      <c r="E48" s="10"/>
      <c r="F48" s="10"/>
      <c r="G48" s="10"/>
      <c r="H48" s="10"/>
      <c r="I48" s="10"/>
      <c r="J48" s="10"/>
      <c r="K48" s="10"/>
      <c r="L48" s="58"/>
      <c r="M48" s="10"/>
      <c r="N48" s="141"/>
    </row>
    <row r="49" spans="1:14" ht="15.75">
      <c r="A49" s="2"/>
      <c r="B49" s="55" t="s">
        <v>32</v>
      </c>
      <c r="C49" s="56"/>
      <c r="D49" s="5"/>
      <c r="E49" s="5"/>
      <c r="F49" s="5"/>
      <c r="G49" s="5"/>
      <c r="H49" s="5"/>
      <c r="I49" s="5"/>
      <c r="J49" s="5"/>
      <c r="K49" s="5"/>
      <c r="L49" s="57"/>
      <c r="M49" s="5"/>
      <c r="N49" s="141"/>
    </row>
    <row r="50" spans="1:14" ht="15.75">
      <c r="A50" s="8"/>
      <c r="B50" s="16"/>
      <c r="C50" s="16"/>
      <c r="D50" s="10"/>
      <c r="E50" s="10"/>
      <c r="F50" s="10"/>
      <c r="G50" s="10"/>
      <c r="H50" s="10"/>
      <c r="I50" s="10"/>
      <c r="J50" s="10"/>
      <c r="K50" s="10"/>
      <c r="L50" s="58"/>
      <c r="M50" s="10"/>
      <c r="N50" s="141"/>
    </row>
    <row r="51" spans="1:14" ht="63">
      <c r="A51" s="8"/>
      <c r="B51" s="59" t="s">
        <v>33</v>
      </c>
      <c r="C51" s="60" t="s">
        <v>141</v>
      </c>
      <c r="D51" s="60" t="s">
        <v>150</v>
      </c>
      <c r="E51" s="60"/>
      <c r="F51" s="60" t="s">
        <v>160</v>
      </c>
      <c r="G51" s="60"/>
      <c r="H51" s="60" t="s">
        <v>169</v>
      </c>
      <c r="I51" s="60"/>
      <c r="J51" s="60" t="s">
        <v>180</v>
      </c>
      <c r="K51" s="60"/>
      <c r="L51" s="61" t="s">
        <v>195</v>
      </c>
      <c r="M51" s="12"/>
      <c r="N51" s="141"/>
    </row>
    <row r="52" spans="1:14" ht="15.75">
      <c r="A52" s="26"/>
      <c r="B52" s="27" t="s">
        <v>34</v>
      </c>
      <c r="C52" s="38">
        <v>165784</v>
      </c>
      <c r="D52" s="62">
        <v>92020</v>
      </c>
      <c r="E52" s="38"/>
      <c r="F52" s="38">
        <f>4598+299+334-1</f>
        <v>5230</v>
      </c>
      <c r="G52" s="38"/>
      <c r="H52" s="38">
        <v>299</v>
      </c>
      <c r="I52" s="38"/>
      <c r="J52" s="38">
        <v>0</v>
      </c>
      <c r="K52" s="38"/>
      <c r="L52" s="62">
        <f>D52-F52+H52-J52</f>
        <v>87089</v>
      </c>
      <c r="M52" s="27"/>
      <c r="N52" s="141"/>
    </row>
    <row r="53" spans="1:14" ht="15.75">
      <c r="A53" s="26"/>
      <c r="B53" s="27" t="s">
        <v>35</v>
      </c>
      <c r="C53" s="38">
        <v>19105</v>
      </c>
      <c r="D53" s="62">
        <v>4599</v>
      </c>
      <c r="E53" s="38"/>
      <c r="F53" s="38">
        <v>526</v>
      </c>
      <c r="G53" s="38"/>
      <c r="H53" s="38">
        <v>0</v>
      </c>
      <c r="I53" s="38"/>
      <c r="J53" s="38">
        <v>0</v>
      </c>
      <c r="K53" s="38"/>
      <c r="L53" s="62">
        <f>D53-F53</f>
        <v>4073</v>
      </c>
      <c r="M53" s="27"/>
      <c r="N53" s="141"/>
    </row>
    <row r="54" spans="1:14" ht="15.75">
      <c r="A54" s="26"/>
      <c r="B54" s="27"/>
      <c r="C54" s="38"/>
      <c r="D54" s="62"/>
      <c r="E54" s="38"/>
      <c r="F54" s="38"/>
      <c r="G54" s="38"/>
      <c r="H54" s="38"/>
      <c r="I54" s="38"/>
      <c r="J54" s="38"/>
      <c r="K54" s="38"/>
      <c r="L54" s="62"/>
      <c r="M54" s="27"/>
      <c r="N54" s="141"/>
    </row>
    <row r="55" spans="1:14" ht="15.75">
      <c r="A55" s="26"/>
      <c r="B55" s="27" t="s">
        <v>36</v>
      </c>
      <c r="C55" s="38">
        <f>SUM(C52:C54)</f>
        <v>184889</v>
      </c>
      <c r="D55" s="38">
        <f>SUM(D52:D54)</f>
        <v>96619</v>
      </c>
      <c r="E55" s="38"/>
      <c r="F55" s="38">
        <f>SUM(F52:F54)</f>
        <v>5756</v>
      </c>
      <c r="G55" s="38"/>
      <c r="H55" s="38">
        <f>SUM(H52:H54)</f>
        <v>299</v>
      </c>
      <c r="I55" s="38"/>
      <c r="J55" s="38">
        <f>SUM(J52:J54)</f>
        <v>0</v>
      </c>
      <c r="K55" s="38"/>
      <c r="L55" s="63">
        <f>SUM(L52:L54)</f>
        <v>91162</v>
      </c>
      <c r="M55" s="27"/>
      <c r="N55" s="141"/>
    </row>
    <row r="56" spans="1:14" ht="15.75">
      <c r="A56" s="26"/>
      <c r="B56" s="27"/>
      <c r="C56" s="38"/>
      <c r="D56" s="63"/>
      <c r="E56" s="38"/>
      <c r="F56" s="38"/>
      <c r="G56" s="38"/>
      <c r="H56" s="38"/>
      <c r="I56" s="38"/>
      <c r="J56" s="38"/>
      <c r="K56" s="38"/>
      <c r="L56" s="63"/>
      <c r="M56" s="27"/>
      <c r="N56" s="141"/>
    </row>
    <row r="57" spans="1:14" ht="15.75">
      <c r="A57" s="8"/>
      <c r="B57" s="12" t="s">
        <v>37</v>
      </c>
      <c r="C57" s="64"/>
      <c r="D57" s="65"/>
      <c r="E57" s="64"/>
      <c r="F57" s="64"/>
      <c r="G57" s="64"/>
      <c r="H57" s="64"/>
      <c r="I57" s="64"/>
      <c r="J57" s="64"/>
      <c r="K57" s="64"/>
      <c r="L57" s="65"/>
      <c r="M57" s="10"/>
      <c r="N57" s="141"/>
    </row>
    <row r="58" spans="1:14" ht="15.75">
      <c r="A58" s="8"/>
      <c r="B58" s="10"/>
      <c r="C58" s="64"/>
      <c r="D58" s="65"/>
      <c r="E58" s="64"/>
      <c r="F58" s="64"/>
      <c r="G58" s="64"/>
      <c r="H58" s="64"/>
      <c r="I58" s="64"/>
      <c r="J58" s="64"/>
      <c r="K58" s="64"/>
      <c r="L58" s="65"/>
      <c r="M58" s="10"/>
      <c r="N58" s="141"/>
    </row>
    <row r="59" spans="1:14" ht="15.75">
      <c r="A59" s="26"/>
      <c r="B59" s="27" t="s">
        <v>34</v>
      </c>
      <c r="C59" s="38"/>
      <c r="D59" s="63"/>
      <c r="E59" s="38"/>
      <c r="F59" s="38"/>
      <c r="G59" s="38"/>
      <c r="H59" s="38"/>
      <c r="I59" s="38"/>
      <c r="J59" s="38"/>
      <c r="K59" s="38"/>
      <c r="L59" s="63"/>
      <c r="M59" s="27"/>
      <c r="N59" s="141"/>
    </row>
    <row r="60" spans="1:14" ht="15.75">
      <c r="A60" s="26"/>
      <c r="B60" s="27" t="s">
        <v>35</v>
      </c>
      <c r="C60" s="38"/>
      <c r="D60" s="63"/>
      <c r="E60" s="38"/>
      <c r="F60" s="38"/>
      <c r="G60" s="38"/>
      <c r="H60" s="38"/>
      <c r="I60" s="38"/>
      <c r="J60" s="38"/>
      <c r="K60" s="38"/>
      <c r="L60" s="63"/>
      <c r="M60" s="27"/>
      <c r="N60" s="141"/>
    </row>
    <row r="61" spans="1:14" ht="15.75">
      <c r="A61" s="26"/>
      <c r="B61" s="27"/>
      <c r="C61" s="38"/>
      <c r="D61" s="63"/>
      <c r="E61" s="38"/>
      <c r="F61" s="38"/>
      <c r="G61" s="38"/>
      <c r="H61" s="38"/>
      <c r="I61" s="38"/>
      <c r="J61" s="38"/>
      <c r="K61" s="38"/>
      <c r="L61" s="63"/>
      <c r="M61" s="27"/>
      <c r="N61" s="141"/>
    </row>
    <row r="62" spans="1:14" ht="15.75">
      <c r="A62" s="26"/>
      <c r="B62" s="27" t="s">
        <v>36</v>
      </c>
      <c r="C62" s="38"/>
      <c r="D62" s="38"/>
      <c r="E62" s="38"/>
      <c r="F62" s="38"/>
      <c r="G62" s="38"/>
      <c r="H62" s="38"/>
      <c r="I62" s="38"/>
      <c r="J62" s="38"/>
      <c r="K62" s="38"/>
      <c r="L62" s="38"/>
      <c r="M62" s="27"/>
      <c r="N62" s="141"/>
    </row>
    <row r="63" spans="1:14" ht="15.75">
      <c r="A63" s="26"/>
      <c r="B63" s="27"/>
      <c r="C63" s="38"/>
      <c r="D63" s="38"/>
      <c r="E63" s="38"/>
      <c r="F63" s="38"/>
      <c r="G63" s="38"/>
      <c r="H63" s="38"/>
      <c r="I63" s="38"/>
      <c r="J63" s="38"/>
      <c r="K63" s="38"/>
      <c r="L63" s="38"/>
      <c r="M63" s="27"/>
      <c r="N63" s="141"/>
    </row>
    <row r="64" spans="1:14" ht="15.75">
      <c r="A64" s="26"/>
      <c r="B64" s="27" t="s">
        <v>38</v>
      </c>
      <c r="C64" s="38">
        <v>-9889</v>
      </c>
      <c r="D64" s="62">
        <v>-9889</v>
      </c>
      <c r="E64" s="38"/>
      <c r="F64" s="38"/>
      <c r="G64" s="38"/>
      <c r="H64" s="38"/>
      <c r="I64" s="38"/>
      <c r="J64" s="38"/>
      <c r="K64" s="38"/>
      <c r="L64" s="62">
        <f>D64-F64+H64-J64</f>
        <v>-9889</v>
      </c>
      <c r="M64" s="27"/>
      <c r="N64" s="141"/>
    </row>
    <row r="65" spans="1:14" ht="15.75">
      <c r="A65" s="26"/>
      <c r="B65" s="27" t="s">
        <v>39</v>
      </c>
      <c r="C65" s="38">
        <v>0</v>
      </c>
      <c r="D65" s="63">
        <v>-819</v>
      </c>
      <c r="E65" s="38"/>
      <c r="F65" s="38"/>
      <c r="G65" s="38"/>
      <c r="H65" s="38"/>
      <c r="I65" s="38"/>
      <c r="J65" s="38"/>
      <c r="K65" s="38"/>
      <c r="L65" s="63">
        <f>-L117</f>
        <v>-1506</v>
      </c>
      <c r="M65" s="27"/>
      <c r="N65" s="141"/>
    </row>
    <row r="66" spans="1:14" ht="15.75">
      <c r="A66" s="26"/>
      <c r="B66" s="27" t="s">
        <v>40</v>
      </c>
      <c r="C66" s="38">
        <v>0</v>
      </c>
      <c r="D66" s="63">
        <v>150</v>
      </c>
      <c r="E66" s="38"/>
      <c r="F66" s="38"/>
      <c r="G66" s="38"/>
      <c r="H66" s="38"/>
      <c r="I66" s="38"/>
      <c r="J66" s="38"/>
      <c r="K66" s="38"/>
      <c r="L66" s="63">
        <v>334</v>
      </c>
      <c r="M66" s="27"/>
      <c r="N66" s="141"/>
    </row>
    <row r="67" spans="1:14" ht="15.75">
      <c r="A67" s="26"/>
      <c r="B67" s="27" t="s">
        <v>41</v>
      </c>
      <c r="C67" s="63">
        <f>SUM(C55:C66)</f>
        <v>175000</v>
      </c>
      <c r="D67" s="63">
        <f>SUM(D55:D66)</f>
        <v>86061</v>
      </c>
      <c r="E67" s="38"/>
      <c r="F67" s="63"/>
      <c r="G67" s="38"/>
      <c r="H67" s="63"/>
      <c r="I67" s="38"/>
      <c r="J67" s="63"/>
      <c r="K67" s="38"/>
      <c r="L67" s="63">
        <f>SUM(L55:L66)</f>
        <v>80101</v>
      </c>
      <c r="M67" s="27"/>
      <c r="N67" s="141"/>
    </row>
    <row r="68" spans="1:14" ht="15.75">
      <c r="A68" s="26"/>
      <c r="B68" s="27"/>
      <c r="C68" s="38"/>
      <c r="D68" s="38"/>
      <c r="E68" s="38"/>
      <c r="F68" s="38"/>
      <c r="G68" s="38"/>
      <c r="H68" s="38"/>
      <c r="I68" s="38"/>
      <c r="J68" s="38"/>
      <c r="K68" s="38"/>
      <c r="L68" s="63"/>
      <c r="M68" s="27"/>
      <c r="N68" s="141"/>
    </row>
    <row r="69" spans="1:14" ht="15.75">
      <c r="A69" s="8"/>
      <c r="B69" s="10"/>
      <c r="C69" s="10"/>
      <c r="D69" s="10"/>
      <c r="E69" s="10"/>
      <c r="F69" s="10"/>
      <c r="G69" s="10"/>
      <c r="H69" s="10"/>
      <c r="I69" s="10"/>
      <c r="J69" s="10"/>
      <c r="K69" s="10"/>
      <c r="L69" s="10"/>
      <c r="M69" s="10"/>
      <c r="N69" s="141"/>
    </row>
    <row r="70" spans="1:14" ht="15.75">
      <c r="A70" s="8"/>
      <c r="B70" s="67" t="s">
        <v>42</v>
      </c>
      <c r="C70" s="17"/>
      <c r="D70" s="17"/>
      <c r="E70" s="17"/>
      <c r="F70" s="17"/>
      <c r="G70" s="17"/>
      <c r="H70" s="17"/>
      <c r="I70" s="20"/>
      <c r="J70" s="20" t="s">
        <v>181</v>
      </c>
      <c r="K70" s="20"/>
      <c r="L70" s="20" t="s">
        <v>196</v>
      </c>
      <c r="M70" s="17"/>
      <c r="N70" s="141"/>
    </row>
    <row r="71" spans="1:14" ht="15.75">
      <c r="A71" s="26"/>
      <c r="B71" s="27" t="s">
        <v>43</v>
      </c>
      <c r="C71" s="27"/>
      <c r="D71" s="27"/>
      <c r="E71" s="27"/>
      <c r="F71" s="27"/>
      <c r="G71" s="27"/>
      <c r="H71" s="27"/>
      <c r="I71" s="27"/>
      <c r="J71" s="38">
        <v>0</v>
      </c>
      <c r="K71" s="27"/>
      <c r="L71" s="62">
        <v>0</v>
      </c>
      <c r="M71" s="27"/>
      <c r="N71" s="141"/>
    </row>
    <row r="72" spans="1:14" ht="15.75">
      <c r="A72" s="26"/>
      <c r="B72" s="27" t="s">
        <v>44</v>
      </c>
      <c r="C72" s="47" t="s">
        <v>142</v>
      </c>
      <c r="D72" s="68">
        <f>L46</f>
        <v>37062</v>
      </c>
      <c r="E72" s="27"/>
      <c r="F72" s="27"/>
      <c r="G72" s="27"/>
      <c r="H72" s="27"/>
      <c r="I72" s="27"/>
      <c r="J72" s="38">
        <f>5230-334+150+687</f>
        <v>5733</v>
      </c>
      <c r="K72" s="27"/>
      <c r="L72" s="62"/>
      <c r="M72" s="27"/>
      <c r="N72" s="141"/>
    </row>
    <row r="73" spans="1:14" ht="15.75">
      <c r="A73" s="26"/>
      <c r="B73" s="27" t="s">
        <v>45</v>
      </c>
      <c r="C73" s="27"/>
      <c r="D73" s="27"/>
      <c r="E73" s="27"/>
      <c r="F73" s="27"/>
      <c r="G73" s="27"/>
      <c r="H73" s="27"/>
      <c r="I73" s="27"/>
      <c r="J73" s="38"/>
      <c r="K73" s="27"/>
      <c r="L73" s="62">
        <f>2424+828+82+260-513+14-42+3</f>
        <v>3056</v>
      </c>
      <c r="M73" s="27"/>
      <c r="N73" s="141"/>
    </row>
    <row r="74" spans="1:14" ht="15.75">
      <c r="A74" s="26"/>
      <c r="B74" s="27" t="s">
        <v>46</v>
      </c>
      <c r="C74" s="27"/>
      <c r="D74" s="27"/>
      <c r="E74" s="27"/>
      <c r="F74" s="27"/>
      <c r="G74" s="27"/>
      <c r="H74" s="27"/>
      <c r="I74" s="27"/>
      <c r="J74" s="38"/>
      <c r="K74" s="27"/>
      <c r="L74" s="62"/>
      <c r="M74" s="27"/>
      <c r="N74" s="141"/>
    </row>
    <row r="75" spans="1:14" ht="15.75">
      <c r="A75" s="26"/>
      <c r="B75" s="27" t="s">
        <v>47</v>
      </c>
      <c r="C75" s="27"/>
      <c r="D75" s="27"/>
      <c r="E75" s="27"/>
      <c r="F75" s="27"/>
      <c r="G75" s="27"/>
      <c r="H75" s="27"/>
      <c r="I75" s="27"/>
      <c r="J75" s="38">
        <f>SUM(J71:J74)</f>
        <v>5733</v>
      </c>
      <c r="K75" s="27"/>
      <c r="L75" s="63">
        <f>SUM(L71:L74)</f>
        <v>3056</v>
      </c>
      <c r="M75" s="27"/>
      <c r="N75" s="141"/>
    </row>
    <row r="76" spans="1:14" ht="15.75">
      <c r="A76" s="26"/>
      <c r="B76" s="27" t="s">
        <v>48</v>
      </c>
      <c r="C76" s="27"/>
      <c r="D76" s="27"/>
      <c r="E76" s="27"/>
      <c r="F76" s="27"/>
      <c r="G76" s="27"/>
      <c r="H76" s="27"/>
      <c r="I76" s="27"/>
      <c r="J76" s="38">
        <f>-L76</f>
        <v>526</v>
      </c>
      <c r="K76" s="27"/>
      <c r="L76" s="62">
        <f>-F53</f>
        <v>-526</v>
      </c>
      <c r="M76" s="27"/>
      <c r="N76" s="141"/>
    </row>
    <row r="77" spans="1:14" ht="15.75">
      <c r="A77" s="26"/>
      <c r="B77" s="27" t="s">
        <v>49</v>
      </c>
      <c r="C77" s="27"/>
      <c r="D77" s="27"/>
      <c r="E77" s="27"/>
      <c r="F77" s="27"/>
      <c r="G77" s="27"/>
      <c r="H77" s="27"/>
      <c r="I77" s="27"/>
      <c r="J77" s="38">
        <f>J75+J76</f>
        <v>6259</v>
      </c>
      <c r="K77" s="27"/>
      <c r="L77" s="63">
        <f>L75+L76</f>
        <v>2530</v>
      </c>
      <c r="M77" s="27"/>
      <c r="N77" s="141"/>
    </row>
    <row r="78" spans="1:14" ht="15.75">
      <c r="A78" s="26"/>
      <c r="B78" s="69" t="s">
        <v>50</v>
      </c>
      <c r="C78" s="70"/>
      <c r="D78" s="27"/>
      <c r="E78" s="27"/>
      <c r="F78" s="27"/>
      <c r="G78" s="27"/>
      <c r="H78" s="27"/>
      <c r="I78" s="27"/>
      <c r="J78" s="38"/>
      <c r="K78" s="27"/>
      <c r="L78" s="62"/>
      <c r="M78" s="27"/>
      <c r="N78" s="141"/>
    </row>
    <row r="79" spans="1:14" ht="15.75">
      <c r="A79" s="26">
        <v>1</v>
      </c>
      <c r="B79" s="27" t="s">
        <v>51</v>
      </c>
      <c r="C79" s="27"/>
      <c r="D79" s="27"/>
      <c r="E79" s="27"/>
      <c r="F79" s="27"/>
      <c r="G79" s="27"/>
      <c r="H79" s="27"/>
      <c r="I79" s="27"/>
      <c r="J79" s="27"/>
      <c r="K79" s="27"/>
      <c r="L79" s="62">
        <v>0</v>
      </c>
      <c r="M79" s="27"/>
      <c r="N79" s="141"/>
    </row>
    <row r="80" spans="1:14" ht="15.75">
      <c r="A80" s="26">
        <v>2</v>
      </c>
      <c r="B80" s="27" t="s">
        <v>52</v>
      </c>
      <c r="C80" s="27"/>
      <c r="D80" s="27"/>
      <c r="E80" s="27"/>
      <c r="F80" s="27"/>
      <c r="G80" s="27"/>
      <c r="H80" s="27"/>
      <c r="I80" s="27"/>
      <c r="J80" s="27"/>
      <c r="K80" s="27"/>
      <c r="L80" s="62">
        <v>-4</v>
      </c>
      <c r="M80" s="27"/>
      <c r="N80" s="141"/>
    </row>
    <row r="81" spans="1:14" ht="15.75">
      <c r="A81" s="26">
        <v>3</v>
      </c>
      <c r="B81" s="27" t="s">
        <v>53</v>
      </c>
      <c r="C81" s="27"/>
      <c r="D81" s="27"/>
      <c r="E81" s="27"/>
      <c r="F81" s="27"/>
      <c r="G81" s="27"/>
      <c r="H81" s="27"/>
      <c r="I81" s="27"/>
      <c r="J81" s="27"/>
      <c r="K81" s="27"/>
      <c r="L81" s="62">
        <f>-136-5</f>
        <v>-141</v>
      </c>
      <c r="M81" s="27"/>
      <c r="N81" s="141"/>
    </row>
    <row r="82" spans="1:14" ht="15.75">
      <c r="A82" s="26">
        <v>4</v>
      </c>
      <c r="B82" s="27" t="s">
        <v>54</v>
      </c>
      <c r="C82" s="27"/>
      <c r="D82" s="27"/>
      <c r="E82" s="27"/>
      <c r="F82" s="27"/>
      <c r="G82" s="27"/>
      <c r="H82" s="27"/>
      <c r="I82" s="27"/>
      <c r="J82" s="27"/>
      <c r="K82" s="27"/>
      <c r="L82" s="62">
        <v>-31</v>
      </c>
      <c r="M82" s="27"/>
      <c r="N82" s="141"/>
    </row>
    <row r="83" spans="1:14" ht="15.75">
      <c r="A83" s="26">
        <v>5</v>
      </c>
      <c r="B83" s="27" t="s">
        <v>55</v>
      </c>
      <c r="C83" s="27"/>
      <c r="D83" s="27"/>
      <c r="E83" s="27"/>
      <c r="F83" s="27"/>
      <c r="G83" s="27"/>
      <c r="H83" s="27"/>
      <c r="I83" s="27"/>
      <c r="J83" s="27"/>
      <c r="K83" s="27"/>
      <c r="L83" s="62">
        <v>-613</v>
      </c>
      <c r="M83" s="27"/>
      <c r="N83" s="141"/>
    </row>
    <row r="84" spans="1:14" ht="15.75">
      <c r="A84" s="26">
        <v>6</v>
      </c>
      <c r="B84" s="27" t="s">
        <v>56</v>
      </c>
      <c r="C84" s="27"/>
      <c r="D84" s="27"/>
      <c r="E84" s="27"/>
      <c r="F84" s="27"/>
      <c r="G84" s="27"/>
      <c r="H84" s="27"/>
      <c r="I84" s="27"/>
      <c r="J84" s="27"/>
      <c r="K84" s="27"/>
      <c r="L84" s="62">
        <v>-3</v>
      </c>
      <c r="M84" s="27"/>
      <c r="N84" s="141"/>
    </row>
    <row r="85" spans="1:14" ht="15.75">
      <c r="A85" s="26">
        <v>7</v>
      </c>
      <c r="B85" s="27" t="s">
        <v>57</v>
      </c>
      <c r="C85" s="27"/>
      <c r="D85" s="27"/>
      <c r="E85" s="27"/>
      <c r="F85" s="27"/>
      <c r="G85" s="27"/>
      <c r="H85" s="27"/>
      <c r="I85" s="27"/>
      <c r="J85" s="27"/>
      <c r="K85" s="27"/>
      <c r="L85" s="62">
        <v>-488</v>
      </c>
      <c r="M85" s="27"/>
      <c r="N85" s="141"/>
    </row>
    <row r="86" spans="1:14" ht="15.75">
      <c r="A86" s="26">
        <v>8</v>
      </c>
      <c r="B86" s="27" t="s">
        <v>58</v>
      </c>
      <c r="C86" s="27"/>
      <c r="D86" s="27"/>
      <c r="E86" s="27"/>
      <c r="F86" s="27"/>
      <c r="G86" s="27"/>
      <c r="H86" s="27"/>
      <c r="I86" s="27"/>
      <c r="J86" s="27"/>
      <c r="K86" s="27"/>
      <c r="L86" s="62">
        <v>-161</v>
      </c>
      <c r="M86" s="27"/>
      <c r="N86" s="141"/>
    </row>
    <row r="87" spans="1:14" ht="15.75">
      <c r="A87" s="26">
        <v>9</v>
      </c>
      <c r="B87" s="27" t="s">
        <v>59</v>
      </c>
      <c r="C87" s="27"/>
      <c r="D87" s="27"/>
      <c r="E87" s="27"/>
      <c r="F87" s="27"/>
      <c r="G87" s="27"/>
      <c r="H87" s="27"/>
      <c r="I87" s="27"/>
      <c r="J87" s="27"/>
      <c r="K87" s="27"/>
      <c r="L87" s="62">
        <v>0</v>
      </c>
      <c r="M87" s="27"/>
      <c r="N87" s="141"/>
    </row>
    <row r="88" spans="1:14" ht="15.75">
      <c r="A88" s="26">
        <v>10</v>
      </c>
      <c r="B88" s="27" t="s">
        <v>60</v>
      </c>
      <c r="C88" s="27"/>
      <c r="D88" s="27"/>
      <c r="E88" s="27"/>
      <c r="F88" s="27"/>
      <c r="G88" s="27"/>
      <c r="H88" s="27"/>
      <c r="I88" s="27"/>
      <c r="J88" s="27"/>
      <c r="K88" s="27"/>
      <c r="L88" s="62">
        <v>0</v>
      </c>
      <c r="M88" s="27"/>
      <c r="N88" s="141"/>
    </row>
    <row r="89" spans="1:14" ht="15.75">
      <c r="A89" s="26">
        <v>11</v>
      </c>
      <c r="B89" s="27" t="s">
        <v>61</v>
      </c>
      <c r="C89" s="27"/>
      <c r="D89" s="27"/>
      <c r="E89" s="27"/>
      <c r="F89" s="27"/>
      <c r="G89" s="27"/>
      <c r="H89" s="27"/>
      <c r="I89" s="27"/>
      <c r="J89" s="27"/>
      <c r="K89" s="27"/>
      <c r="L89" s="62">
        <v>-334</v>
      </c>
      <c r="M89" s="27"/>
      <c r="N89" s="141"/>
    </row>
    <row r="90" spans="1:14" ht="15.75">
      <c r="A90" s="26">
        <v>12</v>
      </c>
      <c r="B90" s="27" t="s">
        <v>62</v>
      </c>
      <c r="C90" s="27"/>
      <c r="D90" s="27"/>
      <c r="E90" s="27"/>
      <c r="F90" s="27"/>
      <c r="G90" s="27"/>
      <c r="H90" s="27"/>
      <c r="I90" s="27"/>
      <c r="J90" s="27"/>
      <c r="K90" s="27"/>
      <c r="L90" s="62">
        <v>-343</v>
      </c>
      <c r="M90" s="27"/>
      <c r="N90" s="141"/>
    </row>
    <row r="91" spans="1:14" ht="15.75">
      <c r="A91" s="26">
        <v>13</v>
      </c>
      <c r="B91" s="27" t="s">
        <v>63</v>
      </c>
      <c r="C91" s="27"/>
      <c r="D91" s="27"/>
      <c r="E91" s="27"/>
      <c r="F91" s="27"/>
      <c r="G91" s="27"/>
      <c r="H91" s="27"/>
      <c r="I91" s="27"/>
      <c r="J91" s="27"/>
      <c r="K91" s="27"/>
      <c r="L91" s="62">
        <f>-L77-SUM(L79:L90)</f>
        <v>-412</v>
      </c>
      <c r="M91" s="27"/>
      <c r="N91" s="141"/>
    </row>
    <row r="92" spans="1:14" ht="15.75">
      <c r="A92" s="26"/>
      <c r="B92" s="69" t="s">
        <v>64</v>
      </c>
      <c r="C92" s="70"/>
      <c r="D92" s="27"/>
      <c r="E92" s="27"/>
      <c r="F92" s="27"/>
      <c r="G92" s="27"/>
      <c r="H92" s="27"/>
      <c r="I92" s="27"/>
      <c r="J92" s="27"/>
      <c r="K92" s="27"/>
      <c r="L92" s="71"/>
      <c r="M92" s="27"/>
      <c r="N92" s="141"/>
    </row>
    <row r="93" spans="1:14" ht="15.75">
      <c r="A93" s="26"/>
      <c r="B93" s="27" t="s">
        <v>65</v>
      </c>
      <c r="C93" s="70"/>
      <c r="D93" s="27"/>
      <c r="E93" s="27"/>
      <c r="F93" s="27"/>
      <c r="G93" s="27"/>
      <c r="H93" s="27"/>
      <c r="I93" s="38"/>
      <c r="J93" s="38">
        <v>0</v>
      </c>
      <c r="K93" s="38"/>
      <c r="L93" s="62"/>
      <c r="M93" s="27"/>
      <c r="N93" s="141"/>
    </row>
    <row r="94" spans="1:14" ht="15.75">
      <c r="A94" s="26"/>
      <c r="B94" s="27" t="s">
        <v>66</v>
      </c>
      <c r="C94" s="27"/>
      <c r="D94" s="27"/>
      <c r="E94" s="27"/>
      <c r="F94" s="27"/>
      <c r="G94" s="27"/>
      <c r="H94" s="27"/>
      <c r="I94" s="38"/>
      <c r="J94" s="38">
        <v>-299</v>
      </c>
      <c r="K94" s="38"/>
      <c r="L94" s="62"/>
      <c r="M94" s="27"/>
      <c r="N94" s="141"/>
    </row>
    <row r="95" spans="1:14" ht="15.75">
      <c r="A95" s="26"/>
      <c r="B95" s="27" t="s">
        <v>67</v>
      </c>
      <c r="C95" s="27"/>
      <c r="D95" s="27"/>
      <c r="E95" s="27"/>
      <c r="F95" s="27"/>
      <c r="G95" s="27"/>
      <c r="H95" s="27"/>
      <c r="I95" s="27"/>
      <c r="J95" s="38">
        <v>0</v>
      </c>
      <c r="K95" s="38"/>
      <c r="L95" s="62"/>
      <c r="M95" s="27"/>
      <c r="N95" s="141"/>
    </row>
    <row r="96" spans="1:14" ht="15.75">
      <c r="A96" s="26"/>
      <c r="B96" s="27" t="s">
        <v>68</v>
      </c>
      <c r="C96" s="27"/>
      <c r="D96" s="27"/>
      <c r="E96" s="27"/>
      <c r="F96" s="27"/>
      <c r="G96" s="27"/>
      <c r="H96" s="27"/>
      <c r="I96" s="27"/>
      <c r="J96" s="38">
        <v>-5960</v>
      </c>
      <c r="K96" s="38"/>
      <c r="L96" s="62"/>
      <c r="M96" s="27"/>
      <c r="N96" s="141"/>
    </row>
    <row r="97" spans="1:14" ht="15.75">
      <c r="A97" s="26"/>
      <c r="B97" s="27" t="s">
        <v>69</v>
      </c>
      <c r="C97" s="27"/>
      <c r="D97" s="27"/>
      <c r="E97" s="27"/>
      <c r="F97" s="27"/>
      <c r="G97" s="27"/>
      <c r="H97" s="27"/>
      <c r="I97" s="27"/>
      <c r="J97" s="38">
        <v>0</v>
      </c>
      <c r="K97" s="38"/>
      <c r="L97" s="62"/>
      <c r="M97" s="27"/>
      <c r="N97" s="141"/>
    </row>
    <row r="98" spans="1:14" ht="15.75">
      <c r="A98" s="26"/>
      <c r="B98" s="27" t="s">
        <v>70</v>
      </c>
      <c r="C98" s="27"/>
      <c r="D98" s="27"/>
      <c r="E98" s="27"/>
      <c r="F98" s="27"/>
      <c r="G98" s="27"/>
      <c r="H98" s="27"/>
      <c r="I98" s="27"/>
      <c r="J98" s="38">
        <f>SUM(J78:J97)</f>
        <v>-6259</v>
      </c>
      <c r="K98" s="38"/>
      <c r="L98" s="38">
        <f>SUM(L78:L97)</f>
        <v>-2530</v>
      </c>
      <c r="M98" s="27"/>
      <c r="N98" s="141"/>
    </row>
    <row r="99" spans="1:14" ht="15.75">
      <c r="A99" s="26"/>
      <c r="B99" s="27" t="s">
        <v>71</v>
      </c>
      <c r="C99" s="27"/>
      <c r="D99" s="27"/>
      <c r="E99" s="27"/>
      <c r="F99" s="27"/>
      <c r="G99" s="27"/>
      <c r="H99" s="27"/>
      <c r="I99" s="27"/>
      <c r="J99" s="38">
        <f>J77+J98</f>
        <v>0</v>
      </c>
      <c r="K99" s="38"/>
      <c r="L99" s="38">
        <f>L77+L98</f>
        <v>0</v>
      </c>
      <c r="M99" s="27"/>
      <c r="N99" s="141"/>
    </row>
    <row r="100" spans="1:14" ht="15.75">
      <c r="A100" s="26"/>
      <c r="B100" s="27"/>
      <c r="C100" s="27"/>
      <c r="D100" s="27"/>
      <c r="E100" s="27"/>
      <c r="F100" s="27"/>
      <c r="G100" s="27"/>
      <c r="H100" s="27"/>
      <c r="I100" s="27"/>
      <c r="J100" s="38"/>
      <c r="K100" s="38"/>
      <c r="L100" s="38"/>
      <c r="M100" s="27"/>
      <c r="N100" s="141"/>
    </row>
    <row r="101" spans="1:14" ht="15.75">
      <c r="A101" s="8"/>
      <c r="B101" s="10"/>
      <c r="C101" s="10"/>
      <c r="D101" s="10"/>
      <c r="E101" s="10"/>
      <c r="F101" s="10"/>
      <c r="G101" s="10"/>
      <c r="H101" s="10"/>
      <c r="I101" s="10"/>
      <c r="J101" s="10"/>
      <c r="K101" s="10"/>
      <c r="L101" s="58"/>
      <c r="M101" s="10"/>
      <c r="N101" s="141"/>
    </row>
    <row r="102" spans="1:14" ht="15.75">
      <c r="A102" s="8"/>
      <c r="B102" s="10"/>
      <c r="C102" s="10"/>
      <c r="D102" s="10"/>
      <c r="E102" s="10"/>
      <c r="F102" s="10"/>
      <c r="G102" s="10"/>
      <c r="H102" s="10"/>
      <c r="I102" s="10"/>
      <c r="J102" s="10"/>
      <c r="K102" s="10"/>
      <c r="L102" s="58"/>
      <c r="M102" s="10"/>
      <c r="N102" s="141"/>
    </row>
    <row r="103" spans="1:14" ht="15.75">
      <c r="A103" s="2"/>
      <c r="B103" s="55" t="s">
        <v>72</v>
      </c>
      <c r="C103" s="56"/>
      <c r="D103" s="5"/>
      <c r="E103" s="5"/>
      <c r="F103" s="5"/>
      <c r="G103" s="5"/>
      <c r="H103" s="5"/>
      <c r="I103" s="5"/>
      <c r="J103" s="5"/>
      <c r="K103" s="5"/>
      <c r="L103" s="57"/>
      <c r="M103" s="5"/>
      <c r="N103" s="141"/>
    </row>
    <row r="104" spans="1:14" ht="15.75">
      <c r="A104" s="8"/>
      <c r="B104" s="22"/>
      <c r="C104" s="16"/>
      <c r="D104" s="10"/>
      <c r="E104" s="10"/>
      <c r="F104" s="10"/>
      <c r="G104" s="10"/>
      <c r="H104" s="10"/>
      <c r="I104" s="10"/>
      <c r="J104" s="10"/>
      <c r="K104" s="10"/>
      <c r="L104" s="58"/>
      <c r="M104" s="10"/>
      <c r="N104" s="141"/>
    </row>
    <row r="105" spans="1:14" ht="15.75">
      <c r="A105" s="8"/>
      <c r="B105" s="72" t="s">
        <v>73</v>
      </c>
      <c r="C105" s="16"/>
      <c r="D105" s="10"/>
      <c r="E105" s="10"/>
      <c r="F105" s="10"/>
      <c r="G105" s="10"/>
      <c r="H105" s="10"/>
      <c r="I105" s="10"/>
      <c r="J105" s="10"/>
      <c r="K105" s="10"/>
      <c r="L105" s="58"/>
      <c r="M105" s="10"/>
      <c r="N105" s="141"/>
    </row>
    <row r="106" spans="1:14" ht="15.75">
      <c r="A106" s="26"/>
      <c r="B106" s="27" t="s">
        <v>74</v>
      </c>
      <c r="C106" s="27"/>
      <c r="D106" s="27"/>
      <c r="E106" s="27"/>
      <c r="F106" s="27"/>
      <c r="G106" s="27"/>
      <c r="H106" s="27"/>
      <c r="I106" s="27"/>
      <c r="J106" s="27"/>
      <c r="K106" s="27"/>
      <c r="L106" s="62">
        <v>3698</v>
      </c>
      <c r="M106" s="27"/>
      <c r="N106" s="141"/>
    </row>
    <row r="107" spans="1:14" ht="15.75">
      <c r="A107" s="26"/>
      <c r="B107" s="27" t="s">
        <v>75</v>
      </c>
      <c r="C107" s="27"/>
      <c r="D107" s="27"/>
      <c r="E107" s="27"/>
      <c r="F107" s="27"/>
      <c r="G107" s="27"/>
      <c r="H107" s="27"/>
      <c r="I107" s="27"/>
      <c r="J107" s="27"/>
      <c r="K107" s="27"/>
      <c r="L107" s="62">
        <v>3698</v>
      </c>
      <c r="M107" s="27"/>
      <c r="N107" s="141"/>
    </row>
    <row r="108" spans="1:14" ht="15.75">
      <c r="A108" s="26"/>
      <c r="B108" s="27" t="s">
        <v>76</v>
      </c>
      <c r="C108" s="27"/>
      <c r="D108" s="27"/>
      <c r="E108" s="27"/>
      <c r="F108" s="27"/>
      <c r="G108" s="27"/>
      <c r="H108" s="27"/>
      <c r="I108" s="27"/>
      <c r="J108" s="27"/>
      <c r="K108" s="27"/>
      <c r="L108" s="62">
        <v>0</v>
      </c>
      <c r="M108" s="27"/>
      <c r="N108" s="141"/>
    </row>
    <row r="109" spans="1:14" ht="15.75">
      <c r="A109" s="26"/>
      <c r="B109" s="27" t="s">
        <v>77</v>
      </c>
      <c r="C109" s="27"/>
      <c r="D109" s="27"/>
      <c r="E109" s="27"/>
      <c r="F109" s="27"/>
      <c r="G109" s="27"/>
      <c r="H109" s="27"/>
      <c r="I109" s="27"/>
      <c r="J109" s="27"/>
      <c r="K109" s="27"/>
      <c r="L109" s="62">
        <v>0</v>
      </c>
      <c r="M109" s="27"/>
      <c r="N109" s="141"/>
    </row>
    <row r="110" spans="1:14" ht="15.75">
      <c r="A110" s="26"/>
      <c r="B110" s="27" t="s">
        <v>78</v>
      </c>
      <c r="C110" s="27"/>
      <c r="D110" s="27"/>
      <c r="E110" s="27"/>
      <c r="F110" s="27"/>
      <c r="G110" s="27"/>
      <c r="H110" s="27"/>
      <c r="I110" s="27"/>
      <c r="J110" s="27"/>
      <c r="K110" s="27"/>
      <c r="L110" s="62">
        <v>0</v>
      </c>
      <c r="M110" s="27"/>
      <c r="N110" s="141"/>
    </row>
    <row r="111" spans="1:14" ht="15.75">
      <c r="A111" s="26"/>
      <c r="B111" s="27" t="s">
        <v>55</v>
      </c>
      <c r="C111" s="27"/>
      <c r="D111" s="27"/>
      <c r="E111" s="27"/>
      <c r="F111" s="27"/>
      <c r="G111" s="27"/>
      <c r="H111" s="27"/>
      <c r="I111" s="27"/>
      <c r="J111" s="27"/>
      <c r="K111" s="27"/>
      <c r="L111" s="62">
        <v>0</v>
      </c>
      <c r="M111" s="27"/>
      <c r="N111" s="141"/>
    </row>
    <row r="112" spans="1:14" ht="15.75">
      <c r="A112" s="26"/>
      <c r="B112" s="27" t="s">
        <v>57</v>
      </c>
      <c r="C112" s="27"/>
      <c r="D112" s="27"/>
      <c r="E112" s="27"/>
      <c r="F112" s="27"/>
      <c r="G112" s="27"/>
      <c r="H112" s="27"/>
      <c r="I112" s="27"/>
      <c r="J112" s="27"/>
      <c r="K112" s="27"/>
      <c r="L112" s="62">
        <v>0</v>
      </c>
      <c r="M112" s="27"/>
      <c r="N112" s="141"/>
    </row>
    <row r="113" spans="1:14" ht="15.75">
      <c r="A113" s="26"/>
      <c r="B113" s="27" t="s">
        <v>79</v>
      </c>
      <c r="C113" s="27"/>
      <c r="D113" s="27"/>
      <c r="E113" s="27"/>
      <c r="F113" s="27"/>
      <c r="G113" s="27"/>
      <c r="H113" s="27"/>
      <c r="I113" s="27"/>
      <c r="J113" s="27"/>
      <c r="K113" s="27"/>
      <c r="L113" s="62">
        <f>SUM(L107:L111)</f>
        <v>3698</v>
      </c>
      <c r="M113" s="27"/>
      <c r="N113" s="141"/>
    </row>
    <row r="114" spans="1:14" ht="15.75">
      <c r="A114" s="26"/>
      <c r="B114" s="27"/>
      <c r="C114" s="27"/>
      <c r="D114" s="27"/>
      <c r="E114" s="27"/>
      <c r="F114" s="27"/>
      <c r="G114" s="27"/>
      <c r="H114" s="27"/>
      <c r="I114" s="27"/>
      <c r="J114" s="27"/>
      <c r="K114" s="27"/>
      <c r="L114" s="54"/>
      <c r="M114" s="27"/>
      <c r="N114" s="141"/>
    </row>
    <row r="115" spans="1:14" ht="15.75">
      <c r="A115" s="8"/>
      <c r="B115" s="72" t="s">
        <v>39</v>
      </c>
      <c r="C115" s="10"/>
      <c r="D115" s="10"/>
      <c r="E115" s="10"/>
      <c r="F115" s="10"/>
      <c r="G115" s="10"/>
      <c r="H115" s="10"/>
      <c r="I115" s="10"/>
      <c r="J115" s="10"/>
      <c r="K115" s="10"/>
      <c r="L115" s="58"/>
      <c r="M115" s="10"/>
      <c r="N115" s="141"/>
    </row>
    <row r="116" spans="1:14" ht="15.75">
      <c r="A116" s="26"/>
      <c r="B116" s="27" t="s">
        <v>80</v>
      </c>
      <c r="C116" s="27"/>
      <c r="D116" s="73"/>
      <c r="E116" s="27"/>
      <c r="F116" s="27"/>
      <c r="G116" s="27"/>
      <c r="H116" s="27"/>
      <c r="I116" s="27"/>
      <c r="J116" s="27"/>
      <c r="K116" s="27"/>
      <c r="L116" s="62">
        <f>1848891.08/1000</f>
        <v>1848.89108</v>
      </c>
      <c r="M116" s="27"/>
      <c r="N116" s="141"/>
    </row>
    <row r="117" spans="1:14" ht="15.75">
      <c r="A117" s="26"/>
      <c r="B117" s="27" t="s">
        <v>81</v>
      </c>
      <c r="C117" s="30"/>
      <c r="D117" s="30"/>
      <c r="E117" s="30"/>
      <c r="F117" s="30"/>
      <c r="G117" s="30"/>
      <c r="H117" s="30"/>
      <c r="I117" s="30"/>
      <c r="J117" s="30"/>
      <c r="K117" s="30"/>
      <c r="L117" s="63">
        <f>'March 01'!L117+'March 01'!L118</f>
        <v>1506</v>
      </c>
      <c r="M117" s="27"/>
      <c r="N117" s="141"/>
    </row>
    <row r="118" spans="1:14" ht="15.75">
      <c r="A118" s="26"/>
      <c r="B118" s="27" t="s">
        <v>82</v>
      </c>
      <c r="C118" s="27"/>
      <c r="D118" s="27"/>
      <c r="E118" s="27"/>
      <c r="F118" s="27"/>
      <c r="G118" s="27"/>
      <c r="H118" s="27"/>
      <c r="I118" s="27"/>
      <c r="J118" s="27"/>
      <c r="K118" s="27"/>
      <c r="L118" s="62">
        <f>-L90</f>
        <v>343</v>
      </c>
      <c r="M118" s="27"/>
      <c r="N118" s="141"/>
    </row>
    <row r="119" spans="1:14" ht="15.75">
      <c r="A119" s="26"/>
      <c r="B119" s="27" t="s">
        <v>83</v>
      </c>
      <c r="C119" s="27"/>
      <c r="D119" s="27"/>
      <c r="E119" s="27"/>
      <c r="F119" s="27"/>
      <c r="G119" s="27"/>
      <c r="H119" s="27"/>
      <c r="I119" s="27"/>
      <c r="J119" s="27"/>
      <c r="K119" s="27"/>
      <c r="L119" s="62">
        <f>L116-L117-L118</f>
        <v>-0.10891999999989821</v>
      </c>
      <c r="M119" s="27"/>
      <c r="N119" s="141"/>
    </row>
    <row r="120" spans="1:14" ht="15.75">
      <c r="A120" s="26"/>
      <c r="B120" s="27"/>
      <c r="C120" s="27"/>
      <c r="D120" s="27"/>
      <c r="E120" s="27"/>
      <c r="F120" s="27"/>
      <c r="G120" s="27"/>
      <c r="H120" s="27"/>
      <c r="I120" s="27"/>
      <c r="J120" s="27"/>
      <c r="K120" s="27"/>
      <c r="L120" s="54"/>
      <c r="M120" s="27"/>
      <c r="N120" s="141"/>
    </row>
    <row r="121" spans="1:14" ht="15.75">
      <c r="A121" s="8"/>
      <c r="B121" s="72" t="s">
        <v>84</v>
      </c>
      <c r="C121" s="16"/>
      <c r="D121" s="10"/>
      <c r="E121" s="10"/>
      <c r="F121" s="10"/>
      <c r="G121" s="10"/>
      <c r="H121" s="10"/>
      <c r="I121" s="10"/>
      <c r="J121" s="10"/>
      <c r="K121" s="10"/>
      <c r="L121" s="74"/>
      <c r="M121" s="10"/>
      <c r="N121" s="141"/>
    </row>
    <row r="122" spans="1:14" ht="15.75">
      <c r="A122" s="26"/>
      <c r="B122" s="27" t="s">
        <v>85</v>
      </c>
      <c r="C122" s="27"/>
      <c r="D122" s="27"/>
      <c r="E122" s="27"/>
      <c r="F122" s="27"/>
      <c r="G122" s="27"/>
      <c r="H122" s="27"/>
      <c r="I122" s="27"/>
      <c r="J122" s="27"/>
      <c r="K122" s="27"/>
      <c r="L122" s="62">
        <f>'March 01'!L126</f>
        <v>0</v>
      </c>
      <c r="M122" s="27"/>
      <c r="N122" s="141"/>
    </row>
    <row r="123" spans="1:14" ht="15.75">
      <c r="A123" s="26"/>
      <c r="B123" s="27" t="s">
        <v>86</v>
      </c>
      <c r="C123" s="27"/>
      <c r="D123" s="27"/>
      <c r="E123" s="27"/>
      <c r="F123" s="27"/>
      <c r="G123" s="27"/>
      <c r="H123" s="27"/>
      <c r="I123" s="27"/>
      <c r="J123" s="27"/>
      <c r="K123" s="27"/>
      <c r="L123" s="62">
        <v>334</v>
      </c>
      <c r="M123" s="27"/>
      <c r="N123" s="141"/>
    </row>
    <row r="124" spans="1:14" ht="15.75">
      <c r="A124" s="26"/>
      <c r="B124" s="27" t="s">
        <v>87</v>
      </c>
      <c r="C124" s="27"/>
      <c r="D124" s="27"/>
      <c r="E124" s="27"/>
      <c r="F124" s="27"/>
      <c r="G124" s="27"/>
      <c r="H124" s="27"/>
      <c r="I124" s="27"/>
      <c r="J124" s="27"/>
      <c r="K124" s="27"/>
      <c r="L124" s="62">
        <f>L123+L122</f>
        <v>334</v>
      </c>
      <c r="M124" s="27"/>
      <c r="N124" s="141"/>
    </row>
    <row r="125" spans="1:14" ht="15.75">
      <c r="A125" s="26"/>
      <c r="B125" s="27" t="s">
        <v>88</v>
      </c>
      <c r="C125" s="27"/>
      <c r="D125" s="27"/>
      <c r="E125" s="27"/>
      <c r="F125" s="27"/>
      <c r="G125" s="27"/>
      <c r="H125" s="75"/>
      <c r="I125" s="27"/>
      <c r="J125" s="27"/>
      <c r="K125" s="27"/>
      <c r="L125" s="62">
        <v>-334</v>
      </c>
      <c r="M125" s="27"/>
      <c r="N125" s="141"/>
    </row>
    <row r="126" spans="1:14" ht="15.75">
      <c r="A126" s="26"/>
      <c r="B126" s="27" t="s">
        <v>89</v>
      </c>
      <c r="C126" s="27"/>
      <c r="D126" s="27"/>
      <c r="E126" s="27"/>
      <c r="F126" s="27"/>
      <c r="G126" s="27"/>
      <c r="H126" s="27"/>
      <c r="I126" s="27"/>
      <c r="J126" s="27"/>
      <c r="K126" s="27"/>
      <c r="L126" s="62">
        <f>L124+L125</f>
        <v>0</v>
      </c>
      <c r="M126" s="27"/>
      <c r="N126" s="141"/>
    </row>
    <row r="127" spans="1:14" ht="15.75">
      <c r="A127" s="26"/>
      <c r="B127" s="27"/>
      <c r="C127" s="27"/>
      <c r="D127" s="27"/>
      <c r="E127" s="27"/>
      <c r="F127" s="27"/>
      <c r="G127" s="27"/>
      <c r="H127" s="27"/>
      <c r="I127" s="27"/>
      <c r="J127" s="27"/>
      <c r="K127" s="27"/>
      <c r="L127" s="54"/>
      <c r="M127" s="27"/>
      <c r="N127" s="141"/>
    </row>
    <row r="128" spans="1:14" ht="15.75">
      <c r="A128" s="2"/>
      <c r="B128" s="5"/>
      <c r="C128" s="5"/>
      <c r="D128" s="5"/>
      <c r="E128" s="5"/>
      <c r="F128" s="5"/>
      <c r="G128" s="5"/>
      <c r="H128" s="5"/>
      <c r="I128" s="5"/>
      <c r="J128" s="5"/>
      <c r="K128" s="5"/>
      <c r="L128" s="57"/>
      <c r="M128" s="5"/>
      <c r="N128" s="141"/>
    </row>
    <row r="129" spans="1:14" ht="15.75">
      <c r="A129" s="8"/>
      <c r="B129" s="72" t="s">
        <v>90</v>
      </c>
      <c r="C129" s="16"/>
      <c r="D129" s="10"/>
      <c r="E129" s="10"/>
      <c r="F129" s="10"/>
      <c r="G129" s="10"/>
      <c r="H129" s="10"/>
      <c r="I129" s="10"/>
      <c r="J129" s="10"/>
      <c r="K129" s="10"/>
      <c r="L129" s="58"/>
      <c r="M129" s="10"/>
      <c r="N129" s="141"/>
    </row>
    <row r="130" spans="1:14" ht="15.75">
      <c r="A130" s="8"/>
      <c r="B130" s="22"/>
      <c r="C130" s="16"/>
      <c r="D130" s="10"/>
      <c r="E130" s="10"/>
      <c r="F130" s="10"/>
      <c r="G130" s="10"/>
      <c r="H130" s="10"/>
      <c r="I130" s="10"/>
      <c r="J130" s="10"/>
      <c r="K130" s="10"/>
      <c r="L130" s="58"/>
      <c r="M130" s="10"/>
      <c r="N130" s="141"/>
    </row>
    <row r="131" spans="1:14" ht="15.75">
      <c r="A131" s="26"/>
      <c r="B131" s="27" t="s">
        <v>91</v>
      </c>
      <c r="C131" s="76"/>
      <c r="D131" s="27"/>
      <c r="E131" s="27"/>
      <c r="F131" s="27"/>
      <c r="G131" s="27"/>
      <c r="H131" s="27"/>
      <c r="I131" s="27"/>
      <c r="J131" s="27"/>
      <c r="K131" s="27"/>
      <c r="L131" s="62">
        <f>L55</f>
        <v>91162</v>
      </c>
      <c r="M131" s="27"/>
      <c r="N131" s="141"/>
    </row>
    <row r="132" spans="1:14" ht="15.75">
      <c r="A132" s="26"/>
      <c r="B132" s="27" t="s">
        <v>92</v>
      </c>
      <c r="C132" s="76"/>
      <c r="D132" s="27"/>
      <c r="E132" s="27"/>
      <c r="F132" s="27"/>
      <c r="G132" s="27"/>
      <c r="H132" s="27"/>
      <c r="I132" s="27"/>
      <c r="J132" s="27"/>
      <c r="K132" s="27"/>
      <c r="L132" s="62">
        <f>L67</f>
        <v>80101</v>
      </c>
      <c r="M132" s="27"/>
      <c r="N132" s="141"/>
    </row>
    <row r="133" spans="1:14" ht="15.75">
      <c r="A133" s="26"/>
      <c r="B133" s="27"/>
      <c r="C133" s="27"/>
      <c r="D133" s="27"/>
      <c r="E133" s="27"/>
      <c r="F133" s="27"/>
      <c r="G133" s="27"/>
      <c r="H133" s="27"/>
      <c r="I133" s="27"/>
      <c r="J133" s="27"/>
      <c r="K133" s="27"/>
      <c r="L133" s="54"/>
      <c r="M133" s="27"/>
      <c r="N133" s="141"/>
    </row>
    <row r="134" spans="1:14" ht="15.75">
      <c r="A134" s="2"/>
      <c r="B134" s="5"/>
      <c r="C134" s="5"/>
      <c r="D134" s="5"/>
      <c r="E134" s="5"/>
      <c r="F134" s="5"/>
      <c r="G134" s="5"/>
      <c r="H134" s="5"/>
      <c r="I134" s="5"/>
      <c r="J134" s="5"/>
      <c r="K134" s="5"/>
      <c r="L134" s="57"/>
      <c r="M134" s="5"/>
      <c r="N134" s="141"/>
    </row>
    <row r="135" spans="1:14" ht="15.75">
      <c r="A135" s="8"/>
      <c r="B135" s="72" t="s">
        <v>93</v>
      </c>
      <c r="C135" s="16"/>
      <c r="D135" s="10"/>
      <c r="E135" s="10"/>
      <c r="F135" s="10"/>
      <c r="G135" s="10"/>
      <c r="H135" s="77" t="s">
        <v>170</v>
      </c>
      <c r="I135" s="77"/>
      <c r="J135" s="77" t="s">
        <v>182</v>
      </c>
      <c r="K135" s="12"/>
      <c r="L135" s="78" t="s">
        <v>197</v>
      </c>
      <c r="M135" s="10"/>
      <c r="N135" s="141"/>
    </row>
    <row r="136" spans="1:14" ht="15.75">
      <c r="A136" s="26"/>
      <c r="B136" s="27" t="s">
        <v>94</v>
      </c>
      <c r="C136" s="27"/>
      <c r="D136" s="27"/>
      <c r="E136" s="27"/>
      <c r="F136" s="27"/>
      <c r="G136" s="27"/>
      <c r="H136" s="62">
        <v>31500</v>
      </c>
      <c r="I136" s="27"/>
      <c r="J136" s="47" t="s">
        <v>183</v>
      </c>
      <c r="K136" s="27"/>
      <c r="L136" s="62"/>
      <c r="M136" s="27"/>
      <c r="N136" s="141"/>
    </row>
    <row r="137" spans="1:14" ht="15.75">
      <c r="A137" s="26"/>
      <c r="B137" s="27" t="s">
        <v>95</v>
      </c>
      <c r="C137" s="27"/>
      <c r="D137" s="27"/>
      <c r="E137" s="27"/>
      <c r="F137" s="27"/>
      <c r="G137" s="27"/>
      <c r="H137" s="62">
        <v>1010</v>
      </c>
      <c r="I137" s="27"/>
      <c r="J137" s="27">
        <v>23</v>
      </c>
      <c r="K137" s="27"/>
      <c r="L137" s="62">
        <f>J137+H137</f>
        <v>1033</v>
      </c>
      <c r="M137" s="27"/>
      <c r="N137" s="141"/>
    </row>
    <row r="138" spans="1:14" ht="15.75">
      <c r="A138" s="26"/>
      <c r="B138" s="27" t="s">
        <v>96</v>
      </c>
      <c r="C138" s="27"/>
      <c r="D138" s="27"/>
      <c r="E138" s="27"/>
      <c r="F138" s="27"/>
      <c r="G138" s="27"/>
      <c r="H138" s="62">
        <v>299</v>
      </c>
      <c r="I138" s="27"/>
      <c r="J138" s="38">
        <v>0</v>
      </c>
      <c r="K138" s="27"/>
      <c r="L138" s="62">
        <f>J138+H138</f>
        <v>299</v>
      </c>
      <c r="M138" s="27"/>
      <c r="N138" s="141"/>
    </row>
    <row r="139" spans="1:14" ht="15.75">
      <c r="A139" s="26"/>
      <c r="B139" s="27" t="s">
        <v>97</v>
      </c>
      <c r="C139" s="27"/>
      <c r="D139" s="27"/>
      <c r="E139" s="27"/>
      <c r="F139" s="27"/>
      <c r="G139" s="27"/>
      <c r="H139" s="62">
        <f>H138+H137</f>
        <v>1309</v>
      </c>
      <c r="I139" s="27"/>
      <c r="J139" s="62">
        <f>J138+J137</f>
        <v>23</v>
      </c>
      <c r="K139" s="27"/>
      <c r="L139" s="62">
        <f>J139+H139</f>
        <v>1332</v>
      </c>
      <c r="M139" s="27"/>
      <c r="N139" s="141"/>
    </row>
    <row r="140" spans="1:14" ht="15.75">
      <c r="A140" s="26"/>
      <c r="B140" s="27" t="s">
        <v>98</v>
      </c>
      <c r="C140" s="27"/>
      <c r="D140" s="27"/>
      <c r="E140" s="27"/>
      <c r="F140" s="27"/>
      <c r="G140" s="27"/>
      <c r="H140" s="62">
        <f>H136-H139</f>
        <v>30191</v>
      </c>
      <c r="I140" s="27"/>
      <c r="J140" s="47" t="s">
        <v>183</v>
      </c>
      <c r="K140" s="27"/>
      <c r="L140" s="62"/>
      <c r="M140" s="27"/>
      <c r="N140" s="141"/>
    </row>
    <row r="141" spans="1:14" ht="15.75">
      <c r="A141" s="26"/>
      <c r="B141" s="27"/>
      <c r="C141" s="27"/>
      <c r="D141" s="27"/>
      <c r="E141" s="27"/>
      <c r="F141" s="27"/>
      <c r="G141" s="27"/>
      <c r="H141" s="27"/>
      <c r="I141" s="27"/>
      <c r="J141" s="27"/>
      <c r="K141" s="27"/>
      <c r="L141" s="54"/>
      <c r="M141" s="27"/>
      <c r="N141" s="141"/>
    </row>
    <row r="142" spans="1:14" ht="15.75">
      <c r="A142" s="2"/>
      <c r="B142" s="5"/>
      <c r="C142" s="5"/>
      <c r="D142" s="5"/>
      <c r="E142" s="5"/>
      <c r="F142" s="5"/>
      <c r="G142" s="5"/>
      <c r="H142" s="5"/>
      <c r="I142" s="5"/>
      <c r="J142" s="5"/>
      <c r="K142" s="5"/>
      <c r="L142" s="57"/>
      <c r="M142" s="5"/>
      <c r="N142" s="141"/>
    </row>
    <row r="143" spans="1:14" ht="15.75">
      <c r="A143" s="8"/>
      <c r="B143" s="72" t="s">
        <v>99</v>
      </c>
      <c r="C143" s="16"/>
      <c r="D143" s="10"/>
      <c r="E143" s="10"/>
      <c r="F143" s="10"/>
      <c r="G143" s="10"/>
      <c r="H143" s="10"/>
      <c r="I143" s="10"/>
      <c r="J143" s="10"/>
      <c r="K143" s="10"/>
      <c r="L143" s="79"/>
      <c r="M143" s="10"/>
      <c r="N143" s="141"/>
    </row>
    <row r="144" spans="1:14" ht="15.75">
      <c r="A144" s="26"/>
      <c r="B144" s="27" t="s">
        <v>100</v>
      </c>
      <c r="C144" s="27"/>
      <c r="D144" s="27"/>
      <c r="E144" s="27"/>
      <c r="F144" s="27"/>
      <c r="G144" s="27"/>
      <c r="H144" s="27"/>
      <c r="I144" s="27"/>
      <c r="J144" s="27"/>
      <c r="K144" s="27"/>
      <c r="L144" s="71">
        <f>SUM(L77:L82)/-L83</f>
        <v>3.8401305057096247</v>
      </c>
      <c r="M144" s="27" t="s">
        <v>198</v>
      </c>
      <c r="N144" s="141"/>
    </row>
    <row r="145" spans="1:14" ht="15.75">
      <c r="A145" s="26"/>
      <c r="B145" s="27" t="s">
        <v>101</v>
      </c>
      <c r="C145" s="27"/>
      <c r="D145" s="27"/>
      <c r="E145" s="27"/>
      <c r="F145" s="27"/>
      <c r="G145" s="27"/>
      <c r="H145" s="27"/>
      <c r="I145" s="27"/>
      <c r="J145" s="27"/>
      <c r="K145" s="27"/>
      <c r="L145" s="71">
        <v>1.78</v>
      </c>
      <c r="M145" s="27" t="s">
        <v>198</v>
      </c>
      <c r="N145" s="141"/>
    </row>
    <row r="146" spans="1:14" ht="15.75">
      <c r="A146" s="26"/>
      <c r="B146" s="27" t="s">
        <v>102</v>
      </c>
      <c r="C146" s="27"/>
      <c r="D146" s="27"/>
      <c r="E146" s="27"/>
      <c r="F146" s="27"/>
      <c r="G146" s="27"/>
      <c r="H146" s="27"/>
      <c r="I146" s="27"/>
      <c r="J146" s="27"/>
      <c r="K146" s="27"/>
      <c r="L146" s="71">
        <f>SUM(L77:L84)/-L85</f>
        <v>3.5614754098360657</v>
      </c>
      <c r="M146" s="27" t="s">
        <v>198</v>
      </c>
      <c r="N146" s="141"/>
    </row>
    <row r="147" spans="1:14" ht="15.75">
      <c r="A147" s="26"/>
      <c r="B147" s="27" t="s">
        <v>103</v>
      </c>
      <c r="C147" s="27"/>
      <c r="D147" s="27"/>
      <c r="E147" s="27"/>
      <c r="F147" s="27"/>
      <c r="G147" s="27"/>
      <c r="H147" s="27"/>
      <c r="I147" s="27"/>
      <c r="J147" s="27"/>
      <c r="K147" s="27"/>
      <c r="L147" s="71">
        <v>2.08</v>
      </c>
      <c r="M147" s="27" t="s">
        <v>198</v>
      </c>
      <c r="N147" s="141"/>
    </row>
    <row r="148" spans="1:14" ht="15.75">
      <c r="A148" s="26"/>
      <c r="B148" s="27" t="s">
        <v>104</v>
      </c>
      <c r="C148" s="27"/>
      <c r="D148" s="27"/>
      <c r="E148" s="27"/>
      <c r="F148" s="27"/>
      <c r="G148" s="27"/>
      <c r="H148" s="27"/>
      <c r="I148" s="27"/>
      <c r="J148" s="27"/>
      <c r="K148" s="27"/>
      <c r="L148" s="71">
        <f>SUM(L77:L85)/-L86</f>
        <v>7.763975155279503</v>
      </c>
      <c r="M148" s="27" t="s">
        <v>198</v>
      </c>
      <c r="N148" s="141"/>
    </row>
    <row r="149" spans="1:14" ht="15.75">
      <c r="A149" s="26"/>
      <c r="B149" s="27" t="s">
        <v>105</v>
      </c>
      <c r="C149" s="27"/>
      <c r="D149" s="27"/>
      <c r="E149" s="27"/>
      <c r="F149" s="27"/>
      <c r="G149" s="27"/>
      <c r="H149" s="27"/>
      <c r="I149" s="27"/>
      <c r="J149" s="27"/>
      <c r="K149" s="27"/>
      <c r="L149" s="71">
        <v>3.29</v>
      </c>
      <c r="M149" s="27" t="s">
        <v>198</v>
      </c>
      <c r="N149" s="141"/>
    </row>
    <row r="150" spans="1:14" ht="15.75">
      <c r="A150" s="26"/>
      <c r="B150" s="27"/>
      <c r="C150" s="27"/>
      <c r="D150" s="27"/>
      <c r="E150" s="27"/>
      <c r="F150" s="27"/>
      <c r="G150" s="27"/>
      <c r="H150" s="27"/>
      <c r="I150" s="27"/>
      <c r="J150" s="27"/>
      <c r="K150" s="27"/>
      <c r="L150" s="27"/>
      <c r="M150" s="27"/>
      <c r="N150" s="141"/>
    </row>
    <row r="151" spans="1:14" ht="15.75">
      <c r="A151" s="8"/>
      <c r="B151" s="15"/>
      <c r="C151" s="15"/>
      <c r="D151" s="15"/>
      <c r="E151" s="15"/>
      <c r="F151" s="15"/>
      <c r="G151" s="15"/>
      <c r="H151" s="15"/>
      <c r="I151" s="15"/>
      <c r="J151" s="15"/>
      <c r="K151" s="15"/>
      <c r="L151" s="15"/>
      <c r="M151" s="15"/>
      <c r="N151" s="141"/>
    </row>
    <row r="152" spans="1:14" ht="15.75">
      <c r="A152" s="139"/>
      <c r="B152" s="55" t="s">
        <v>106</v>
      </c>
      <c r="C152" s="83"/>
      <c r="D152" s="83"/>
      <c r="E152" s="83"/>
      <c r="F152" s="83"/>
      <c r="G152" s="84"/>
      <c r="H152" s="84"/>
      <c r="I152" s="84"/>
      <c r="J152" s="84">
        <v>37072</v>
      </c>
      <c r="K152" s="5"/>
      <c r="L152" s="5"/>
      <c r="M152" s="5"/>
      <c r="N152" s="141"/>
    </row>
    <row r="153" spans="1:14" ht="15.75">
      <c r="A153" s="86"/>
      <c r="B153" s="87"/>
      <c r="C153" s="88"/>
      <c r="D153" s="88"/>
      <c r="E153" s="88"/>
      <c r="F153" s="88"/>
      <c r="G153" s="89"/>
      <c r="H153" s="89"/>
      <c r="I153" s="89"/>
      <c r="J153" s="89"/>
      <c r="K153" s="10"/>
      <c r="L153" s="10"/>
      <c r="M153" s="10"/>
      <c r="N153" s="141"/>
    </row>
    <row r="154" spans="1:14" ht="15.75">
      <c r="A154" s="90"/>
      <c r="B154" s="91" t="s">
        <v>107</v>
      </c>
      <c r="C154" s="92"/>
      <c r="D154" s="92"/>
      <c r="E154" s="92"/>
      <c r="F154" s="92"/>
      <c r="G154" s="75"/>
      <c r="H154" s="75"/>
      <c r="I154" s="75"/>
      <c r="J154" s="93">
        <v>0.104</v>
      </c>
      <c r="K154" s="27"/>
      <c r="L154" s="27"/>
      <c r="M154" s="27"/>
      <c r="N154" s="141"/>
    </row>
    <row r="155" spans="1:14" ht="15.75">
      <c r="A155" s="90"/>
      <c r="B155" s="91" t="s">
        <v>108</v>
      </c>
      <c r="C155" s="92"/>
      <c r="D155" s="92"/>
      <c r="E155" s="92"/>
      <c r="F155" s="92"/>
      <c r="G155" s="75"/>
      <c r="H155" s="75"/>
      <c r="I155" s="75"/>
      <c r="J155" s="46">
        <v>0.093</v>
      </c>
      <c r="K155" s="27"/>
      <c r="L155" s="27"/>
      <c r="M155" s="27"/>
      <c r="N155" s="141"/>
    </row>
    <row r="156" spans="1:14" ht="15.75">
      <c r="A156" s="90"/>
      <c r="B156" s="91" t="s">
        <v>109</v>
      </c>
      <c r="C156" s="92"/>
      <c r="D156" s="92"/>
      <c r="E156" s="92"/>
      <c r="F156" s="92"/>
      <c r="G156" s="75"/>
      <c r="H156" s="75"/>
      <c r="I156" s="75"/>
      <c r="J156" s="93">
        <f>J154-J155</f>
        <v>0.010999999999999996</v>
      </c>
      <c r="K156" s="27"/>
      <c r="L156" s="27"/>
      <c r="M156" s="27"/>
      <c r="N156" s="141"/>
    </row>
    <row r="157" spans="1:14" ht="15.75">
      <c r="A157" s="90"/>
      <c r="B157" s="91" t="s">
        <v>110</v>
      </c>
      <c r="C157" s="92"/>
      <c r="D157" s="92"/>
      <c r="E157" s="92"/>
      <c r="F157" s="92"/>
      <c r="G157" s="75"/>
      <c r="H157" s="75"/>
      <c r="I157" s="75"/>
      <c r="J157" s="93">
        <v>0.08719</v>
      </c>
      <c r="K157" s="27"/>
      <c r="L157" s="27"/>
      <c r="M157" s="27"/>
      <c r="N157" s="141"/>
    </row>
    <row r="158" spans="1:14" ht="15.75">
      <c r="A158" s="90"/>
      <c r="B158" s="91" t="s">
        <v>111</v>
      </c>
      <c r="C158" s="92"/>
      <c r="D158" s="92"/>
      <c r="E158" s="92"/>
      <c r="F158" s="92"/>
      <c r="G158" s="75"/>
      <c r="H158" s="75"/>
      <c r="I158" s="75"/>
      <c r="J158" s="93">
        <f>L31</f>
        <v>0.058767533405979074</v>
      </c>
      <c r="K158" s="27"/>
      <c r="L158" s="27"/>
      <c r="M158" s="27"/>
      <c r="N158" s="141"/>
    </row>
    <row r="159" spans="1:14" ht="15.75">
      <c r="A159" s="90"/>
      <c r="B159" s="91" t="s">
        <v>112</v>
      </c>
      <c r="C159" s="92"/>
      <c r="D159" s="92"/>
      <c r="E159" s="92"/>
      <c r="F159" s="92"/>
      <c r="G159" s="75"/>
      <c r="H159" s="75"/>
      <c r="I159" s="75"/>
      <c r="J159" s="93">
        <f>J157-J158</f>
        <v>0.02842246659402093</v>
      </c>
      <c r="K159" s="27"/>
      <c r="L159" s="27"/>
      <c r="M159" s="27"/>
      <c r="N159" s="141"/>
    </row>
    <row r="160" spans="1:14" ht="15.75">
      <c r="A160" s="90"/>
      <c r="B160" s="91" t="s">
        <v>113</v>
      </c>
      <c r="C160" s="92"/>
      <c r="D160" s="92"/>
      <c r="E160" s="92"/>
      <c r="F160" s="92"/>
      <c r="G160" s="75"/>
      <c r="H160" s="75"/>
      <c r="I160" s="75"/>
      <c r="J160" s="94" t="s">
        <v>184</v>
      </c>
      <c r="K160" s="27"/>
      <c r="L160" s="27"/>
      <c r="M160" s="27"/>
      <c r="N160" s="141"/>
    </row>
    <row r="161" spans="1:14" ht="15.75">
      <c r="A161" s="90"/>
      <c r="B161" s="91" t="s">
        <v>114</v>
      </c>
      <c r="C161" s="92"/>
      <c r="D161" s="92"/>
      <c r="E161" s="92"/>
      <c r="F161" s="92"/>
      <c r="G161" s="75"/>
      <c r="H161" s="75"/>
      <c r="I161" s="75"/>
      <c r="J161" s="95">
        <v>17.6</v>
      </c>
      <c r="K161" s="27" t="s">
        <v>189</v>
      </c>
      <c r="L161" s="27"/>
      <c r="M161" s="27"/>
      <c r="N161" s="141"/>
    </row>
    <row r="162" spans="1:14" ht="15.75">
      <c r="A162" s="90"/>
      <c r="B162" s="91" t="s">
        <v>115</v>
      </c>
      <c r="C162" s="92"/>
      <c r="D162" s="92"/>
      <c r="E162" s="92"/>
      <c r="F162" s="92"/>
      <c r="G162" s="75"/>
      <c r="H162" s="75"/>
      <c r="I162" s="75"/>
      <c r="J162" s="95">
        <v>14.822</v>
      </c>
      <c r="K162" s="27" t="s">
        <v>189</v>
      </c>
      <c r="L162" s="27"/>
      <c r="M162" s="27"/>
      <c r="N162" s="141"/>
    </row>
    <row r="163" spans="1:14" ht="15.75">
      <c r="A163" s="90"/>
      <c r="B163" s="91" t="s">
        <v>116</v>
      </c>
      <c r="C163" s="92"/>
      <c r="D163" s="92"/>
      <c r="E163" s="92"/>
      <c r="F163" s="92"/>
      <c r="G163" s="75"/>
      <c r="H163" s="75"/>
      <c r="I163" s="75"/>
      <c r="J163" s="93">
        <f>F55/D55*4</f>
        <v>0.23829681532617808</v>
      </c>
      <c r="K163" s="27"/>
      <c r="L163" s="27"/>
      <c r="M163" s="27"/>
      <c r="N163" s="141"/>
    </row>
    <row r="164" spans="1:14" ht="15.75">
      <c r="A164" s="90"/>
      <c r="B164" s="91"/>
      <c r="C164" s="91"/>
      <c r="D164" s="91"/>
      <c r="E164" s="91"/>
      <c r="F164" s="91"/>
      <c r="G164" s="27"/>
      <c r="H164" s="27"/>
      <c r="I164" s="27"/>
      <c r="J164" s="54"/>
      <c r="K164" s="27"/>
      <c r="L164" s="96"/>
      <c r="M164" s="27"/>
      <c r="N164" s="141"/>
    </row>
    <row r="165" spans="1:14" ht="15.75">
      <c r="A165" s="97"/>
      <c r="B165" s="17" t="s">
        <v>117</v>
      </c>
      <c r="C165" s="20"/>
      <c r="D165" s="98"/>
      <c r="E165" s="20"/>
      <c r="F165" s="98"/>
      <c r="G165" s="20"/>
      <c r="H165" s="98"/>
      <c r="I165" s="20" t="s">
        <v>171</v>
      </c>
      <c r="J165" s="98" t="s">
        <v>185</v>
      </c>
      <c r="K165" s="18"/>
      <c r="L165" s="18"/>
      <c r="M165" s="10"/>
      <c r="N165" s="141"/>
    </row>
    <row r="166" spans="1:14" ht="15.75">
      <c r="A166" s="99"/>
      <c r="B166" s="91" t="s">
        <v>118</v>
      </c>
      <c r="C166" s="63"/>
      <c r="D166" s="63"/>
      <c r="E166" s="63"/>
      <c r="F166" s="27"/>
      <c r="G166" s="27"/>
      <c r="H166" s="27"/>
      <c r="I166" s="27">
        <v>246</v>
      </c>
      <c r="J166" s="100">
        <v>18459</v>
      </c>
      <c r="K166" s="27"/>
      <c r="L166" s="96"/>
      <c r="M166" s="101"/>
      <c r="N166" s="141"/>
    </row>
    <row r="167" spans="1:14" ht="15.75">
      <c r="A167" s="99"/>
      <c r="B167" s="91" t="s">
        <v>119</v>
      </c>
      <c r="C167" s="63"/>
      <c r="D167" s="63"/>
      <c r="E167" s="63"/>
      <c r="F167" s="27"/>
      <c r="G167" s="27"/>
      <c r="H167" s="27"/>
      <c r="I167" s="27">
        <v>13</v>
      </c>
      <c r="J167" s="100">
        <v>1411</v>
      </c>
      <c r="K167" s="27"/>
      <c r="L167" s="96"/>
      <c r="M167" s="101"/>
      <c r="N167" s="141"/>
    </row>
    <row r="168" spans="1:14" ht="15.75">
      <c r="A168" s="99"/>
      <c r="B168" s="102" t="s">
        <v>120</v>
      </c>
      <c r="C168" s="63"/>
      <c r="D168" s="63"/>
      <c r="E168" s="63"/>
      <c r="F168" s="27"/>
      <c r="G168" s="27"/>
      <c r="H168" s="27"/>
      <c r="I168" s="27">
        <v>1</v>
      </c>
      <c r="J168" s="100">
        <v>70</v>
      </c>
      <c r="K168" s="27"/>
      <c r="L168" s="96"/>
      <c r="M168" s="101"/>
      <c r="N168" s="141"/>
    </row>
    <row r="169" spans="1:14" ht="15.75">
      <c r="A169" s="99"/>
      <c r="B169" s="102" t="s">
        <v>121</v>
      </c>
      <c r="C169" s="63"/>
      <c r="D169" s="63"/>
      <c r="E169" s="63"/>
      <c r="F169" s="27"/>
      <c r="G169" s="27"/>
      <c r="H169" s="27"/>
      <c r="I169" s="27"/>
      <c r="J169" s="103" t="s">
        <v>186</v>
      </c>
      <c r="K169" s="27"/>
      <c r="L169" s="96"/>
      <c r="M169" s="101"/>
      <c r="N169" s="141"/>
    </row>
    <row r="170" spans="1:14" ht="15.75">
      <c r="A170" s="104"/>
      <c r="B170" s="102" t="s">
        <v>122</v>
      </c>
      <c r="C170" s="63"/>
      <c r="D170" s="91"/>
      <c r="E170" s="91"/>
      <c r="F170" s="91"/>
      <c r="G170" s="27"/>
      <c r="H170" s="27"/>
      <c r="I170" s="27"/>
      <c r="J170" s="103"/>
      <c r="K170" s="27"/>
      <c r="L170" s="96"/>
      <c r="M170" s="105"/>
      <c r="N170" s="141"/>
    </row>
    <row r="171" spans="1:14" ht="15.75">
      <c r="A171" s="99"/>
      <c r="B171" s="91" t="s">
        <v>123</v>
      </c>
      <c r="C171" s="63"/>
      <c r="D171" s="63"/>
      <c r="E171" s="63"/>
      <c r="F171" s="63"/>
      <c r="G171" s="27"/>
      <c r="H171" s="27"/>
      <c r="I171" s="27">
        <f>146-133</f>
        <v>13</v>
      </c>
      <c r="J171" s="100">
        <v>334</v>
      </c>
      <c r="K171" s="27"/>
      <c r="L171" s="96"/>
      <c r="M171" s="105"/>
      <c r="N171" s="141"/>
    </row>
    <row r="172" spans="1:14" ht="15.75">
      <c r="A172" s="99"/>
      <c r="B172" s="91" t="s">
        <v>124</v>
      </c>
      <c r="C172" s="63"/>
      <c r="D172" s="63"/>
      <c r="E172" s="63"/>
      <c r="F172" s="63"/>
      <c r="G172" s="27"/>
      <c r="H172" s="27"/>
      <c r="I172" s="27">
        <v>146</v>
      </c>
      <c r="J172" s="100">
        <v>3421</v>
      </c>
      <c r="K172" s="27"/>
      <c r="L172" s="96"/>
      <c r="M172" s="105"/>
      <c r="N172" s="141"/>
    </row>
    <row r="173" spans="1:14" ht="15.75">
      <c r="A173" s="99"/>
      <c r="B173" s="91" t="s">
        <v>208</v>
      </c>
      <c r="C173" s="63"/>
      <c r="D173" s="63"/>
      <c r="E173" s="63"/>
      <c r="F173" s="63"/>
      <c r="G173" s="27"/>
      <c r="H173" s="27"/>
      <c r="I173" s="27"/>
      <c r="J173" s="100">
        <v>12</v>
      </c>
      <c r="K173" s="27"/>
      <c r="L173" s="96"/>
      <c r="M173" s="105"/>
      <c r="N173" s="141"/>
    </row>
    <row r="174" spans="1:14" ht="15.75">
      <c r="A174" s="104"/>
      <c r="B174" s="102" t="s">
        <v>125</v>
      </c>
      <c r="C174" s="63"/>
      <c r="D174" s="91"/>
      <c r="E174" s="91"/>
      <c r="F174" s="91"/>
      <c r="G174" s="27"/>
      <c r="H174" s="27"/>
      <c r="I174" s="27"/>
      <c r="J174" s="100"/>
      <c r="K174" s="27"/>
      <c r="L174" s="96"/>
      <c r="M174" s="105"/>
      <c r="N174" s="141"/>
    </row>
    <row r="175" spans="1:14" ht="15.75">
      <c r="A175" s="104"/>
      <c r="B175" s="91" t="s">
        <v>126</v>
      </c>
      <c r="C175" s="63"/>
      <c r="D175" s="91"/>
      <c r="E175" s="91"/>
      <c r="F175" s="91"/>
      <c r="G175" s="27"/>
      <c r="H175" s="27"/>
      <c r="I175" s="27">
        <v>9</v>
      </c>
      <c r="J175" s="100">
        <v>870</v>
      </c>
      <c r="K175" s="27"/>
      <c r="L175" s="96"/>
      <c r="M175" s="105"/>
      <c r="N175" s="141"/>
    </row>
    <row r="176" spans="1:14" ht="15.75">
      <c r="A176" s="99"/>
      <c r="B176" s="91" t="s">
        <v>127</v>
      </c>
      <c r="C176" s="63"/>
      <c r="D176" s="106"/>
      <c r="E176" s="106"/>
      <c r="F176" s="107"/>
      <c r="G176" s="27"/>
      <c r="H176" s="27"/>
      <c r="I176" s="27"/>
      <c r="J176" s="103">
        <v>27.747</v>
      </c>
      <c r="K176" s="27"/>
      <c r="L176" s="96"/>
      <c r="M176" s="105"/>
      <c r="N176" s="141"/>
    </row>
    <row r="177" spans="1:14" ht="15.75">
      <c r="A177" s="99"/>
      <c r="B177" s="91" t="s">
        <v>128</v>
      </c>
      <c r="C177" s="63"/>
      <c r="D177" s="106"/>
      <c r="E177" s="106"/>
      <c r="F177" s="107"/>
      <c r="G177" s="27"/>
      <c r="H177" s="27"/>
      <c r="I177" s="27"/>
      <c r="J177" s="103">
        <v>6.44</v>
      </c>
      <c r="K177" s="27"/>
      <c r="L177" s="96"/>
      <c r="M177" s="105"/>
      <c r="N177" s="141"/>
    </row>
    <row r="178" spans="1:14" ht="15.75">
      <c r="A178" s="99"/>
      <c r="B178" s="91" t="s">
        <v>129</v>
      </c>
      <c r="C178" s="63"/>
      <c r="D178" s="109"/>
      <c r="E178" s="106"/>
      <c r="F178" s="107"/>
      <c r="G178" s="27"/>
      <c r="H178" s="27"/>
      <c r="I178" s="27"/>
      <c r="J178" s="110">
        <v>1.0783</v>
      </c>
      <c r="K178" s="27"/>
      <c r="L178" s="96"/>
      <c r="M178" s="105"/>
      <c r="N178" s="141"/>
    </row>
    <row r="179" spans="1:14" ht="15.75">
      <c r="A179" s="99"/>
      <c r="B179" s="91"/>
      <c r="C179" s="63"/>
      <c r="D179" s="109"/>
      <c r="E179" s="106"/>
      <c r="F179" s="107"/>
      <c r="G179" s="27"/>
      <c r="H179" s="27"/>
      <c r="I179" s="27"/>
      <c r="J179" s="110"/>
      <c r="K179" s="27"/>
      <c r="L179" s="96"/>
      <c r="M179" s="105"/>
      <c r="N179" s="141"/>
    </row>
    <row r="180" spans="1:14" ht="15.75">
      <c r="A180" s="8"/>
      <c r="B180" s="17" t="s">
        <v>130</v>
      </c>
      <c r="C180" s="20"/>
      <c r="D180" s="98"/>
      <c r="E180" s="20"/>
      <c r="F180" s="98"/>
      <c r="G180" s="20"/>
      <c r="H180" s="98" t="s">
        <v>171</v>
      </c>
      <c r="I180" s="20" t="s">
        <v>172</v>
      </c>
      <c r="J180" s="98" t="s">
        <v>187</v>
      </c>
      <c r="K180" s="20" t="s">
        <v>172</v>
      </c>
      <c r="L180" s="18"/>
      <c r="M180" s="111"/>
      <c r="N180" s="141"/>
    </row>
    <row r="181" spans="1:14" ht="15.75">
      <c r="A181" s="26"/>
      <c r="B181" s="63" t="s">
        <v>131</v>
      </c>
      <c r="C181" s="112"/>
      <c r="D181" s="63"/>
      <c r="E181" s="112"/>
      <c r="F181" s="27"/>
      <c r="G181" s="112"/>
      <c r="H181" s="63">
        <v>1455</v>
      </c>
      <c r="I181" s="113">
        <f>H181/H187</f>
        <v>0.7111436950146628</v>
      </c>
      <c r="J181" s="62">
        <v>57981</v>
      </c>
      <c r="K181" s="113">
        <f>J181/J187</f>
        <v>0.6360215879423444</v>
      </c>
      <c r="L181" s="96"/>
      <c r="M181" s="105"/>
      <c r="N181" s="141"/>
    </row>
    <row r="182" spans="1:14" ht="15.75">
      <c r="A182" s="26"/>
      <c r="B182" s="63" t="s">
        <v>132</v>
      </c>
      <c r="C182" s="112"/>
      <c r="D182" s="63"/>
      <c r="E182" s="112"/>
      <c r="F182" s="27"/>
      <c r="G182" s="114"/>
      <c r="H182" s="63">
        <v>42</v>
      </c>
      <c r="I182" s="112">
        <f>H182/H187</f>
        <v>0.020527859237536656</v>
      </c>
      <c r="J182" s="62">
        <v>1683</v>
      </c>
      <c r="K182" s="113">
        <f>J182/J187</f>
        <v>0.01846163971830368</v>
      </c>
      <c r="L182" s="96"/>
      <c r="M182" s="105"/>
      <c r="N182" s="141"/>
    </row>
    <row r="183" spans="1:14" ht="15.75">
      <c r="A183" s="26"/>
      <c r="B183" s="63" t="s">
        <v>133</v>
      </c>
      <c r="C183" s="112"/>
      <c r="D183" s="63"/>
      <c r="E183" s="112"/>
      <c r="F183" s="27"/>
      <c r="G183" s="114"/>
      <c r="H183" s="63">
        <v>45</v>
      </c>
      <c r="I183" s="112">
        <f>H183/H187</f>
        <v>0.021994134897360705</v>
      </c>
      <c r="J183" s="62">
        <v>1727</v>
      </c>
      <c r="K183" s="113">
        <f>J183/J187</f>
        <v>0.01894429696584103</v>
      </c>
      <c r="L183" s="96"/>
      <c r="M183" s="105"/>
      <c r="N183" s="141"/>
    </row>
    <row r="184" spans="1:14" ht="15.75">
      <c r="A184" s="26"/>
      <c r="B184" s="63" t="s">
        <v>134</v>
      </c>
      <c r="C184" s="112"/>
      <c r="D184" s="63"/>
      <c r="E184" s="112"/>
      <c r="F184" s="27"/>
      <c r="G184" s="114"/>
      <c r="H184" s="63">
        <f>18+14+15+457</f>
        <v>504</v>
      </c>
      <c r="I184" s="112">
        <f>H184/H187</f>
        <v>0.24633431085043989</v>
      </c>
      <c r="J184" s="62">
        <f>698+688+842+27543</f>
        <v>29771</v>
      </c>
      <c r="K184" s="113">
        <f>J184/J187</f>
        <v>0.3265724753735109</v>
      </c>
      <c r="L184" s="96"/>
      <c r="M184" s="105"/>
      <c r="N184" s="141"/>
    </row>
    <row r="185" spans="1:14" ht="15.75">
      <c r="A185" s="26"/>
      <c r="B185" s="30"/>
      <c r="C185" s="112"/>
      <c r="D185" s="63"/>
      <c r="E185" s="112"/>
      <c r="F185" s="27"/>
      <c r="G185" s="114"/>
      <c r="H185" s="63"/>
      <c r="I185" s="112"/>
      <c r="J185" s="62"/>
      <c r="K185" s="113"/>
      <c r="L185" s="96"/>
      <c r="M185" s="105"/>
      <c r="N185" s="141"/>
    </row>
    <row r="186" spans="1:14" ht="15.75">
      <c r="A186" s="26"/>
      <c r="B186" s="63"/>
      <c r="C186" s="115"/>
      <c r="D186" s="101"/>
      <c r="E186" s="115"/>
      <c r="F186" s="27"/>
      <c r="G186" s="115"/>
      <c r="H186" s="101"/>
      <c r="I186" s="115"/>
      <c r="J186" s="62"/>
      <c r="K186" s="113"/>
      <c r="L186" s="96"/>
      <c r="M186" s="105"/>
      <c r="N186" s="141"/>
    </row>
    <row r="187" spans="1:14" ht="15.75">
      <c r="A187" s="26"/>
      <c r="B187" s="27"/>
      <c r="C187" s="27"/>
      <c r="D187" s="27"/>
      <c r="E187" s="27"/>
      <c r="F187" s="27"/>
      <c r="G187" s="27"/>
      <c r="H187" s="38">
        <f>SUM(H181:H185)</f>
        <v>2046</v>
      </c>
      <c r="I187" s="116">
        <f>SUM(I181:I186)</f>
        <v>1</v>
      </c>
      <c r="J187" s="62">
        <f>SUM(J181:J186)</f>
        <v>91162</v>
      </c>
      <c r="K187" s="116">
        <f>SUM(K181:K186)</f>
        <v>1</v>
      </c>
      <c r="L187" s="27"/>
      <c r="M187" s="27"/>
      <c r="N187" s="141"/>
    </row>
    <row r="188" spans="1:14" ht="15.75">
      <c r="A188" s="26"/>
      <c r="B188" s="27"/>
      <c r="C188" s="27"/>
      <c r="D188" s="27"/>
      <c r="E188" s="27"/>
      <c r="F188" s="27"/>
      <c r="G188" s="27"/>
      <c r="H188" s="38"/>
      <c r="I188" s="116"/>
      <c r="J188" s="62"/>
      <c r="K188" s="116"/>
      <c r="L188" s="27"/>
      <c r="M188" s="27"/>
      <c r="N188" s="141"/>
    </row>
    <row r="189" spans="1:14" ht="15.75">
      <c r="A189" s="8"/>
      <c r="B189" s="10"/>
      <c r="C189" s="10"/>
      <c r="D189" s="10"/>
      <c r="E189" s="10"/>
      <c r="F189" s="10"/>
      <c r="G189" s="10"/>
      <c r="H189" s="64"/>
      <c r="I189" s="119"/>
      <c r="J189" s="120"/>
      <c r="K189" s="119"/>
      <c r="L189" s="10"/>
      <c r="M189" s="10"/>
      <c r="N189" s="141"/>
    </row>
    <row r="190" spans="1:14" ht="15.75">
      <c r="A190" s="124"/>
      <c r="B190" s="17" t="s">
        <v>136</v>
      </c>
      <c r="C190" s="122"/>
      <c r="D190" s="20" t="s">
        <v>151</v>
      </c>
      <c r="E190" s="18"/>
      <c r="F190" s="17" t="s">
        <v>161</v>
      </c>
      <c r="G190" s="15"/>
      <c r="H190" s="15"/>
      <c r="I190" s="15"/>
      <c r="J190" s="15"/>
      <c r="K190" s="15"/>
      <c r="L190" s="15"/>
      <c r="M190" s="15"/>
      <c r="N190" s="141"/>
    </row>
    <row r="191" spans="1:14" ht="15.75">
      <c r="A191" s="124"/>
      <c r="B191" s="15"/>
      <c r="C191" s="15"/>
      <c r="D191" s="10"/>
      <c r="E191" s="10"/>
      <c r="F191" s="10"/>
      <c r="G191" s="15"/>
      <c r="H191" s="15"/>
      <c r="I191" s="15"/>
      <c r="J191" s="15"/>
      <c r="K191" s="15"/>
      <c r="L191" s="15"/>
      <c r="M191" s="15"/>
      <c r="N191" s="141"/>
    </row>
    <row r="192" spans="1:14" ht="15.75">
      <c r="A192" s="124"/>
      <c r="B192" s="16" t="s">
        <v>137</v>
      </c>
      <c r="C192" s="125"/>
      <c r="D192" s="126" t="s">
        <v>152</v>
      </c>
      <c r="E192" s="16"/>
      <c r="F192" s="16" t="s">
        <v>162</v>
      </c>
      <c r="G192" s="125"/>
      <c r="H192" s="125"/>
      <c r="I192" s="125"/>
      <c r="J192" s="125"/>
      <c r="K192" s="15"/>
      <c r="L192" s="15"/>
      <c r="M192" s="15"/>
      <c r="N192" s="141"/>
    </row>
    <row r="193" spans="1:14" ht="15.75">
      <c r="A193" s="124"/>
      <c r="B193" s="16" t="s">
        <v>138</v>
      </c>
      <c r="C193" s="125"/>
      <c r="D193" s="126" t="s">
        <v>153</v>
      </c>
      <c r="E193" s="16"/>
      <c r="F193" s="16" t="s">
        <v>163</v>
      </c>
      <c r="G193" s="125"/>
      <c r="H193" s="125"/>
      <c r="I193" s="125"/>
      <c r="J193" s="125"/>
      <c r="K193" s="15"/>
      <c r="L193" s="15"/>
      <c r="M193" s="15"/>
      <c r="N193" s="141"/>
    </row>
    <row r="194" spans="1:13" ht="15">
      <c r="A194" s="140"/>
      <c r="B194" s="140"/>
      <c r="C194" s="140"/>
      <c r="D194" s="140"/>
      <c r="E194" s="140"/>
      <c r="F194" s="140"/>
      <c r="G194" s="140"/>
      <c r="H194" s="140"/>
      <c r="I194" s="140"/>
      <c r="J194" s="140"/>
      <c r="K194" s="140"/>
      <c r="L194" s="140"/>
      <c r="M194" s="140"/>
    </row>
  </sheetData>
  <printOptions/>
  <pageMargins left="0.5" right="0.5" top="0.30416666666666664" bottom="0.34375" header="0" footer="0"/>
  <pageSetup orientation="landscape" paperSize="9" scale="74"/>
  <headerFooter alignWithMargins="0">
    <oddFooter>&amp;LFFP2 INVESTOR REPORT QTR END SEPTEMBER 2001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