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activeTab="0"/>
  </bookViews>
  <sheets>
    <sheet name="May 99" sheetId="1" r:id="rId1"/>
    <sheet name="Aug 99" sheetId="2" r:id="rId2"/>
    <sheet name="Nov 99" sheetId="3" r:id="rId3"/>
    <sheet name="Feb 00" sheetId="4" r:id="rId4"/>
    <sheet name="May 00" sheetId="5" r:id="rId5"/>
    <sheet name="Aug 00" sheetId="6" r:id="rId6"/>
    <sheet name="Nov 00" sheetId="7" r:id="rId7"/>
    <sheet name="Feb 2001" sheetId="8" r:id="rId8"/>
    <sheet name="May 2001" sheetId="9" r:id="rId9"/>
    <sheet name="Aug 2001" sheetId="10" r:id="rId10"/>
    <sheet name="Nov 2001" sheetId="11" r:id="rId11"/>
  </sheets>
  <definedNames>
    <definedName name="PAGE1">'Nov 2001'!$A$1:$M$46</definedName>
    <definedName name="PAGE2">'Nov 2001'!$A$47:$M$103</definedName>
    <definedName name="PAGE3">'Nov 2001'!$A$104:$M$148</definedName>
    <definedName name="PAGE4">'Nov 2001'!$A$149:$M$190</definedName>
    <definedName name="_xlnm.Print_Area">'Aug 2001'!$A$47:$M$103</definedName>
  </definedNames>
  <calcPr calcMode="autoNoTable" fullCalcOnLoad="1" iterate="1" iterateCount="1" iterateDelta="0"/>
</workbook>
</file>

<file path=xl/sharedStrings.xml><?xml version="1.0" encoding="utf-8"?>
<sst xmlns="http://schemas.openxmlformats.org/spreadsheetml/2006/main" count="2423" uniqueCount="214">
  <si>
    <t>Finance for People (No. 1) PLC</t>
  </si>
  <si>
    <t>This performance report is issued by Paragon Finance PLC for and on behalf of Finance for People (No.1) PLC</t>
  </si>
  <si>
    <t>N.B. This data fact sheet and its notes can only be a summary of certain features of the bonds and their structure. No representation can be made that the information herein is accurate or complete and no liability is accepted therefor. Reference should be made to the issue</t>
  </si>
  <si>
    <t>documentation for a full description of the bonds and their structure. This data fact sheet and its notes are for information purposes only and are not intended as an offer or invitation with respect to the purchase or sale of any security. Reliance should not be placed</t>
  </si>
  <si>
    <t>on the information herein when making any decision whether to buy, hold or sell bonds (or other securities) or for any other purpose.</t>
  </si>
  <si>
    <t>Summary Transaction  Features</t>
  </si>
  <si>
    <t>Name of Issuer</t>
  </si>
  <si>
    <t>Date of Issue</t>
  </si>
  <si>
    <t>Date of Production</t>
  </si>
  <si>
    <t>Security Level Data</t>
  </si>
  <si>
    <t>Moody's Rating at Closing</t>
  </si>
  <si>
    <t>Current Moody's Rating</t>
  </si>
  <si>
    <t>ISIN</t>
  </si>
  <si>
    <t>Original Issue Amount (£'000)</t>
  </si>
  <si>
    <t>Previous Outstanding Note Principal</t>
  </si>
  <si>
    <t>Outstanding Note Principal</t>
  </si>
  <si>
    <t xml:space="preserve">Note Interest Margins: </t>
  </si>
  <si>
    <t>Current Note Interest Rates: (LIBOR + Note margins)</t>
  </si>
  <si>
    <t>Previous Note Interest Rates: (LIBOR + Note margins)</t>
  </si>
  <si>
    <t>Optional Redemption (Call) Dates</t>
  </si>
  <si>
    <t>Step-up Dates</t>
  </si>
  <si>
    <t>Step-up Margins</t>
  </si>
  <si>
    <t>Class B &amp; C Notes as a percentage Class A Notes at issue</t>
  </si>
  <si>
    <t>Outstanding Class B &amp; C Notes as a percentage of Outstanding Class A Notes</t>
  </si>
  <si>
    <t>Determination Event for Paying Class B &amp; C Notes</t>
  </si>
  <si>
    <t>Interest Payment Cycle</t>
  </si>
  <si>
    <t>Interest Payment Date</t>
  </si>
  <si>
    <t>Previous Interest Period (No. of Days)</t>
  </si>
  <si>
    <t>Current Interest Period (No. of Days)</t>
  </si>
  <si>
    <t>Interest Calculated on</t>
  </si>
  <si>
    <t>Record Date and PDD</t>
  </si>
  <si>
    <t>Asset Movements</t>
  </si>
  <si>
    <t>Mortgages</t>
  </si>
  <si>
    <t>Current Principal Balance (£'000)</t>
  </si>
  <si>
    <t>Accrued Arrears and Interest Sold to Issuer (£'000)</t>
  </si>
  <si>
    <t>Total (£'000)</t>
  </si>
  <si>
    <t>Consumer Loans</t>
  </si>
  <si>
    <t>Credit Enhancement</t>
  </si>
  <si>
    <t>Spread Trap (Fully Repaid)</t>
  </si>
  <si>
    <t>Over collateralisation due to part redeemed accounts being fully provided for</t>
  </si>
  <si>
    <t>Principal/Revenue Analysis</t>
  </si>
  <si>
    <t>Opening cash balance</t>
  </si>
  <si>
    <t xml:space="preserve">Total principal cash received this period from assets </t>
  </si>
  <si>
    <t>Total revenue cash received this period from assets</t>
  </si>
  <si>
    <t>Drawing on Sub Loan</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</si>
  <si>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</si>
  <si>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</si>
  <si>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</si>
  <si>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</si>
  <si>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</si>
  <si>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</si>
  <si>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</si>
  <si>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</si>
  <si>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</si>
  <si>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 xml:space="preserve">Third Party payments </t>
  </si>
  <si>
    <t>B Note Interest</t>
  </si>
  <si>
    <t>C Note Interest</t>
  </si>
  <si>
    <t>First Loss Fund  replenishments</t>
  </si>
  <si>
    <t>PDL replenishment</t>
  </si>
  <si>
    <t>Spread Trap (N/A - all repaid)</t>
  </si>
  <si>
    <t>Surplus income</t>
  </si>
  <si>
    <t>Principal payments made from Principal Income:</t>
  </si>
  <si>
    <t>Mandatory Further Advances</t>
  </si>
  <si>
    <t>Discretionary Further Advances</t>
  </si>
  <si>
    <t>Cancellation of A Notes</t>
  </si>
  <si>
    <t>A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</si>
  <si>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</si>
  <si>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</si>
  <si>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</si>
  <si>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</si>
  <si>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</si>
  <si>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</si>
  <si>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</si>
  <si>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</si>
  <si>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</si>
  <si>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</si>
  <si>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Closing First Loss Fund Balance</t>
  </si>
  <si>
    <t>Principal Deficiency Ledger (PDL)</t>
  </si>
  <si>
    <t>Opening PDL Balance</t>
  </si>
  <si>
    <t>Losses this quarter</t>
  </si>
  <si>
    <t>Total PDL balance</t>
  </si>
  <si>
    <t>PDL top up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</si>
  <si>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</si>
  <si>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</si>
  <si>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</si>
  <si>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</si>
  <si>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</si>
  <si>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</si>
  <si>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</si>
  <si>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</si>
  <si>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</si>
  <si>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</si>
  <si>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Cash Flow Interest Coverage  (2)</t>
  </si>
  <si>
    <t>Cover Ratio for Class A Notes (at last Interest Payment Date)</t>
  </si>
  <si>
    <t>Cover Ratio for Class A Notes (cumulative)</t>
  </si>
  <si>
    <t>Cover Ratio for Class B Notes (at last Interest Payment Date)</t>
  </si>
  <si>
    <t>Cover Ratio for Class B Notes (cumulative)</t>
  </si>
  <si>
    <t>Cover Ratio for Class C Notes (at last Interest Payment Date)</t>
  </si>
  <si>
    <t>Cover Ratio for Class C Notes (cumulative)</t>
  </si>
  <si>
    <t>Collateral Level Data</t>
  </si>
  <si>
    <t>Original Weighted Average Yield</t>
  </si>
  <si>
    <t>Original Weighted Note Coupon</t>
  </si>
  <si>
    <t>Original Spread</t>
  </si>
  <si>
    <t>Current Weighted Average Yield</t>
  </si>
  <si>
    <t>Current Weighted Note Coupon</t>
  </si>
  <si>
    <t>Current Spread</t>
  </si>
  <si>
    <t>Stated Maturity</t>
  </si>
  <si>
    <t>Original Weighted Average Maturity</t>
  </si>
  <si>
    <t>Current Weighted Average Maturity</t>
  </si>
  <si>
    <t>Annualised 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</si>
  <si>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</si>
  <si>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</si>
  <si>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</si>
  <si>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</si>
  <si>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</si>
  <si>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</si>
  <si>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</si>
  <si>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</si>
  <si>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Properties Sold</t>
  </si>
  <si>
    <t>Properties Sold by Mortgagee</t>
  </si>
  <si>
    <t>Average Number of months in Arrears @ Redemption date</t>
  </si>
  <si>
    <t>Average Days between Possession &amp; Redemption</t>
  </si>
  <si>
    <t>Average Sale Price/Orig Loan Valuation</t>
  </si>
  <si>
    <t>Delinquency Summary</t>
  </si>
  <si>
    <t>Performing</t>
  </si>
  <si>
    <t>&gt;1&lt;=2 Months</t>
  </si>
  <si>
    <t>&gt;2&lt;=3 Months</t>
  </si>
  <si>
    <t>&gt;3 Months</t>
  </si>
  <si>
    <t>Outstanding Accrued Arrears and Interest Sold to Issuer</t>
  </si>
  <si>
    <t>Contact Name/Address</t>
  </si>
  <si>
    <t>John Harvey, St. Catherines Court, Herbert Road, Solihull, West Midlands, B91 3QE</t>
  </si>
  <si>
    <t>Jimmy Giles, St. Catherines Court, Herbert Road, Solihull, West Midlands, B91 3QE</t>
  </si>
  <si>
    <t>Pool</t>
  </si>
  <si>
    <t>Factor</t>
  </si>
  <si>
    <t>As at Closing</t>
  </si>
  <si>
    <t>Class A1 Notes</t>
  </si>
  <si>
    <t>Aaa</t>
  </si>
  <si>
    <t>XS0077794708</t>
  </si>
  <si>
    <t>6 bp</t>
  </si>
  <si>
    <t>N/A</t>
  </si>
  <si>
    <t>August 1999</t>
  </si>
  <si>
    <t>31 August 1999</t>
  </si>
  <si>
    <t>20 bp</t>
  </si>
  <si>
    <t>Last Quarter Balance</t>
  </si>
  <si>
    <t>Tel.</t>
  </si>
  <si>
    <t>0121 712 3894</t>
  </si>
  <si>
    <t>0121 712 2315</t>
  </si>
  <si>
    <t>Class A2 Notes</t>
  </si>
  <si>
    <t>XS0077795184</t>
  </si>
  <si>
    <t>13 bp</t>
  </si>
  <si>
    <t>August 2000</t>
  </si>
  <si>
    <t>31 August 2003</t>
  </si>
  <si>
    <t>45 bp</t>
  </si>
  <si>
    <t>This Quarter Redemptions and Repayments</t>
  </si>
  <si>
    <t>E-mail</t>
  </si>
  <si>
    <t>jharvey@paragon-group.co.uk</t>
  </si>
  <si>
    <t>jgiles@paragon-group.co.uk</t>
  </si>
  <si>
    <t>Class B Notes</t>
  </si>
  <si>
    <t>A2</t>
  </si>
  <si>
    <t>XS0077795341</t>
  </si>
  <si>
    <t>35 bp</t>
  </si>
  <si>
    <t>75 bp</t>
  </si>
  <si>
    <t>Additions this quarter</t>
  </si>
  <si>
    <t>DFA's</t>
  </si>
  <si>
    <t>No.</t>
  </si>
  <si>
    <t>%</t>
  </si>
  <si>
    <t>Senior/Subordinate</t>
  </si>
  <si>
    <t>Class C Notes</t>
  </si>
  <si>
    <t>Baa3</t>
  </si>
  <si>
    <t>XS0077795697</t>
  </si>
  <si>
    <t>69 bp</t>
  </si>
  <si>
    <t>175 bp</t>
  </si>
  <si>
    <t>Class A Notes</t>
  </si>
  <si>
    <t>Repurchases this quarter</t>
  </si>
  <si>
    <t>Principal (£'000)</t>
  </si>
  <si>
    <t>MFA's</t>
  </si>
  <si>
    <t>n/a</t>
  </si>
  <si>
    <t>May 2036</t>
  </si>
  <si>
    <t>16 years</t>
  </si>
  <si>
    <t>14 years</t>
  </si>
  <si>
    <t>£'000 Value</t>
  </si>
  <si>
    <t>£'000 Principal</t>
  </si>
  <si>
    <t>=</t>
  </si>
  <si>
    <t>FFP 1 PLC</t>
  </si>
  <si>
    <t>June 1997</t>
  </si>
  <si>
    <t>Quarterly</t>
  </si>
  <si>
    <t>ACTUAL/365</t>
  </si>
  <si>
    <t>Current Principal Outstanding</t>
  </si>
  <si>
    <t>Revenue (£'000)</t>
  </si>
  <si>
    <t>Total</t>
  </si>
  <si>
    <t>x</t>
  </si>
  <si>
    <t>{EDIT-GOTO PAGE 1}</t>
  </si>
  <si>
    <t>{PRINT "SELECTION";1;9999;1;1}</t>
  </si>
  <si>
    <t>{EDIT-GOTO PAGE 2}</t>
  </si>
  <si>
    <t>{EDIT-GOTO PAGE 3}</t>
  </si>
  <si>
    <t>{EDIT-GOTO PAGE 4}</t>
  </si>
  <si>
    <t>PDL correction</t>
  </si>
  <si>
    <t>Average Months between Possession &amp; Redemption</t>
  </si>
  <si>
    <t>Principal Shortfalls - awaiting replenishment in the next quarter</t>
  </si>
  <si>
    <t>ACTUAL/366</t>
  </si>
  <si>
    <t>13 years</t>
  </si>
  <si>
    <t>C Note repayments</t>
  </si>
  <si>
    <t>Pool Factor</t>
  </si>
  <si>
    <t>A2/B/C</t>
  </si>
  <si>
    <t>PDD =</t>
  </si>
  <si>
    <t>0121 712 2459</t>
  </si>
  <si>
    <t>Originator % at Closing</t>
  </si>
  <si>
    <t xml:space="preserve">Originator % at the Quarter End </t>
  </si>
  <si>
    <t>Recoveries</t>
  </si>
  <si>
    <t>NHL</t>
  </si>
  <si>
    <t>PML</t>
  </si>
  <si>
    <t>Quarterly Prepayment Rate</t>
  </si>
  <si>
    <t>Life Time Prepayment Rate</t>
  </si>
  <si>
    <t>12 years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</si>
</sst>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
    <numFmt numFmtId="165" formatCode="[$£-809]#,##0.00"/>
    <numFmt numFmtId="166" formatCode="dd/mm"/>
    <numFmt numFmtId="167" formatCode="0.00000%"/>
    <numFmt numFmtId="168" formatCode="0.0%"/>
    <numFmt numFmtId="169" formatCode="#,##0.000000"/>
  </numFmts>
  <fonts count="25">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8"/>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sz val="12"/>
      <color indexed="8"/>
      <name val="Times New Roman"/>
      <family val="0"/>
    </font>
    <font>
      <b/>
      <sz val="12"/>
      <color indexed="12"/>
      <name val="Arial MT"/>
      <family val="0"/>
    </font>
    <font>
      <b/>
      <u val="single"/>
      <sz val="12"/>
      <color indexed="29"/>
      <name val="Times New Roman"/>
      <family val="0"/>
    </font>
    <font>
      <b/>
      <sz val="12"/>
      <color indexed="8"/>
      <name val="Times New Roman"/>
      <family val="0"/>
    </font>
    <font>
      <b/>
      <u val="single"/>
      <sz val="12"/>
      <color indexed="8"/>
      <name val="Times New Roman"/>
      <family val="0"/>
    </font>
    <font>
      <sz val="12"/>
      <color indexed="12"/>
      <name val="Arial MT"/>
      <family val="0"/>
    </font>
    <font>
      <sz val="10"/>
      <name val="Times New Roman"/>
      <family val="0"/>
    </font>
    <font>
      <b/>
      <sz val="12"/>
      <name val="Arial MT"/>
      <family val="0"/>
    </font>
    <font>
      <sz val="8"/>
      <name val="Times New Roman"/>
      <family val="0"/>
    </font>
    <font>
      <b/>
      <sz val="12"/>
      <color indexed="12"/>
      <name val="Arial"/>
      <family val="0"/>
    </font>
  </fonts>
  <fills count="3">
    <fill>
      <patternFill/>
    </fill>
    <fill>
      <patternFill patternType="gray125"/>
    </fill>
    <fill>
      <patternFill patternType="solid">
        <fgColor indexed="26"/>
        <bgColor indexed="64"/>
      </patternFill>
    </fill>
  </fills>
  <borders count="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43">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Font="1" applyAlignment="1">
      <alignment/>
    </xf>
    <xf numFmtId="0" fontId="0" fillId="0" borderId="0" xfId="0" applyNumberFormat="1" applyFon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15" fontId="12" fillId="2" borderId="0" xfId="0" applyNumberFormat="1" applyFont="1" applyFill="1" applyAlignment="1">
      <alignment horizontal="center"/>
    </xf>
    <xf numFmtId="0" fontId="4" fillId="2" borderId="0" xfId="0" applyNumberFormat="1" applyFont="1" applyFill="1" applyAlignment="1">
      <alignment horizontal="center"/>
    </xf>
    <xf numFmtId="0" fontId="4" fillId="2" borderId="0" xfId="0" applyNumberFormat="1" applyFont="1" applyFill="1" applyAlignment="1">
      <alignment horizontal="right"/>
    </xf>
    <xf numFmtId="0" fontId="8" fillId="2" borderId="0" xfId="0" applyNumberFormat="1" applyFont="1" applyFill="1" applyAlignment="1">
      <alignment horizontal="center"/>
    </xf>
    <xf numFmtId="0" fontId="8"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8" fillId="2" borderId="5" xfId="0" applyNumberFormat="1" applyFont="1" applyFill="1" applyAlignment="1">
      <alignment horizontal="center"/>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0" fontId="4" fillId="2" borderId="5" xfId="0" applyNumberFormat="1" applyFont="1" applyFill="1" applyAlignment="1">
      <alignment horizontal="center"/>
    </xf>
    <xf numFmtId="164" fontId="4" fillId="2" borderId="5" xfId="0" applyNumberFormat="1" applyFont="1" applyFill="1" applyAlignment="1">
      <alignment horizontal="center"/>
    </xf>
    <xf numFmtId="164" fontId="4" fillId="2" borderId="5" xfId="0" applyNumberFormat="1" applyFont="1" applyFill="1" applyAlignment="1">
      <alignment/>
    </xf>
    <xf numFmtId="164" fontId="0" fillId="2" borderId="5" xfId="0" applyNumberFormat="1" applyFont="1" applyFill="1" applyAlignment="1">
      <alignment/>
    </xf>
    <xf numFmtId="165" fontId="4" fillId="2" borderId="5" xfId="0" applyNumberFormat="1" applyFont="1" applyFill="1" applyAlignment="1">
      <alignment/>
    </xf>
    <xf numFmtId="166" fontId="4" fillId="2" borderId="5" xfId="0" applyNumberFormat="1" applyFont="1" applyFill="1" applyAlignment="1">
      <alignment horizontal="center"/>
    </xf>
    <xf numFmtId="0" fontId="15" fillId="2" borderId="5" xfId="0" applyNumberFormat="1" applyFont="1" applyFill="1" applyAlignment="1">
      <alignment vertical="top"/>
    </xf>
    <xf numFmtId="164" fontId="12" fillId="2" borderId="5" xfId="0" applyNumberFormat="1" applyFont="1" applyFill="1" applyAlignment="1">
      <alignment horizontal="center"/>
    </xf>
    <xf numFmtId="164" fontId="12" fillId="2" borderId="5" xfId="0" applyNumberFormat="1" applyFont="1" applyFill="1" applyAlignment="1">
      <alignment/>
    </xf>
    <xf numFmtId="164" fontId="16" fillId="2" borderId="5" xfId="0" applyNumberFormat="1" applyFont="1" applyFill="1" applyAlignment="1">
      <alignment/>
    </xf>
    <xf numFmtId="167"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15" fontId="15" fillId="2" borderId="5" xfId="0" applyNumberFormat="1" applyFont="1" applyFill="1" applyAlignment="1">
      <alignment horizontal="center"/>
    </xf>
    <xf numFmtId="15" fontId="15"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2" xfId="0" applyNumberFormat="1" applyFont="1" applyFill="1" applyAlignment="1">
      <alignment horizontal="right"/>
    </xf>
    <xf numFmtId="4" fontId="4" fillId="2" borderId="0" xfId="0" applyNumberFormat="1" applyFont="1" applyFill="1" applyAlignment="1">
      <alignment horizontal="right"/>
    </xf>
    <xf numFmtId="0" fontId="8" fillId="2" borderId="0" xfId="0" applyNumberFormat="1" applyFont="1" applyFill="1" applyAlignment="1">
      <alignment horizontal="left" vertical="top" wrapText="1"/>
    </xf>
    <xf numFmtId="0" fontId="8" fillId="2" borderId="0" xfId="0" applyNumberFormat="1" applyFont="1" applyFill="1" applyAlignment="1">
      <alignment horizontal="center" vertical="top" wrapText="1"/>
    </xf>
    <xf numFmtId="4" fontId="8" fillId="2" borderId="0" xfId="0" applyNumberFormat="1" applyFont="1" applyFill="1" applyAlignment="1">
      <alignment horizontal="center" vertical="top" wrapText="1"/>
    </xf>
    <xf numFmtId="3" fontId="4" fillId="2" borderId="5" xfId="0" applyNumberFormat="1" applyFont="1" applyFill="1" applyAlignment="1">
      <alignment/>
    </xf>
    <xf numFmtId="3" fontId="15" fillId="2" borderId="5" xfId="0" applyNumberFormat="1" applyFont="1" applyFill="1" applyAlignment="1">
      <alignment horizontal="right"/>
    </xf>
    <xf numFmtId="3" fontId="15" fillId="2" borderId="5" xfId="0" applyNumberFormat="1" applyFont="1" applyFill="1" applyAlignment="1">
      <alignment/>
    </xf>
    <xf numFmtId="3" fontId="4" fillId="2" borderId="0" xfId="0" applyNumberFormat="1" applyFont="1" applyFill="1" applyAlignment="1">
      <alignment/>
    </xf>
    <xf numFmtId="10" fontId="4" fillId="2" borderId="0" xfId="0" applyNumberFormat="1" applyFont="1" applyFill="1" applyAlignment="1">
      <alignment/>
    </xf>
    <xf numFmtId="3" fontId="15" fillId="2" borderId="0" xfId="0" applyNumberFormat="1" applyFont="1" applyFill="1" applyAlignment="1">
      <alignment/>
    </xf>
    <xf numFmtId="0" fontId="14" fillId="2" borderId="0" xfId="0" applyNumberFormat="1" applyFont="1" applyFill="1" applyAlignment="1">
      <alignment/>
    </xf>
    <xf numFmtId="15" fontId="4" fillId="2" borderId="5" xfId="0" applyNumberFormat="1" applyFont="1" applyFill="1" applyAlignment="1">
      <alignment/>
    </xf>
    <xf numFmtId="0" fontId="17" fillId="2" borderId="5" xfId="0" applyNumberFormat="1" applyFont="1" applyFill="1" applyAlignment="1">
      <alignment/>
    </xf>
    <xf numFmtId="0" fontId="6" fillId="2" borderId="5" xfId="0" applyNumberFormat="1" applyFont="1" applyFill="1" applyAlignment="1">
      <alignment/>
    </xf>
    <xf numFmtId="3" fontId="0" fillId="0" borderId="3" xfId="0" applyNumberFormat="1" applyFont="1" applyAlignment="1">
      <alignment/>
    </xf>
    <xf numFmtId="4" fontId="15" fillId="2" borderId="5" xfId="0" applyNumberFormat="1" applyFont="1" applyFill="1" applyAlignment="1">
      <alignment horizontal="right"/>
    </xf>
    <xf numFmtId="0" fontId="12" fillId="2" borderId="2" xfId="0" applyNumberFormat="1" applyFont="1" applyFill="1" applyAlignment="1">
      <alignment/>
    </xf>
    <xf numFmtId="0" fontId="7" fillId="2" borderId="2" xfId="0" applyNumberFormat="1" applyFont="1" applyFill="1" applyAlignment="1">
      <alignment/>
    </xf>
    <xf numFmtId="0" fontId="11" fillId="2" borderId="5" xfId="0" applyNumberFormat="1" applyFont="1" applyFill="1" applyAlignment="1">
      <alignment/>
    </xf>
    <xf numFmtId="4" fontId="4" fillId="2" borderId="5" xfId="0" applyNumberFormat="1" applyFont="1" applyFill="1" applyAlignment="1">
      <alignment horizontal="right"/>
    </xf>
    <xf numFmtId="0" fontId="17" fillId="2" borderId="0" xfId="0" applyNumberFormat="1" applyFont="1" applyFill="1" applyAlignment="1">
      <alignment/>
    </xf>
    <xf numFmtId="4" fontId="15" fillId="2" borderId="0" xfId="0" applyNumberFormat="1" applyFont="1" applyFill="1" applyAlignment="1">
      <alignment horizontal="right"/>
    </xf>
    <xf numFmtId="15" fontId="18" fillId="2" borderId="5" xfId="0" applyNumberFormat="1" applyFont="1" applyFill="1" applyAlignment="1">
      <alignment horizontal="center"/>
    </xf>
    <xf numFmtId="0" fontId="6" fillId="2" borderId="0" xfId="0" applyNumberFormat="1" applyFont="1" applyFill="1" applyAlignment="1">
      <alignment/>
    </xf>
    <xf numFmtId="0" fontId="8" fillId="2" borderId="0" xfId="0" applyNumberFormat="1" applyFont="1" applyFill="1" applyAlignment="1">
      <alignment horizontal="right"/>
    </xf>
    <xf numFmtId="4" fontId="8" fillId="2" borderId="0" xfId="0" applyNumberFormat="1" applyFont="1" applyFill="1" applyAlignment="1">
      <alignment horizontal="right"/>
    </xf>
    <xf numFmtId="0" fontId="4" fillId="2" borderId="0" xfId="0" applyNumberFormat="1" applyFont="1" applyFill="1" applyAlignment="1">
      <alignment/>
    </xf>
    <xf numFmtId="0" fontId="15" fillId="2" borderId="5" xfId="0" applyNumberFormat="1" applyFont="1" applyFill="1" applyAlignment="1">
      <alignment horizontal="right"/>
    </xf>
    <xf numFmtId="2" fontId="15" fillId="2" borderId="5" xfId="0" applyNumberFormat="1" applyFont="1" applyFill="1" applyAlignment="1">
      <alignment horizontal="right"/>
    </xf>
    <xf numFmtId="0" fontId="13" fillId="2" borderId="1" xfId="0" applyNumberFormat="1" applyFont="1" applyFill="1" applyAlignment="1">
      <alignment/>
    </xf>
    <xf numFmtId="0" fontId="14" fillId="2" borderId="2" xfId="0" applyNumberFormat="1" applyFont="1" applyFill="1" applyAlignment="1">
      <alignment/>
    </xf>
    <xf numFmtId="15" fontId="12" fillId="2" borderId="2" xfId="0" applyNumberFormat="1" applyFont="1" applyFill="1" applyAlignment="1">
      <alignment horizontal="centerContinuous"/>
    </xf>
    <xf numFmtId="15" fontId="12" fillId="2" borderId="2" xfId="0" applyNumberFormat="1" applyFont="1" applyFill="1" applyAlignment="1">
      <alignment horizontal="center"/>
    </xf>
    <xf numFmtId="0" fontId="13" fillId="2" borderId="2" xfId="0" applyNumberFormat="1" applyFont="1" applyFill="1" applyAlignment="1">
      <alignment/>
    </xf>
    <xf numFmtId="0" fontId="4" fillId="0" borderId="3" xfId="0" applyNumberFormat="1" applyFont="1" applyAlignment="1">
      <alignment/>
    </xf>
    <xf numFmtId="0" fontId="15"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15" fillId="2" borderId="4" xfId="0" applyNumberFormat="1" applyFont="1" applyFill="1" applyAlignment="1">
      <alignment/>
    </xf>
    <xf numFmtId="0" fontId="15" fillId="2" borderId="5" xfId="0" applyNumberFormat="1" applyFont="1" applyFill="1" applyAlignment="1">
      <alignment/>
    </xf>
    <xf numFmtId="15" fontId="18" fillId="2" borderId="5" xfId="0" applyNumberFormat="1" applyFont="1" applyFill="1" applyAlignment="1">
      <alignment horizontal="centerContinuous"/>
    </xf>
    <xf numFmtId="10" fontId="15" fillId="2" borderId="5" xfId="0" applyNumberFormat="1" applyFont="1" applyFill="1" applyAlignment="1">
      <alignment horizontal="center"/>
    </xf>
    <xf numFmtId="3" fontId="0" fillId="0" borderId="0" xfId="0" applyNumberFormat="1" applyFont="1" applyAlignment="1">
      <alignment/>
    </xf>
    <xf numFmtId="0" fontId="4" fillId="2" borderId="5" xfId="0" applyNumberFormat="1" applyFont="1" applyFill="1" applyAlignment="1">
      <alignment/>
    </xf>
    <xf numFmtId="0" fontId="15" fillId="2" borderId="3" xfId="0" applyNumberFormat="1" applyFont="1" applyFill="1" applyAlignment="1">
      <alignment horizontal="right"/>
    </xf>
    <xf numFmtId="3" fontId="12" fillId="2" borderId="0" xfId="0" applyNumberFormat="1" applyFont="1" applyFill="1" applyAlignment="1">
      <alignment horizontal="center"/>
    </xf>
    <xf numFmtId="10" fontId="0" fillId="0" borderId="0" xfId="0" applyNumberFormat="1" applyFont="1" applyAlignment="1">
      <alignment/>
    </xf>
    <xf numFmtId="0" fontId="15" fillId="2" borderId="4" xfId="0" applyNumberFormat="1" applyFont="1" applyFill="1" applyAlignment="1">
      <alignment horizontal="right"/>
    </xf>
    <xf numFmtId="3" fontId="18" fillId="2" borderId="5" xfId="0" applyNumberFormat="1" applyFont="1" applyFill="1" applyAlignment="1">
      <alignment/>
    </xf>
    <xf numFmtId="0" fontId="8" fillId="2" borderId="5" xfId="0" applyNumberFormat="1" applyFont="1" applyFill="1" applyAlignment="1">
      <alignment/>
    </xf>
    <xf numFmtId="0" fontId="15" fillId="2" borderId="4" xfId="0" applyNumberFormat="1" applyFont="1" applyFill="1" applyAlignment="1">
      <alignment horizontal="center"/>
    </xf>
    <xf numFmtId="0" fontId="18" fillId="2" borderId="5" xfId="0" applyNumberFormat="1" applyFont="1" applyFill="1" applyAlignment="1">
      <alignment/>
    </xf>
    <xf numFmtId="0" fontId="15" fillId="2" borderId="5" xfId="0" applyNumberFormat="1" applyFont="1" applyFill="1" applyAlignment="1">
      <alignment horizontal="right"/>
    </xf>
    <xf numFmtId="4" fontId="15" fillId="2" borderId="5" xfId="0" applyNumberFormat="1" applyFont="1" applyFill="1" applyAlignment="1">
      <alignment horizontal="right"/>
    </xf>
    <xf numFmtId="9" fontId="15" fillId="2" borderId="5" xfId="0" applyNumberFormat="1" applyFont="1" applyFill="1" applyAlignment="1">
      <alignment horizontal="right"/>
    </xf>
    <xf numFmtId="10" fontId="15" fillId="2" borderId="5" xfId="0" applyNumberFormat="1" applyFont="1" applyFill="1" applyAlignment="1">
      <alignment horizontal="right"/>
    </xf>
    <xf numFmtId="0" fontId="18" fillId="2" borderId="0" xfId="0" applyNumberFormat="1" applyFont="1" applyFill="1" applyAlignment="1">
      <alignment horizontal="center"/>
    </xf>
    <xf numFmtId="3" fontId="18" fillId="2" borderId="0" xfId="0" applyNumberFormat="1" applyFont="1" applyFill="1" applyAlignment="1">
      <alignment horizontal="center"/>
    </xf>
    <xf numFmtId="0" fontId="18" fillId="2" borderId="0" xfId="0" applyNumberFormat="1" applyFont="1" applyFill="1" applyAlignment="1">
      <alignment/>
    </xf>
    <xf numFmtId="168" fontId="15" fillId="2" borderId="5" xfId="0" applyNumberFormat="1" applyFont="1" applyFill="1" applyAlignment="1">
      <alignment/>
    </xf>
    <xf numFmtId="168" fontId="4" fillId="2" borderId="5" xfId="0" applyNumberFormat="1" applyFont="1" applyFill="1" applyAlignment="1">
      <alignment/>
    </xf>
    <xf numFmtId="10" fontId="15" fillId="2" borderId="5" xfId="0" applyNumberFormat="1" applyFont="1" applyFill="1" applyAlignment="1">
      <alignment/>
    </xf>
    <xf numFmtId="10" fontId="18" fillId="2" borderId="5" xfId="0" applyNumberFormat="1" applyFont="1" applyFill="1" applyAlignment="1">
      <alignment/>
    </xf>
    <xf numFmtId="168" fontId="4" fillId="2" borderId="0" xfId="0" applyNumberFormat="1" applyFont="1" applyFill="1" applyAlignment="1">
      <alignment/>
    </xf>
    <xf numFmtId="3" fontId="15" fillId="2" borderId="0" xfId="0" applyNumberFormat="1" applyFont="1" applyFill="1" applyAlignment="1">
      <alignment horizontal="right"/>
    </xf>
    <xf numFmtId="0" fontId="0" fillId="2" borderId="3" xfId="0" applyNumberFormat="1" applyFont="1" applyFill="1" applyAlignment="1">
      <alignment/>
    </xf>
    <xf numFmtId="0" fontId="16" fillId="2" borderId="0" xfId="0" applyNumberFormat="1" applyFont="1" applyFill="1" applyAlignment="1">
      <alignment horizontal="center"/>
    </xf>
    <xf numFmtId="0" fontId="20" fillId="2" borderId="0" xfId="0" applyNumberFormat="1" applyFont="1" applyFill="1" applyAlignment="1">
      <alignment/>
    </xf>
    <xf numFmtId="0" fontId="21" fillId="0" borderId="3" xfId="0" applyNumberFormat="1" applyFont="1" applyAlignment="1">
      <alignment/>
    </xf>
    <xf numFmtId="0" fontId="21" fillId="0" borderId="0" xfId="0" applyNumberFormat="1" applyFont="1" applyAlignment="1">
      <alignment/>
    </xf>
    <xf numFmtId="0" fontId="22" fillId="2" borderId="0" xfId="0" applyNumberFormat="1" applyFont="1" applyFill="1" applyAlignment="1">
      <alignment/>
    </xf>
    <xf numFmtId="0" fontId="11" fillId="2" borderId="0" xfId="0" applyNumberFormat="1" applyFont="1" applyFill="1" applyAlignment="1">
      <alignment horizontal="center"/>
    </xf>
    <xf numFmtId="0" fontId="0" fillId="0" borderId="2" xfId="0" applyNumberFormat="1" applyFont="1" applyAlignment="1">
      <alignment/>
    </xf>
    <xf numFmtId="0" fontId="23" fillId="0" borderId="0" xfId="0" applyNumberFormat="1" applyFont="1" applyAlignment="1">
      <alignment horizontal="right"/>
    </xf>
    <xf numFmtId="0" fontId="4" fillId="0" borderId="0" xfId="0" applyNumberFormat="1" applyFont="1" applyAlignment="1">
      <alignment horizontal="right"/>
    </xf>
    <xf numFmtId="0" fontId="12" fillId="2" borderId="4" xfId="0" applyNumberFormat="1" applyFont="1" applyFill="1" applyAlignment="1">
      <alignment/>
    </xf>
    <xf numFmtId="0" fontId="16" fillId="2" borderId="5" xfId="0" applyNumberFormat="1" applyFont="1" applyFill="1" applyAlignment="1">
      <alignment/>
    </xf>
    <xf numFmtId="0" fontId="0" fillId="2" borderId="2" xfId="0" applyNumberFormat="1" applyFont="1" applyFill="1" applyAlignment="1">
      <alignment/>
    </xf>
    <xf numFmtId="15" fontId="12" fillId="2" borderId="0" xfId="0" applyNumberFormat="1" applyFont="1" applyFill="1" applyAlignment="1">
      <alignment horizontal="centerContinuous"/>
    </xf>
    <xf numFmtId="10" fontId="18" fillId="2" borderId="5" xfId="0" applyNumberFormat="1" applyFont="1" applyFill="1" applyAlignment="1">
      <alignment horizontal="center"/>
    </xf>
    <xf numFmtId="0" fontId="15" fillId="2" borderId="1" xfId="0" applyNumberFormat="1" applyFont="1" applyFill="1" applyAlignment="1">
      <alignment/>
    </xf>
    <xf numFmtId="0" fontId="0" fillId="2" borderId="1" xfId="0" applyNumberFormat="1" applyFont="1" applyFill="1" applyAlignment="1">
      <alignment/>
    </xf>
    <xf numFmtId="0" fontId="0" fillId="2" borderId="4" xfId="0" applyNumberFormat="1" applyFont="1" applyFill="1" applyAlignment="1">
      <alignment/>
    </xf>
    <xf numFmtId="0" fontId="24" fillId="2" borderId="4" xfId="0" applyNumberFormat="1" applyFont="1" applyFill="1" applyAlignment="1">
      <alignment/>
    </xf>
    <xf numFmtId="0" fontId="0" fillId="0" borderId="3" xfId="0" applyNumberFormat="1" applyAlignment="1">
      <alignment/>
    </xf>
    <xf numFmtId="169" fontId="15" fillId="2" borderId="5" xfId="0" applyNumberFormat="1" applyFont="1" applyFill="1" applyAlignment="1">
      <alignment/>
    </xf>
    <xf numFmtId="169" fontId="4" fillId="2" borderId="5" xfId="0" applyNumberFormat="1" applyFont="1" applyFill="1" applyAlignment="1">
      <alignment/>
    </xf>
    <xf numFmtId="0" fontId="0" fillId="0" borderId="2" xfId="0" applyNumberFormat="1" applyAlignment="1">
      <alignment/>
    </xf>
    <xf numFmtId="9" fontId="12" fillId="2" borderId="0" xfId="0" applyNumberFormat="1"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93"/>
  <sheetViews>
    <sheetView tabSelected="1" showOutlineSymbols="0" zoomScale="70" zoomScaleNormal="70" workbookViewId="0" topLeftCell="A1">
      <selection activeCell="A9" sqref="A9"/>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8.6640625" style="1" customWidth="1"/>
    <col min="12" max="12" width="13.6640625" style="1" customWidth="1"/>
    <col min="13" max="13" width="19.77734375" style="1" customWidth="1"/>
    <col min="14" max="16384" width="9.6640625" style="1" customWidth="1"/>
  </cols>
  <sheetData>
    <row r="1" spans="1:256" ht="20.25">
      <c r="A1" s="2"/>
      <c r="B1" s="3" t="s">
        <v>0</v>
      </c>
      <c r="C1" s="4"/>
      <c r="D1" s="5"/>
      <c r="E1" s="5"/>
      <c r="F1" s="5"/>
      <c r="G1" s="5"/>
      <c r="H1" s="5"/>
      <c r="I1" s="5"/>
      <c r="J1" s="5"/>
      <c r="K1" s="5"/>
      <c r="L1" s="5"/>
      <c r="M1" s="5"/>
      <c r="N1" s="6"/>
      <c r="O1" s="7"/>
      <c r="P1" s="7"/>
      <c r="Q1" s="7"/>
      <c r="R1" s="7"/>
      <c r="S1" s="7" t="s">
        <v>191</v>
      </c>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15.75">
      <c r="A2" s="8"/>
      <c r="B2" s="9"/>
      <c r="C2" s="9"/>
      <c r="D2" s="10"/>
      <c r="E2" s="10"/>
      <c r="F2" s="10"/>
      <c r="G2" s="10"/>
      <c r="H2" s="10"/>
      <c r="I2" s="10"/>
      <c r="J2" s="10"/>
      <c r="K2" s="10"/>
      <c r="L2" s="10"/>
      <c r="M2" s="10"/>
      <c r="N2" s="6"/>
      <c r="O2" s="7"/>
      <c r="P2" s="7"/>
      <c r="Q2" s="7"/>
      <c r="R2" s="7"/>
      <c r="S2" s="7" t="s">
        <v>192</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15.75">
      <c r="A3" s="11"/>
      <c r="B3" s="12" t="s">
        <v>1</v>
      </c>
      <c r="C3" s="10"/>
      <c r="D3" s="10"/>
      <c r="E3" s="10"/>
      <c r="F3" s="10"/>
      <c r="G3" s="10"/>
      <c r="H3" s="10"/>
      <c r="I3" s="10"/>
      <c r="J3" s="10"/>
      <c r="K3" s="10"/>
      <c r="L3" s="10"/>
      <c r="M3" s="10"/>
      <c r="N3" s="6"/>
      <c r="O3" s="7"/>
      <c r="P3" s="7"/>
      <c r="Q3" s="7"/>
      <c r="R3" s="7"/>
      <c r="S3" s="7" t="s">
        <v>193</v>
      </c>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15.75">
      <c r="A4" s="8"/>
      <c r="B4" s="9"/>
      <c r="C4" s="9"/>
      <c r="D4" s="10"/>
      <c r="E4" s="10"/>
      <c r="F4" s="10"/>
      <c r="G4" s="10"/>
      <c r="H4" s="10"/>
      <c r="I4" s="10"/>
      <c r="J4" s="10"/>
      <c r="K4" s="10"/>
      <c r="L4" s="10"/>
      <c r="M4" s="10"/>
      <c r="N4" s="6"/>
      <c r="O4" s="7"/>
      <c r="P4" s="7"/>
      <c r="Q4" s="7"/>
      <c r="R4" s="7"/>
      <c r="S4" s="7" t="s">
        <v>192</v>
      </c>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2" customHeight="1">
      <c r="A5" s="8"/>
      <c r="B5" s="13" t="s">
        <v>2</v>
      </c>
      <c r="C5" s="14"/>
      <c r="D5" s="10"/>
      <c r="E5" s="10"/>
      <c r="F5" s="10"/>
      <c r="G5" s="10"/>
      <c r="H5" s="10"/>
      <c r="I5" s="10"/>
      <c r="J5" s="10"/>
      <c r="K5" s="10"/>
      <c r="L5" s="10"/>
      <c r="M5" s="10"/>
      <c r="N5" s="6"/>
      <c r="O5" s="7"/>
      <c r="P5" s="7"/>
      <c r="Q5" s="7"/>
      <c r="R5" s="7"/>
      <c r="S5" s="7" t="s">
        <v>194</v>
      </c>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2" customHeight="1">
      <c r="A6" s="8"/>
      <c r="B6" s="13" t="s">
        <v>3</v>
      </c>
      <c r="C6" s="14"/>
      <c r="D6" s="10"/>
      <c r="E6" s="10"/>
      <c r="F6" s="10"/>
      <c r="G6" s="10"/>
      <c r="H6" s="10"/>
      <c r="I6" s="10"/>
      <c r="J6" s="10"/>
      <c r="K6" s="10"/>
      <c r="L6" s="10"/>
      <c r="M6" s="10"/>
      <c r="N6" s="6"/>
      <c r="O6" s="7"/>
      <c r="P6" s="7"/>
      <c r="Q6" s="7"/>
      <c r="R6" s="7"/>
      <c r="S6" s="7" t="s">
        <v>192</v>
      </c>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2" customHeight="1">
      <c r="A7" s="8"/>
      <c r="B7" s="13" t="s">
        <v>4</v>
      </c>
      <c r="C7" s="14"/>
      <c r="D7" s="10"/>
      <c r="E7" s="10"/>
      <c r="F7" s="10"/>
      <c r="G7" s="10"/>
      <c r="H7" s="10"/>
      <c r="I7" s="10"/>
      <c r="J7" s="10"/>
      <c r="K7" s="10"/>
      <c r="L7" s="10"/>
      <c r="M7" s="10"/>
      <c r="N7" s="6"/>
      <c r="O7" s="7"/>
      <c r="P7" s="7"/>
      <c r="Q7" s="7"/>
      <c r="R7" s="7"/>
      <c r="S7" s="7" t="s">
        <v>195</v>
      </c>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2" customHeight="1">
      <c r="A8" s="8"/>
      <c r="B8" s="15"/>
      <c r="C8" s="14"/>
      <c r="D8" s="10"/>
      <c r="E8" s="10"/>
      <c r="F8" s="10"/>
      <c r="G8" s="10"/>
      <c r="H8" s="10"/>
      <c r="I8" s="10"/>
      <c r="J8" s="10"/>
      <c r="K8" s="10"/>
      <c r="L8" s="10"/>
      <c r="M8" s="10"/>
      <c r="N8" s="6"/>
      <c r="O8" s="7"/>
      <c r="P8" s="7"/>
      <c r="Q8" s="7"/>
      <c r="R8" s="7"/>
      <c r="S8" s="7" t="s">
        <v>192</v>
      </c>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5.75">
      <c r="A9" s="8"/>
      <c r="B9" s="14"/>
      <c r="C9" s="14"/>
      <c r="D9" s="16"/>
      <c r="E9" s="16"/>
      <c r="F9" s="10"/>
      <c r="G9" s="10"/>
      <c r="H9" s="10"/>
      <c r="I9" s="10"/>
      <c r="J9" s="10"/>
      <c r="K9" s="10"/>
      <c r="L9" s="10"/>
      <c r="M9" s="10"/>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5.75">
      <c r="A10" s="8"/>
      <c r="B10" s="16" t="s">
        <v>5</v>
      </c>
      <c r="C10" s="16"/>
      <c r="D10" s="10"/>
      <c r="E10" s="10"/>
      <c r="F10" s="10"/>
      <c r="G10" s="10"/>
      <c r="H10" s="10"/>
      <c r="I10" s="10"/>
      <c r="J10" s="10"/>
      <c r="K10" s="10"/>
      <c r="L10" s="10"/>
      <c r="M10" s="10"/>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5.75">
      <c r="A11" s="8"/>
      <c r="B11" s="16"/>
      <c r="C11" s="16"/>
      <c r="D11" s="10"/>
      <c r="E11" s="10"/>
      <c r="F11" s="10"/>
      <c r="G11" s="10"/>
      <c r="H11" s="10"/>
      <c r="I11" s="10"/>
      <c r="J11" s="10"/>
      <c r="K11" s="10"/>
      <c r="L11" s="10"/>
      <c r="M11" s="10"/>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5.75">
      <c r="A12" s="2"/>
      <c r="B12" s="5"/>
      <c r="C12" s="5"/>
      <c r="D12" s="5"/>
      <c r="E12" s="5"/>
      <c r="F12" s="5"/>
      <c r="G12" s="5"/>
      <c r="H12" s="5"/>
      <c r="I12" s="5"/>
      <c r="J12" s="5"/>
      <c r="K12" s="5"/>
      <c r="L12" s="5"/>
      <c r="M12" s="5"/>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5.75">
      <c r="A13" s="8"/>
      <c r="B13" s="17" t="s">
        <v>6</v>
      </c>
      <c r="C13" s="17"/>
      <c r="D13" s="18"/>
      <c r="E13" s="18"/>
      <c r="F13" s="18"/>
      <c r="G13" s="18"/>
      <c r="H13" s="18"/>
      <c r="I13" s="18"/>
      <c r="J13" s="18"/>
      <c r="K13" s="18"/>
      <c r="L13" s="19" t="s">
        <v>183</v>
      </c>
      <c r="M13" s="10"/>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15.75">
      <c r="A14" s="8"/>
      <c r="B14" s="17" t="s">
        <v>7</v>
      </c>
      <c r="C14" s="17"/>
      <c r="D14" s="18"/>
      <c r="E14" s="18"/>
      <c r="F14" s="18"/>
      <c r="G14" s="18"/>
      <c r="H14" s="18"/>
      <c r="I14" s="18"/>
      <c r="J14" s="18"/>
      <c r="K14" s="18"/>
      <c r="L14" s="20" t="s">
        <v>184</v>
      </c>
      <c r="M14" s="10"/>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15.75">
      <c r="A15" s="8"/>
      <c r="B15" s="17" t="s">
        <v>8</v>
      </c>
      <c r="C15" s="17"/>
      <c r="D15" s="18"/>
      <c r="E15" s="18"/>
      <c r="F15" s="18"/>
      <c r="G15" s="18"/>
      <c r="H15" s="18"/>
      <c r="I15" s="18"/>
      <c r="J15" s="18"/>
      <c r="K15" s="18"/>
      <c r="L15" s="21">
        <v>36342</v>
      </c>
      <c r="M15" s="10"/>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15.75">
      <c r="A16" s="8"/>
      <c r="B16" s="10"/>
      <c r="C16" s="10"/>
      <c r="D16" s="10"/>
      <c r="E16" s="10"/>
      <c r="F16" s="10"/>
      <c r="G16" s="10"/>
      <c r="H16" s="10"/>
      <c r="I16" s="10"/>
      <c r="J16" s="10"/>
      <c r="K16" s="10"/>
      <c r="L16" s="22"/>
      <c r="M16" s="10"/>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15.75">
      <c r="A17" s="8"/>
      <c r="B17" s="10" t="s">
        <v>9</v>
      </c>
      <c r="C17" s="10"/>
      <c r="D17" s="10"/>
      <c r="E17" s="10"/>
      <c r="F17" s="10"/>
      <c r="G17" s="10"/>
      <c r="H17" s="10"/>
      <c r="I17" s="10"/>
      <c r="J17" s="22" t="s">
        <v>166</v>
      </c>
      <c r="K17" s="10"/>
      <c r="L17" s="15"/>
      <c r="M17" s="10"/>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15.75">
      <c r="A18" s="8"/>
      <c r="B18" s="10"/>
      <c r="C18" s="10"/>
      <c r="D18" s="10"/>
      <c r="E18" s="10"/>
      <c r="F18" s="10"/>
      <c r="G18" s="10"/>
      <c r="H18" s="10"/>
      <c r="I18" s="10"/>
      <c r="J18" s="10"/>
      <c r="K18" s="10"/>
      <c r="L18" s="23"/>
      <c r="M18" s="10"/>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5.75">
      <c r="A19" s="8"/>
      <c r="B19" s="10"/>
      <c r="C19" s="24" t="s">
        <v>132</v>
      </c>
      <c r="D19" s="25" t="s">
        <v>135</v>
      </c>
      <c r="E19" s="25"/>
      <c r="F19" s="25" t="s">
        <v>147</v>
      </c>
      <c r="G19" s="25"/>
      <c r="H19" s="25" t="s">
        <v>157</v>
      </c>
      <c r="I19" s="25"/>
      <c r="J19" s="25" t="s">
        <v>167</v>
      </c>
      <c r="K19" s="15"/>
      <c r="L19" s="15"/>
      <c r="M19" s="10"/>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5.75">
      <c r="A20" s="26"/>
      <c r="B20" s="27" t="s">
        <v>10</v>
      </c>
      <c r="C20" s="28" t="s">
        <v>133</v>
      </c>
      <c r="D20" s="29" t="s">
        <v>136</v>
      </c>
      <c r="E20" s="29"/>
      <c r="F20" s="29" t="s">
        <v>136</v>
      </c>
      <c r="G20" s="29"/>
      <c r="H20" s="29" t="s">
        <v>158</v>
      </c>
      <c r="I20" s="29"/>
      <c r="J20" s="29" t="s">
        <v>168</v>
      </c>
      <c r="K20" s="30"/>
      <c r="L20" s="30"/>
      <c r="M20" s="27"/>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5.75">
      <c r="A21" s="26"/>
      <c r="B21" s="31" t="s">
        <v>11</v>
      </c>
      <c r="C21" s="31"/>
      <c r="D21" s="32" t="s">
        <v>136</v>
      </c>
      <c r="E21" s="32"/>
      <c r="F21" s="32" t="s">
        <v>136</v>
      </c>
      <c r="G21" s="32"/>
      <c r="H21" s="32" t="s">
        <v>158</v>
      </c>
      <c r="I21" s="32"/>
      <c r="J21" s="32" t="s">
        <v>168</v>
      </c>
      <c r="K21" s="30"/>
      <c r="L21" s="30"/>
      <c r="M21" s="27"/>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5.75">
      <c r="A22" s="26"/>
      <c r="B22" s="27" t="s">
        <v>12</v>
      </c>
      <c r="C22" s="27"/>
      <c r="D22" s="33" t="s">
        <v>137</v>
      </c>
      <c r="E22" s="29"/>
      <c r="F22" s="33" t="s">
        <v>148</v>
      </c>
      <c r="G22" s="29"/>
      <c r="H22" s="33" t="s">
        <v>159</v>
      </c>
      <c r="I22" s="29"/>
      <c r="J22" s="33" t="s">
        <v>169</v>
      </c>
      <c r="K22" s="30"/>
      <c r="L22" s="30"/>
      <c r="M22" s="27"/>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5.75">
      <c r="A23" s="26"/>
      <c r="B23" s="27"/>
      <c r="C23" s="27"/>
      <c r="D23" s="27"/>
      <c r="E23" s="29"/>
      <c r="F23" s="29"/>
      <c r="G23" s="29"/>
      <c r="H23" s="29"/>
      <c r="I23" s="29"/>
      <c r="J23" s="29"/>
      <c r="K23" s="30"/>
      <c r="L23" s="30"/>
      <c r="M23" s="27"/>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5.75">
      <c r="A24" s="26"/>
      <c r="B24" s="27" t="s">
        <v>13</v>
      </c>
      <c r="C24" s="27"/>
      <c r="D24" s="34">
        <v>67000</v>
      </c>
      <c r="E24" s="35"/>
      <c r="F24" s="34">
        <v>128780</v>
      </c>
      <c r="G24" s="34"/>
      <c r="H24" s="34">
        <v>16920</v>
      </c>
      <c r="I24" s="34"/>
      <c r="J24" s="34">
        <v>11290</v>
      </c>
      <c r="K24" s="36"/>
      <c r="L24" s="34">
        <f>J24+H24+F24+D24</f>
        <v>223990</v>
      </c>
      <c r="M24" s="37"/>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5.75">
      <c r="A25" s="26"/>
      <c r="B25" s="27" t="s">
        <v>14</v>
      </c>
      <c r="C25" s="27">
        <v>0.962277</v>
      </c>
      <c r="D25" s="34">
        <v>0</v>
      </c>
      <c r="E25" s="35"/>
      <c r="F25" s="34">
        <v>119111</v>
      </c>
      <c r="G25" s="34"/>
      <c r="H25" s="34">
        <v>16920</v>
      </c>
      <c r="I25" s="38"/>
      <c r="J25" s="34">
        <v>11290</v>
      </c>
      <c r="K25" s="36"/>
      <c r="L25" s="34">
        <f>J25+H25+F25+D25</f>
        <v>147321</v>
      </c>
      <c r="M25" s="37"/>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2.75" customHeight="1">
      <c r="A26" s="26"/>
      <c r="B26" s="31" t="s">
        <v>15</v>
      </c>
      <c r="C26" s="39">
        <v>0.904899</v>
      </c>
      <c r="D26" s="40">
        <v>0</v>
      </c>
      <c r="E26" s="41"/>
      <c r="F26" s="40">
        <v>109294</v>
      </c>
      <c r="G26" s="40"/>
      <c r="H26" s="40">
        <v>16920</v>
      </c>
      <c r="I26" s="40"/>
      <c r="J26" s="40">
        <v>11290</v>
      </c>
      <c r="K26" s="42"/>
      <c r="L26" s="40">
        <f>J26+H26+F26+D26</f>
        <v>137504</v>
      </c>
      <c r="M26" s="27"/>
      <c r="N26" s="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5.75">
      <c r="A27" s="26"/>
      <c r="B27" s="27" t="s">
        <v>16</v>
      </c>
      <c r="C27" s="27"/>
      <c r="D27" s="33" t="s">
        <v>138</v>
      </c>
      <c r="E27" s="27"/>
      <c r="F27" s="33" t="s">
        <v>149</v>
      </c>
      <c r="G27" s="33"/>
      <c r="H27" s="33" t="s">
        <v>160</v>
      </c>
      <c r="I27" s="33"/>
      <c r="J27" s="33" t="s">
        <v>170</v>
      </c>
      <c r="K27" s="30"/>
      <c r="L27" s="30"/>
      <c r="M27" s="27"/>
      <c r="N27" s="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15.75">
      <c r="A28" s="26"/>
      <c r="B28" s="27" t="s">
        <v>17</v>
      </c>
      <c r="C28" s="27"/>
      <c r="D28" s="33" t="s">
        <v>139</v>
      </c>
      <c r="E28" s="27"/>
      <c r="F28" s="43">
        <f>(5.46156+0.13)/100</f>
        <v>0.0559156</v>
      </c>
      <c r="G28" s="44"/>
      <c r="H28" s="43">
        <f>(5.46156+0.35)/100</f>
        <v>0.0581156</v>
      </c>
      <c r="I28" s="44"/>
      <c r="J28" s="43">
        <f>(5.46156+0.69)/100</f>
        <v>0.0615156</v>
      </c>
      <c r="K28" s="30"/>
      <c r="L28" s="44">
        <f>SUMPRODUCT(D28:J28,D25:J25)/L25</f>
        <v>0.05659743083199273</v>
      </c>
      <c r="M28" s="27"/>
      <c r="N28" s="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15.75">
      <c r="A29" s="26"/>
      <c r="B29" s="27" t="s">
        <v>18</v>
      </c>
      <c r="C29" s="27"/>
      <c r="D29" s="33" t="s">
        <v>139</v>
      </c>
      <c r="E29" s="27"/>
      <c r="F29" s="43">
        <f>(6.88063+0.13)/100</f>
        <v>0.0701063</v>
      </c>
      <c r="G29" s="44"/>
      <c r="H29" s="43">
        <f>(6.88063+0.35)/100</f>
        <v>0.07230629999999999</v>
      </c>
      <c r="I29" s="44"/>
      <c r="J29" s="43">
        <f>(6.88063+0.69)/100</f>
        <v>0.07570629999999999</v>
      </c>
      <c r="K29" s="30"/>
      <c r="L29" s="30"/>
      <c r="M29" s="27"/>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5.75">
      <c r="A30" s="26"/>
      <c r="B30" s="27" t="s">
        <v>19</v>
      </c>
      <c r="C30" s="27"/>
      <c r="D30" s="33" t="s">
        <v>140</v>
      </c>
      <c r="E30" s="27"/>
      <c r="F30" s="33" t="s">
        <v>150</v>
      </c>
      <c r="G30" s="33"/>
      <c r="H30" s="33" t="s">
        <v>150</v>
      </c>
      <c r="I30" s="33"/>
      <c r="J30" s="33" t="s">
        <v>150</v>
      </c>
      <c r="K30" s="30"/>
      <c r="L30" s="30"/>
      <c r="M30" s="27"/>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5.75">
      <c r="A31" s="26"/>
      <c r="B31" s="27" t="s">
        <v>20</v>
      </c>
      <c r="C31" s="27"/>
      <c r="D31" s="33" t="s">
        <v>141</v>
      </c>
      <c r="E31" s="27"/>
      <c r="F31" s="33" t="s">
        <v>151</v>
      </c>
      <c r="G31" s="33"/>
      <c r="H31" s="33" t="s">
        <v>151</v>
      </c>
      <c r="I31" s="33"/>
      <c r="J31" s="33" t="s">
        <v>151</v>
      </c>
      <c r="K31" s="30"/>
      <c r="L31" s="30"/>
      <c r="M31" s="27"/>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5.75">
      <c r="A32" s="26"/>
      <c r="B32" s="27" t="s">
        <v>21</v>
      </c>
      <c r="C32" s="27"/>
      <c r="D32" s="33" t="s">
        <v>142</v>
      </c>
      <c r="E32" s="27"/>
      <c r="F32" s="33" t="s">
        <v>152</v>
      </c>
      <c r="G32" s="33"/>
      <c r="H32" s="33" t="s">
        <v>161</v>
      </c>
      <c r="I32" s="33"/>
      <c r="J32" s="33" t="s">
        <v>171</v>
      </c>
      <c r="K32" s="30"/>
      <c r="L32" s="30"/>
      <c r="M32" s="27"/>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5.75">
      <c r="A33" s="26"/>
      <c r="B33" s="27"/>
      <c r="C33" s="27"/>
      <c r="D33" s="45"/>
      <c r="E33" s="45"/>
      <c r="F33" s="27"/>
      <c r="G33" s="45"/>
      <c r="H33" s="45"/>
      <c r="I33" s="45"/>
      <c r="J33" s="45"/>
      <c r="K33" s="45"/>
      <c r="L33" s="45"/>
      <c r="M33" s="27"/>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5.75">
      <c r="A34" s="26"/>
      <c r="B34" s="27" t="s">
        <v>22</v>
      </c>
      <c r="C34" s="27"/>
      <c r="D34" s="27"/>
      <c r="E34" s="27"/>
      <c r="F34" s="27"/>
      <c r="G34" s="27"/>
      <c r="H34" s="27"/>
      <c r="I34" s="27"/>
      <c r="J34" s="27"/>
      <c r="K34" s="27"/>
      <c r="L34" s="44">
        <f>(H24+J24)/(D24+F24)</f>
        <v>0.14409030544488713</v>
      </c>
      <c r="M34" s="27"/>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5.75">
      <c r="A35" s="26"/>
      <c r="B35" s="27" t="s">
        <v>23</v>
      </c>
      <c r="C35" s="27"/>
      <c r="D35" s="27"/>
      <c r="E35" s="27"/>
      <c r="F35" s="27"/>
      <c r="G35" s="27"/>
      <c r="H35" s="27"/>
      <c r="I35" s="27"/>
      <c r="J35" s="27"/>
      <c r="K35" s="27"/>
      <c r="L35" s="44">
        <f>(H26+J26)/(D26+F26)</f>
        <v>0.2581111497428953</v>
      </c>
      <c r="M35" s="27"/>
      <c r="N35" s="6"/>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5.75">
      <c r="A36" s="26"/>
      <c r="B36" s="27" t="s">
        <v>24</v>
      </c>
      <c r="C36" s="27"/>
      <c r="D36" s="27"/>
      <c r="E36" s="27"/>
      <c r="F36" s="27"/>
      <c r="G36" s="27"/>
      <c r="H36" s="27"/>
      <c r="I36" s="27"/>
      <c r="J36" s="33" t="s">
        <v>172</v>
      </c>
      <c r="K36" s="33" t="s">
        <v>182</v>
      </c>
      <c r="L36" s="34">
        <v>83785000</v>
      </c>
      <c r="M36" s="27"/>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5.75">
      <c r="A37" s="26"/>
      <c r="B37" s="27"/>
      <c r="C37" s="27"/>
      <c r="D37" s="27"/>
      <c r="E37" s="27"/>
      <c r="F37" s="27"/>
      <c r="G37" s="27"/>
      <c r="H37" s="27"/>
      <c r="I37" s="27"/>
      <c r="J37" s="27"/>
      <c r="K37" s="27"/>
      <c r="L37" s="46"/>
      <c r="M37" s="27"/>
      <c r="N37" s="6"/>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5.75">
      <c r="A38" s="26"/>
      <c r="B38" s="27" t="s">
        <v>25</v>
      </c>
      <c r="C38" s="27"/>
      <c r="D38" s="27"/>
      <c r="E38" s="27"/>
      <c r="F38" s="27"/>
      <c r="G38" s="27"/>
      <c r="H38" s="27"/>
      <c r="I38" s="27"/>
      <c r="J38" s="33"/>
      <c r="K38" s="33"/>
      <c r="L38" s="33" t="s">
        <v>185</v>
      </c>
      <c r="M38" s="27"/>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5.75">
      <c r="A39" s="26"/>
      <c r="B39" s="31" t="s">
        <v>26</v>
      </c>
      <c r="C39" s="31"/>
      <c r="D39" s="31"/>
      <c r="E39" s="31"/>
      <c r="F39" s="31"/>
      <c r="G39" s="31"/>
      <c r="H39" s="31"/>
      <c r="I39" s="31"/>
      <c r="J39" s="47"/>
      <c r="K39" s="47"/>
      <c r="L39" s="48">
        <v>36308</v>
      </c>
      <c r="M39" s="31"/>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5.75">
      <c r="A40" s="26"/>
      <c r="B40" s="27" t="s">
        <v>27</v>
      </c>
      <c r="C40" s="27"/>
      <c r="D40" s="27"/>
      <c r="E40" s="27"/>
      <c r="F40" s="27"/>
      <c r="G40" s="27"/>
      <c r="H40" s="30"/>
      <c r="I40" s="27">
        <f>L40-J40</f>
        <v>87</v>
      </c>
      <c r="J40" s="49">
        <v>36129</v>
      </c>
      <c r="K40" s="50"/>
      <c r="L40" s="49">
        <v>36216</v>
      </c>
      <c r="M40" s="27"/>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5.75">
      <c r="A41" s="26"/>
      <c r="B41" s="27" t="s">
        <v>28</v>
      </c>
      <c r="C41" s="27"/>
      <c r="D41" s="27"/>
      <c r="E41" s="27"/>
      <c r="F41" s="27"/>
      <c r="G41" s="27"/>
      <c r="H41" s="30"/>
      <c r="I41" s="27">
        <f>L41-J41</f>
        <v>90</v>
      </c>
      <c r="J41" s="49">
        <v>36217</v>
      </c>
      <c r="K41" s="50"/>
      <c r="L41" s="49">
        <v>36307</v>
      </c>
      <c r="M41" s="27"/>
      <c r="N41" s="6"/>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5.75">
      <c r="A42" s="26"/>
      <c r="B42" s="27" t="s">
        <v>29</v>
      </c>
      <c r="C42" s="27"/>
      <c r="D42" s="27"/>
      <c r="E42" s="27"/>
      <c r="F42" s="27"/>
      <c r="G42" s="27"/>
      <c r="H42" s="27"/>
      <c r="I42" s="27"/>
      <c r="J42" s="49"/>
      <c r="K42" s="50"/>
      <c r="L42" s="49" t="s">
        <v>186</v>
      </c>
      <c r="M42" s="27"/>
      <c r="N42" s="6"/>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5.75">
      <c r="A43" s="26"/>
      <c r="B43" s="27" t="s">
        <v>30</v>
      </c>
      <c r="C43" s="27"/>
      <c r="D43" s="27"/>
      <c r="E43" s="27"/>
      <c r="F43" s="27"/>
      <c r="G43" s="27"/>
      <c r="H43" s="27"/>
      <c r="I43" s="27"/>
      <c r="J43" s="49"/>
      <c r="K43" s="50"/>
      <c r="L43" s="49">
        <v>36299</v>
      </c>
      <c r="M43" s="27"/>
      <c r="N43" s="6"/>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75">
      <c r="A44" s="26"/>
      <c r="B44" s="27"/>
      <c r="C44" s="27"/>
      <c r="D44" s="27"/>
      <c r="E44" s="27"/>
      <c r="F44" s="27"/>
      <c r="G44" s="27"/>
      <c r="H44" s="27"/>
      <c r="I44" s="27"/>
      <c r="J44" s="27"/>
      <c r="K44" s="27"/>
      <c r="L44" s="51"/>
      <c r="M44" s="27"/>
      <c r="N44" s="6"/>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5.75">
      <c r="A45" s="2"/>
      <c r="B45" s="5"/>
      <c r="C45" s="5"/>
      <c r="D45" s="5"/>
      <c r="E45" s="5"/>
      <c r="F45" s="5"/>
      <c r="G45" s="5"/>
      <c r="H45" s="5"/>
      <c r="I45" s="5"/>
      <c r="J45" s="5"/>
      <c r="K45" s="5"/>
      <c r="L45" s="52"/>
      <c r="M45" s="5"/>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5.75">
      <c r="A46" s="8"/>
      <c r="B46" s="17" t="s">
        <v>31</v>
      </c>
      <c r="C46" s="16"/>
      <c r="D46" s="10"/>
      <c r="E46" s="10"/>
      <c r="F46" s="10"/>
      <c r="G46" s="10"/>
      <c r="H46" s="10"/>
      <c r="I46" s="10"/>
      <c r="J46" s="10"/>
      <c r="K46" s="10"/>
      <c r="L46" s="53"/>
      <c r="M46" s="10"/>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15.75">
      <c r="A47" s="8"/>
      <c r="B47" s="16"/>
      <c r="C47" s="16"/>
      <c r="D47" s="10"/>
      <c r="E47" s="10"/>
      <c r="F47" s="10"/>
      <c r="G47" s="10"/>
      <c r="H47" s="10"/>
      <c r="I47" s="10"/>
      <c r="J47" s="10"/>
      <c r="K47" s="10"/>
      <c r="L47" s="53"/>
      <c r="M47" s="10"/>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63">
      <c r="A48" s="8"/>
      <c r="B48" s="54" t="s">
        <v>32</v>
      </c>
      <c r="C48" s="55" t="s">
        <v>134</v>
      </c>
      <c r="D48" s="55" t="s">
        <v>143</v>
      </c>
      <c r="E48" s="55"/>
      <c r="F48" s="55" t="s">
        <v>153</v>
      </c>
      <c r="G48" s="55"/>
      <c r="H48" s="55" t="s">
        <v>162</v>
      </c>
      <c r="I48" s="55"/>
      <c r="J48" s="55" t="s">
        <v>173</v>
      </c>
      <c r="K48" s="55"/>
      <c r="L48" s="56" t="s">
        <v>187</v>
      </c>
      <c r="M48" s="10"/>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15.75">
      <c r="A49" s="26"/>
      <c r="B49" s="27" t="s">
        <v>33</v>
      </c>
      <c r="C49" s="57">
        <v>220604</v>
      </c>
      <c r="D49" s="57">
        <v>149987</v>
      </c>
      <c r="E49" s="57"/>
      <c r="F49" s="57">
        <f>9586+83+168</f>
        <v>9837</v>
      </c>
      <c r="G49" s="57"/>
      <c r="H49" s="57">
        <f>L132</f>
        <v>168</v>
      </c>
      <c r="I49" s="57"/>
      <c r="J49" s="57">
        <v>0</v>
      </c>
      <c r="K49" s="57"/>
      <c r="L49" s="58">
        <f>D49-F49+H49-J49</f>
        <v>140318</v>
      </c>
      <c r="M49" s="27"/>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15.75">
      <c r="A50" s="26"/>
      <c r="B50" s="27" t="s">
        <v>34</v>
      </c>
      <c r="C50" s="57">
        <v>5129</v>
      </c>
      <c r="D50" s="57">
        <f>5129-3447</f>
        <v>1682</v>
      </c>
      <c r="E50" s="57"/>
      <c r="F50" s="57">
        <v>155</v>
      </c>
      <c r="G50" s="57"/>
      <c r="H50" s="57">
        <v>0</v>
      </c>
      <c r="I50" s="57"/>
      <c r="J50" s="57">
        <v>0</v>
      </c>
      <c r="K50" s="57"/>
      <c r="L50" s="58">
        <f>D50-F50</f>
        <v>1527</v>
      </c>
      <c r="M50" s="27"/>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15.75">
      <c r="A51" s="26"/>
      <c r="B51" s="27"/>
      <c r="C51" s="57"/>
      <c r="D51" s="57"/>
      <c r="E51" s="57"/>
      <c r="F51" s="57"/>
      <c r="G51" s="57"/>
      <c r="H51" s="57"/>
      <c r="I51" s="57"/>
      <c r="J51" s="57"/>
      <c r="K51" s="57"/>
      <c r="L51" s="58"/>
      <c r="M51" s="27"/>
      <c r="N51" s="6"/>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15.75">
      <c r="A52" s="26"/>
      <c r="B52" s="27" t="s">
        <v>35</v>
      </c>
      <c r="C52" s="57">
        <f>SUM(C49:C51)</f>
        <v>225733</v>
      </c>
      <c r="D52" s="57">
        <f>SUM(D49:D51)</f>
        <v>151669</v>
      </c>
      <c r="E52" s="57"/>
      <c r="F52" s="57">
        <f>SUM(F49:F51)</f>
        <v>9992</v>
      </c>
      <c r="G52" s="57"/>
      <c r="H52" s="57">
        <f>SUM(H49:H51)</f>
        <v>168</v>
      </c>
      <c r="I52" s="57"/>
      <c r="J52" s="57">
        <f>SUM(J49:J51)</f>
        <v>0</v>
      </c>
      <c r="K52" s="57"/>
      <c r="L52" s="59">
        <f>SUM(L49:L51)</f>
        <v>141845</v>
      </c>
      <c r="M52" s="27"/>
      <c r="N52" s="6"/>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15.75">
      <c r="A53" s="26"/>
      <c r="B53" s="27"/>
      <c r="C53" s="57"/>
      <c r="D53" s="57"/>
      <c r="E53" s="57"/>
      <c r="F53" s="57"/>
      <c r="G53" s="57"/>
      <c r="H53" s="57"/>
      <c r="I53" s="57"/>
      <c r="J53" s="57"/>
      <c r="K53" s="57"/>
      <c r="L53" s="59"/>
      <c r="M53" s="27"/>
      <c r="N53" s="6"/>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15.75">
      <c r="A54" s="8"/>
      <c r="B54" s="12" t="s">
        <v>36</v>
      </c>
      <c r="C54" s="60"/>
      <c r="D54" s="60"/>
      <c r="E54" s="60"/>
      <c r="F54" s="61"/>
      <c r="G54" s="60"/>
      <c r="H54" s="60"/>
      <c r="I54" s="60"/>
      <c r="J54" s="60"/>
      <c r="K54" s="60"/>
      <c r="L54" s="62"/>
      <c r="M54" s="10"/>
      <c r="N54" s="6"/>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15.75">
      <c r="A55" s="8"/>
      <c r="B55" s="10"/>
      <c r="C55" s="60"/>
      <c r="D55" s="60"/>
      <c r="E55" s="60"/>
      <c r="F55" s="60"/>
      <c r="G55" s="60"/>
      <c r="H55" s="60"/>
      <c r="I55" s="60"/>
      <c r="J55" s="60"/>
      <c r="K55" s="60"/>
      <c r="L55" s="62"/>
      <c r="M55" s="10"/>
      <c r="N55" s="6"/>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15.75">
      <c r="A56" s="26"/>
      <c r="B56" s="27" t="s">
        <v>33</v>
      </c>
      <c r="C56" s="57"/>
      <c r="D56" s="57"/>
      <c r="E56" s="57"/>
      <c r="F56" s="57"/>
      <c r="G56" s="57"/>
      <c r="H56" s="57"/>
      <c r="I56" s="57"/>
      <c r="J56" s="57"/>
      <c r="K56" s="57"/>
      <c r="L56" s="59"/>
      <c r="M56" s="27"/>
      <c r="N56" s="6"/>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ht="15.75">
      <c r="A57" s="26"/>
      <c r="B57" s="27" t="s">
        <v>34</v>
      </c>
      <c r="C57" s="57"/>
      <c r="D57" s="57"/>
      <c r="E57" s="57"/>
      <c r="F57" s="57"/>
      <c r="G57" s="57"/>
      <c r="H57" s="57"/>
      <c r="I57" s="57"/>
      <c r="J57" s="57"/>
      <c r="K57" s="57"/>
      <c r="L57" s="59"/>
      <c r="M57" s="27"/>
      <c r="N57" s="6"/>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ht="15.75">
      <c r="A58" s="26"/>
      <c r="B58" s="27"/>
      <c r="C58" s="57"/>
      <c r="D58" s="57"/>
      <c r="E58" s="57"/>
      <c r="F58" s="57"/>
      <c r="G58" s="57"/>
      <c r="H58" s="57"/>
      <c r="I58" s="57"/>
      <c r="J58" s="57"/>
      <c r="K58" s="57"/>
      <c r="L58" s="59"/>
      <c r="M58" s="27"/>
      <c r="N58" s="6"/>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ht="15.75">
      <c r="A59" s="26"/>
      <c r="B59" s="27" t="s">
        <v>35</v>
      </c>
      <c r="C59" s="57"/>
      <c r="D59" s="57"/>
      <c r="E59" s="57"/>
      <c r="F59" s="57"/>
      <c r="G59" s="57"/>
      <c r="H59" s="57"/>
      <c r="I59" s="57"/>
      <c r="J59" s="57"/>
      <c r="K59" s="57"/>
      <c r="L59" s="59"/>
      <c r="M59" s="27"/>
      <c r="N59" s="6"/>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ht="15.75">
      <c r="A60" s="26"/>
      <c r="B60" s="27"/>
      <c r="C60" s="57"/>
      <c r="D60" s="57"/>
      <c r="E60" s="57"/>
      <c r="F60" s="57"/>
      <c r="G60" s="57"/>
      <c r="H60" s="57"/>
      <c r="I60" s="57"/>
      <c r="J60" s="57"/>
      <c r="K60" s="57"/>
      <c r="L60" s="59"/>
      <c r="M60" s="27"/>
      <c r="N60" s="6"/>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15.75">
      <c r="A61" s="26"/>
      <c r="B61" s="27" t="s">
        <v>37</v>
      </c>
      <c r="C61" s="57">
        <v>-1743</v>
      </c>
      <c r="D61" s="57">
        <v>-1743</v>
      </c>
      <c r="E61" s="57"/>
      <c r="F61" s="57"/>
      <c r="G61" s="57"/>
      <c r="H61" s="57"/>
      <c r="I61" s="57"/>
      <c r="J61" s="57"/>
      <c r="K61" s="57"/>
      <c r="L61" s="57">
        <v>-1743</v>
      </c>
      <c r="M61" s="27"/>
      <c r="N61" s="6"/>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15.75">
      <c r="A62" s="26"/>
      <c r="B62" s="27" t="s">
        <v>38</v>
      </c>
      <c r="C62" s="57">
        <v>0</v>
      </c>
      <c r="D62" s="57">
        <v>-2257</v>
      </c>
      <c r="E62" s="57"/>
      <c r="F62" s="57"/>
      <c r="G62" s="57"/>
      <c r="H62" s="57"/>
      <c r="I62" s="57"/>
      <c r="J62" s="57"/>
      <c r="K62" s="57"/>
      <c r="L62" s="59">
        <v>-2257</v>
      </c>
      <c r="M62" s="27"/>
      <c r="N62" s="6"/>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15.75">
      <c r="A63" s="26"/>
      <c r="B63" s="27" t="s">
        <v>39</v>
      </c>
      <c r="C63" s="57">
        <v>0</v>
      </c>
      <c r="D63" s="57">
        <v>-348</v>
      </c>
      <c r="E63" s="57"/>
      <c r="F63" s="57"/>
      <c r="G63" s="57"/>
      <c r="H63" s="57"/>
      <c r="I63" s="57"/>
      <c r="J63" s="57"/>
      <c r="K63" s="57"/>
      <c r="L63" s="59">
        <v>-341</v>
      </c>
      <c r="M63" s="27"/>
      <c r="N63" s="6"/>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15.75">
      <c r="A64" s="26"/>
      <c r="B64" s="27" t="s">
        <v>15</v>
      </c>
      <c r="C64" s="59">
        <f>SUM(C52:C63)</f>
        <v>223990</v>
      </c>
      <c r="D64" s="59">
        <f>SUM(D52:D63)</f>
        <v>147321</v>
      </c>
      <c r="E64" s="57"/>
      <c r="F64" s="57"/>
      <c r="G64" s="57"/>
      <c r="H64" s="57"/>
      <c r="I64" s="57"/>
      <c r="J64" s="57"/>
      <c r="K64" s="57"/>
      <c r="L64" s="59">
        <f>SUM(L52:L63)</f>
        <v>137504</v>
      </c>
      <c r="M64" s="27"/>
      <c r="N64" s="6"/>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15.75">
      <c r="A65" s="26"/>
      <c r="B65" s="27"/>
      <c r="C65" s="57"/>
      <c r="D65" s="57"/>
      <c r="E65" s="57"/>
      <c r="F65" s="57"/>
      <c r="G65" s="57"/>
      <c r="H65" s="57"/>
      <c r="I65" s="57"/>
      <c r="J65" s="57"/>
      <c r="K65" s="57"/>
      <c r="L65" s="59"/>
      <c r="M65" s="27"/>
      <c r="N65" s="6"/>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15.75">
      <c r="A66" s="26"/>
      <c r="B66" s="27"/>
      <c r="C66" s="27"/>
      <c r="D66" s="27"/>
      <c r="E66" s="27"/>
      <c r="F66" s="27"/>
      <c r="G66" s="27"/>
      <c r="H66" s="27"/>
      <c r="I66" s="27"/>
      <c r="J66" s="27"/>
      <c r="K66" s="27"/>
      <c r="L66" s="27"/>
      <c r="M66" s="27"/>
      <c r="N66" s="6"/>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15.75">
      <c r="A67" s="8"/>
      <c r="B67" s="63" t="s">
        <v>40</v>
      </c>
      <c r="C67" s="17"/>
      <c r="D67" s="17"/>
      <c r="E67" s="17"/>
      <c r="F67" s="17"/>
      <c r="G67" s="17"/>
      <c r="H67" s="17"/>
      <c r="I67" s="20"/>
      <c r="J67" s="20" t="s">
        <v>174</v>
      </c>
      <c r="K67" s="20"/>
      <c r="L67" s="20" t="s">
        <v>188</v>
      </c>
      <c r="M67" s="10"/>
      <c r="N67" s="6"/>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15.75">
      <c r="A68" s="26"/>
      <c r="B68" s="27" t="s">
        <v>41</v>
      </c>
      <c r="C68" s="27"/>
      <c r="D68" s="27"/>
      <c r="E68" s="27"/>
      <c r="F68" s="27"/>
      <c r="G68" s="27"/>
      <c r="H68" s="27"/>
      <c r="I68" s="27"/>
      <c r="J68" s="57">
        <v>0</v>
      </c>
      <c r="K68" s="27"/>
      <c r="L68" s="58">
        <v>0</v>
      </c>
      <c r="M68" s="27"/>
      <c r="N68" s="6"/>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15.75">
      <c r="A69" s="26"/>
      <c r="B69" s="27" t="s">
        <v>42</v>
      </c>
      <c r="C69" s="45"/>
      <c r="D69" s="64"/>
      <c r="E69" s="27"/>
      <c r="F69" s="27"/>
      <c r="G69" s="27"/>
      <c r="H69" s="27"/>
      <c r="I69" s="27"/>
      <c r="J69" s="57">
        <f>1004+3044+3135+2411+782+29-559</f>
        <v>9846</v>
      </c>
      <c r="K69" s="27"/>
      <c r="L69" s="58"/>
      <c r="M69" s="27"/>
      <c r="N69" s="6"/>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15.75">
      <c r="A70" s="26"/>
      <c r="B70" s="27" t="s">
        <v>43</v>
      </c>
      <c r="C70" s="27"/>
      <c r="D70" s="27"/>
      <c r="E70" s="27"/>
      <c r="F70" s="27"/>
      <c r="G70" s="27"/>
      <c r="H70" s="27"/>
      <c r="I70" s="27"/>
      <c r="J70" s="57"/>
      <c r="K70" s="27"/>
      <c r="L70" s="58">
        <f>1472+41+132+1181+14+157+1094+124+79+136-29-782+1+1</f>
        <v>3621</v>
      </c>
      <c r="M70" s="27"/>
      <c r="N70" s="6"/>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ht="15.75">
      <c r="A71" s="26"/>
      <c r="B71" s="27" t="s">
        <v>44</v>
      </c>
      <c r="C71" s="27"/>
      <c r="D71" s="27"/>
      <c r="E71" s="27"/>
      <c r="F71" s="27"/>
      <c r="G71" s="27"/>
      <c r="H71" s="27"/>
      <c r="I71" s="27"/>
      <c r="J71" s="57"/>
      <c r="K71" s="27"/>
      <c r="L71" s="58"/>
      <c r="M71" s="27"/>
      <c r="N71" s="6"/>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15.75">
      <c r="A72" s="26"/>
      <c r="B72" s="27" t="s">
        <v>45</v>
      </c>
      <c r="C72" s="27"/>
      <c r="D72" s="27"/>
      <c r="E72" s="27"/>
      <c r="F72" s="27"/>
      <c r="G72" s="27"/>
      <c r="H72" s="27"/>
      <c r="I72" s="27"/>
      <c r="J72" s="57">
        <f>SUM(J68:J71)</f>
        <v>9846</v>
      </c>
      <c r="K72" s="27"/>
      <c r="L72" s="59">
        <f>SUM(L68:L71)</f>
        <v>3621</v>
      </c>
      <c r="M72" s="27"/>
      <c r="N72" s="6"/>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ht="15.75">
      <c r="A73" s="26"/>
      <c r="B73" s="27" t="s">
        <v>46</v>
      </c>
      <c r="C73" s="27"/>
      <c r="D73" s="27"/>
      <c r="E73" s="27"/>
      <c r="F73" s="27"/>
      <c r="G73" s="27"/>
      <c r="H73" s="27"/>
      <c r="I73" s="27"/>
      <c r="J73" s="57">
        <v>155</v>
      </c>
      <c r="K73" s="27"/>
      <c r="L73" s="58">
        <v>-155</v>
      </c>
      <c r="M73" s="27"/>
      <c r="N73" s="6"/>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ht="15.75">
      <c r="A74" s="26"/>
      <c r="B74" s="27" t="s">
        <v>47</v>
      </c>
      <c r="C74" s="27"/>
      <c r="D74" s="27"/>
      <c r="E74" s="27"/>
      <c r="F74" s="27"/>
      <c r="G74" s="27"/>
      <c r="H74" s="27"/>
      <c r="I74" s="27"/>
      <c r="J74" s="57">
        <f>J72+J73</f>
        <v>10001</v>
      </c>
      <c r="K74" s="27"/>
      <c r="L74" s="59">
        <f>L72+L73</f>
        <v>3466</v>
      </c>
      <c r="M74" s="27"/>
      <c r="N74" s="6"/>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ht="15.75">
      <c r="A75" s="26"/>
      <c r="B75" s="65" t="s">
        <v>48</v>
      </c>
      <c r="C75" s="66"/>
      <c r="D75" s="27"/>
      <c r="E75" s="27"/>
      <c r="F75" s="27"/>
      <c r="G75" s="27"/>
      <c r="H75" s="27"/>
      <c r="I75" s="27"/>
      <c r="J75" s="57"/>
      <c r="K75" s="27"/>
      <c r="L75" s="58"/>
      <c r="M75" s="27"/>
      <c r="N75" s="6"/>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5.75">
      <c r="A76" s="26">
        <v>1</v>
      </c>
      <c r="B76" s="27" t="s">
        <v>49</v>
      </c>
      <c r="C76" s="27"/>
      <c r="D76" s="27"/>
      <c r="E76" s="27"/>
      <c r="F76" s="27"/>
      <c r="G76" s="27"/>
      <c r="H76" s="27"/>
      <c r="I76" s="27"/>
      <c r="J76" s="27"/>
      <c r="K76" s="27"/>
      <c r="L76" s="58"/>
      <c r="M76" s="27"/>
      <c r="N76" s="6"/>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15.75">
      <c r="A77" s="26">
        <v>2</v>
      </c>
      <c r="B77" s="27" t="s">
        <v>50</v>
      </c>
      <c r="C77" s="27"/>
      <c r="D77" s="27"/>
      <c r="E77" s="27"/>
      <c r="F77" s="27"/>
      <c r="G77" s="27"/>
      <c r="H77" s="27"/>
      <c r="I77" s="27"/>
      <c r="J77" s="27"/>
      <c r="K77" s="27"/>
      <c r="L77" s="58">
        <v>-5</v>
      </c>
      <c r="M77" s="27"/>
      <c r="N77" s="6"/>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ht="15.75">
      <c r="A78" s="26">
        <v>3</v>
      </c>
      <c r="B78" s="27" t="s">
        <v>51</v>
      </c>
      <c r="C78" s="27"/>
      <c r="D78" s="27"/>
      <c r="E78" s="27"/>
      <c r="F78" s="27"/>
      <c r="G78" s="27"/>
      <c r="H78" s="27"/>
      <c r="I78" s="27"/>
      <c r="J78" s="27"/>
      <c r="K78" s="27"/>
      <c r="L78" s="58">
        <f>-156-6</f>
        <v>-162</v>
      </c>
      <c r="M78" s="27"/>
      <c r="N78" s="6"/>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ht="15.75">
      <c r="A79" s="26">
        <v>4</v>
      </c>
      <c r="B79" s="27" t="s">
        <v>52</v>
      </c>
      <c r="C79" s="27"/>
      <c r="D79" s="27"/>
      <c r="E79" s="27"/>
      <c r="F79" s="27"/>
      <c r="G79" s="27"/>
      <c r="H79" s="27"/>
      <c r="I79" s="27"/>
      <c r="J79" s="27"/>
      <c r="K79" s="27"/>
      <c r="L79" s="58">
        <v>-7</v>
      </c>
      <c r="M79" s="27"/>
      <c r="N79" s="6"/>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ht="15.75">
      <c r="A80" s="26">
        <v>5</v>
      </c>
      <c r="B80" s="27" t="s">
        <v>53</v>
      </c>
      <c r="C80" s="27"/>
      <c r="D80" s="27"/>
      <c r="E80" s="27"/>
      <c r="F80" s="27"/>
      <c r="G80" s="27"/>
      <c r="H80" s="27"/>
      <c r="I80" s="27"/>
      <c r="J80" s="27"/>
      <c r="K80" s="27"/>
      <c r="L80" s="58">
        <f>-1620-10-1</f>
        <v>-1631</v>
      </c>
      <c r="M80" s="27"/>
      <c r="N80" s="6"/>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row>
    <row r="81" spans="1:256" ht="15.75">
      <c r="A81" s="26">
        <v>6</v>
      </c>
      <c r="B81" s="27" t="s">
        <v>54</v>
      </c>
      <c r="C81" s="27"/>
      <c r="D81" s="27"/>
      <c r="E81" s="27"/>
      <c r="F81" s="27"/>
      <c r="G81" s="27"/>
      <c r="H81" s="27"/>
      <c r="I81" s="27"/>
      <c r="J81" s="27"/>
      <c r="K81" s="27"/>
      <c r="L81" s="58">
        <v>-5</v>
      </c>
      <c r="M81" s="27"/>
      <c r="N81" s="6"/>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row>
    <row r="82" spans="1:256" ht="15.75">
      <c r="A82" s="26">
        <v>7</v>
      </c>
      <c r="B82" s="27" t="s">
        <v>55</v>
      </c>
      <c r="C82" s="27"/>
      <c r="D82" s="27"/>
      <c r="E82" s="27"/>
      <c r="F82" s="27"/>
      <c r="G82" s="27"/>
      <c r="H82" s="27"/>
      <c r="I82" s="27"/>
      <c r="J82" s="27"/>
      <c r="K82" s="27"/>
      <c r="L82" s="58">
        <v>-245</v>
      </c>
      <c r="M82" s="27"/>
      <c r="N82" s="6"/>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row>
    <row r="83" spans="1:256" ht="15.75">
      <c r="A83" s="26">
        <v>8</v>
      </c>
      <c r="B83" s="27" t="s">
        <v>56</v>
      </c>
      <c r="C83" s="27"/>
      <c r="D83" s="27"/>
      <c r="E83" s="27"/>
      <c r="F83" s="27"/>
      <c r="G83" s="27"/>
      <c r="H83" s="27"/>
      <c r="I83" s="27"/>
      <c r="J83" s="27"/>
      <c r="K83" s="27"/>
      <c r="L83" s="58">
        <v>-173</v>
      </c>
      <c r="M83" s="27"/>
      <c r="N83" s="6"/>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spans="1:256" ht="15.75">
      <c r="A84" s="26">
        <v>9</v>
      </c>
      <c r="B84" s="27" t="s">
        <v>57</v>
      </c>
      <c r="C84" s="27"/>
      <c r="D84" s="27"/>
      <c r="E84" s="27"/>
      <c r="F84" s="27"/>
      <c r="G84" s="27"/>
      <c r="H84" s="27"/>
      <c r="I84" s="27"/>
      <c r="J84" s="27"/>
      <c r="K84" s="27"/>
      <c r="L84" s="58">
        <v>0</v>
      </c>
      <c r="M84" s="27"/>
      <c r="N84" s="6"/>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row>
    <row r="85" spans="1:256" ht="15.75">
      <c r="A85" s="26">
        <v>10</v>
      </c>
      <c r="B85" s="27" t="s">
        <v>58</v>
      </c>
      <c r="C85" s="27"/>
      <c r="D85" s="27"/>
      <c r="E85" s="27"/>
      <c r="F85" s="27"/>
      <c r="G85" s="27"/>
      <c r="H85" s="27"/>
      <c r="I85" s="27"/>
      <c r="J85" s="27"/>
      <c r="K85" s="27"/>
      <c r="L85" s="58">
        <v>-83</v>
      </c>
      <c r="M85" s="27"/>
      <c r="N85" s="6"/>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row>
    <row r="86" spans="1:256" ht="15.75">
      <c r="A86" s="26">
        <v>11</v>
      </c>
      <c r="B86" s="27" t="s">
        <v>59</v>
      </c>
      <c r="C86" s="27"/>
      <c r="D86" s="27"/>
      <c r="E86" s="27"/>
      <c r="F86" s="27"/>
      <c r="G86" s="27"/>
      <c r="H86" s="27"/>
      <c r="I86" s="27"/>
      <c r="J86" s="27"/>
      <c r="K86" s="27"/>
      <c r="L86" s="58"/>
      <c r="M86" s="27"/>
      <c r="N86" s="6"/>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row>
    <row r="87" spans="1:256" ht="15.75">
      <c r="A87" s="26">
        <v>12</v>
      </c>
      <c r="B87" s="27" t="s">
        <v>60</v>
      </c>
      <c r="C87" s="27"/>
      <c r="D87" s="27"/>
      <c r="E87" s="27"/>
      <c r="F87" s="27"/>
      <c r="G87" s="27"/>
      <c r="H87" s="27"/>
      <c r="I87" s="27"/>
      <c r="J87" s="27"/>
      <c r="K87" s="27"/>
      <c r="L87" s="58">
        <f>SUM(L74:L85)*-1</f>
        <v>-1155</v>
      </c>
      <c r="M87" s="27"/>
      <c r="N87" s="6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row>
    <row r="88" spans="1:256" ht="15.75">
      <c r="A88" s="26"/>
      <c r="B88" s="65" t="s">
        <v>61</v>
      </c>
      <c r="C88" s="66"/>
      <c r="D88" s="27"/>
      <c r="E88" s="27"/>
      <c r="F88" s="27"/>
      <c r="G88" s="27"/>
      <c r="H88" s="27"/>
      <c r="I88" s="27"/>
      <c r="J88" s="27"/>
      <c r="K88" s="27"/>
      <c r="L88" s="68"/>
      <c r="M88" s="27"/>
      <c r="N88" s="6"/>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row>
    <row r="89" spans="1:256" ht="15.75">
      <c r="A89" s="26"/>
      <c r="B89" s="27" t="s">
        <v>62</v>
      </c>
      <c r="C89" s="66"/>
      <c r="D89" s="27"/>
      <c r="E89" s="27"/>
      <c r="F89" s="27"/>
      <c r="G89" s="27"/>
      <c r="H89" s="27"/>
      <c r="I89" s="27"/>
      <c r="J89" s="57">
        <v>-21</v>
      </c>
      <c r="K89" s="57"/>
      <c r="L89" s="58"/>
      <c r="M89" s="27"/>
      <c r="N89" s="6"/>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row>
    <row r="90" spans="1:256" ht="15.75">
      <c r="A90" s="26"/>
      <c r="B90" s="27" t="s">
        <v>63</v>
      </c>
      <c r="C90" s="27"/>
      <c r="D90" s="27"/>
      <c r="E90" s="27"/>
      <c r="F90" s="27"/>
      <c r="G90" s="27"/>
      <c r="H90" s="27"/>
      <c r="I90" s="27"/>
      <c r="J90" s="57">
        <v>-163</v>
      </c>
      <c r="K90" s="57"/>
      <c r="L90" s="58"/>
      <c r="M90" s="27"/>
      <c r="N90" s="6"/>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row>
    <row r="91" spans="1:256" ht="15.75">
      <c r="A91" s="26"/>
      <c r="B91" s="27" t="s">
        <v>64</v>
      </c>
      <c r="C91" s="27"/>
      <c r="D91" s="27"/>
      <c r="E91" s="27"/>
      <c r="F91" s="27"/>
      <c r="G91" s="27"/>
      <c r="H91" s="27"/>
      <c r="I91" s="27"/>
      <c r="J91" s="57">
        <v>-2887</v>
      </c>
      <c r="K91" s="57"/>
      <c r="L91" s="58"/>
      <c r="M91" s="27"/>
      <c r="N91" s="6"/>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spans="1:256" ht="15.75">
      <c r="A92" s="26"/>
      <c r="B92" s="27" t="s">
        <v>65</v>
      </c>
      <c r="C92" s="27"/>
      <c r="D92" s="27"/>
      <c r="E92" s="27"/>
      <c r="F92" s="27"/>
      <c r="G92" s="27"/>
      <c r="H92" s="27"/>
      <c r="I92" s="27"/>
      <c r="J92" s="57">
        <v>-6930</v>
      </c>
      <c r="K92" s="57"/>
      <c r="L92" s="58"/>
      <c r="M92" s="27"/>
      <c r="N92" s="6"/>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row>
    <row r="93" spans="1:256" ht="15.75">
      <c r="A93" s="26"/>
      <c r="B93" s="27" t="s">
        <v>66</v>
      </c>
      <c r="C93" s="27"/>
      <c r="D93" s="27"/>
      <c r="E93" s="27"/>
      <c r="F93" s="27"/>
      <c r="G93" s="27"/>
      <c r="H93" s="27"/>
      <c r="I93" s="27"/>
      <c r="J93" s="57">
        <v>0</v>
      </c>
      <c r="K93" s="57"/>
      <c r="L93" s="58"/>
      <c r="M93" s="27"/>
      <c r="N93" s="6"/>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row>
    <row r="94" spans="1:256" ht="15.75">
      <c r="A94" s="26"/>
      <c r="B94" s="27" t="s">
        <v>67</v>
      </c>
      <c r="C94" s="27"/>
      <c r="D94" s="27"/>
      <c r="E94" s="27"/>
      <c r="F94" s="27"/>
      <c r="G94" s="27"/>
      <c r="H94" s="27"/>
      <c r="I94" s="27"/>
      <c r="J94" s="57">
        <f>SUM(J75:J93)</f>
        <v>-10001</v>
      </c>
      <c r="K94" s="57"/>
      <c r="L94" s="57">
        <f>SUM(L75:L93)</f>
        <v>-3466</v>
      </c>
      <c r="M94" s="27"/>
      <c r="N94" s="6"/>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row>
    <row r="95" spans="1:256" ht="15.75">
      <c r="A95" s="26"/>
      <c r="B95" s="27" t="s">
        <v>68</v>
      </c>
      <c r="C95" s="27"/>
      <c r="D95" s="27"/>
      <c r="E95" s="27"/>
      <c r="F95" s="27"/>
      <c r="G95" s="27"/>
      <c r="H95" s="27"/>
      <c r="I95" s="27"/>
      <c r="J95" s="57">
        <f>J74+J94</f>
        <v>0</v>
      </c>
      <c r="K95" s="57"/>
      <c r="L95" s="57">
        <f>L74+L94</f>
        <v>0</v>
      </c>
      <c r="M95" s="27"/>
      <c r="N95" s="6"/>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row>
    <row r="96" spans="1:256" ht="15.75">
      <c r="A96" s="26"/>
      <c r="B96" s="27"/>
      <c r="C96" s="27"/>
      <c r="D96" s="27"/>
      <c r="E96" s="27"/>
      <c r="F96" s="27"/>
      <c r="G96" s="27"/>
      <c r="H96" s="27"/>
      <c r="I96" s="27"/>
      <c r="J96" s="57"/>
      <c r="K96" s="57"/>
      <c r="L96" s="57"/>
      <c r="M96" s="27"/>
      <c r="N96" s="6"/>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row>
    <row r="97" spans="1:256" ht="15.75">
      <c r="A97" s="8"/>
      <c r="B97" s="15"/>
      <c r="C97" s="10"/>
      <c r="D97" s="10"/>
      <c r="E97" s="10"/>
      <c r="F97" s="10"/>
      <c r="G97" s="10"/>
      <c r="H97" s="10"/>
      <c r="I97" s="10"/>
      <c r="J97" s="60"/>
      <c r="K97" s="60"/>
      <c r="L97" s="60"/>
      <c r="M97" s="10"/>
      <c r="N97" s="6"/>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row>
    <row r="98" spans="1:256" ht="15.75">
      <c r="A98" s="8"/>
      <c r="B98" s="10"/>
      <c r="C98" s="10"/>
      <c r="D98" s="10"/>
      <c r="E98" s="10"/>
      <c r="F98" s="10"/>
      <c r="G98" s="10"/>
      <c r="H98" s="10"/>
      <c r="I98" s="10"/>
      <c r="J98" s="60"/>
      <c r="K98" s="60"/>
      <c r="L98" s="60"/>
      <c r="M98" s="10"/>
      <c r="N98" s="6"/>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row>
    <row r="99" spans="1:256" ht="15.75">
      <c r="A99" s="8"/>
      <c r="B99" s="10"/>
      <c r="C99" s="10"/>
      <c r="D99" s="10"/>
      <c r="E99" s="10"/>
      <c r="F99" s="10"/>
      <c r="G99" s="10"/>
      <c r="H99" s="10"/>
      <c r="I99" s="10"/>
      <c r="J99" s="10"/>
      <c r="K99" s="10"/>
      <c r="L99" s="53"/>
      <c r="M99" s="10"/>
      <c r="N99" s="6"/>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spans="1:256" ht="15.75">
      <c r="A100" s="8"/>
      <c r="B100" s="10"/>
      <c r="C100" s="9"/>
      <c r="D100" s="10"/>
      <c r="E100" s="10"/>
      <c r="F100" s="10"/>
      <c r="G100" s="10"/>
      <c r="H100" s="10"/>
      <c r="I100" s="10"/>
      <c r="J100" s="10"/>
      <c r="K100" s="10"/>
      <c r="L100" s="53"/>
      <c r="M100" s="10"/>
      <c r="N100" s="6"/>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row>
    <row r="101" spans="1:256" ht="15.75">
      <c r="A101" s="2"/>
      <c r="B101" s="69" t="s">
        <v>69</v>
      </c>
      <c r="C101" s="5"/>
      <c r="D101" s="5"/>
      <c r="E101" s="5"/>
      <c r="F101" s="5"/>
      <c r="G101" s="5"/>
      <c r="H101" s="5"/>
      <c r="I101" s="5"/>
      <c r="J101" s="5"/>
      <c r="K101" s="5"/>
      <c r="L101" s="52"/>
      <c r="M101" s="70"/>
      <c r="N101" s="6"/>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row>
    <row r="102" spans="1:256" ht="15.75">
      <c r="A102" s="8"/>
      <c r="B102" s="10"/>
      <c r="C102" s="10"/>
      <c r="D102" s="10"/>
      <c r="E102" s="10"/>
      <c r="F102" s="10"/>
      <c r="G102" s="10"/>
      <c r="H102" s="10"/>
      <c r="I102" s="10"/>
      <c r="J102" s="10"/>
      <c r="K102" s="10"/>
      <c r="L102" s="53"/>
      <c r="M102" s="10"/>
      <c r="N102" s="6"/>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row>
    <row r="103" spans="1:256" ht="15.75">
      <c r="A103" s="26"/>
      <c r="B103" s="65" t="s">
        <v>70</v>
      </c>
      <c r="C103" s="71"/>
      <c r="D103" s="27"/>
      <c r="E103" s="27"/>
      <c r="F103" s="27"/>
      <c r="G103" s="27"/>
      <c r="H103" s="27"/>
      <c r="I103" s="27"/>
      <c r="J103" s="27"/>
      <c r="K103" s="27"/>
      <c r="L103" s="72"/>
      <c r="M103" s="27"/>
      <c r="N103" s="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row>
    <row r="104" spans="1:256" ht="15.75">
      <c r="A104" s="26"/>
      <c r="B104" s="27" t="s">
        <v>71</v>
      </c>
      <c r="C104" s="27"/>
      <c r="D104" s="27"/>
      <c r="E104" s="27"/>
      <c r="F104" s="27"/>
      <c r="G104" s="27"/>
      <c r="H104" s="27"/>
      <c r="I104" s="27"/>
      <c r="J104" s="27"/>
      <c r="K104" s="27"/>
      <c r="L104" s="58">
        <v>4515</v>
      </c>
      <c r="M104" s="27"/>
      <c r="N104" s="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row>
    <row r="105" spans="1:256" ht="15.75">
      <c r="A105" s="26"/>
      <c r="B105" s="27" t="s">
        <v>72</v>
      </c>
      <c r="C105" s="27"/>
      <c r="D105" s="27"/>
      <c r="E105" s="27"/>
      <c r="F105" s="27"/>
      <c r="G105" s="27"/>
      <c r="H105" s="27"/>
      <c r="I105" s="27"/>
      <c r="J105" s="27"/>
      <c r="K105" s="27"/>
      <c r="L105" s="58">
        <v>4515</v>
      </c>
      <c r="M105" s="27"/>
      <c r="N105" s="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row>
    <row r="106" spans="1:256" ht="15.75">
      <c r="A106" s="26"/>
      <c r="B106" s="27" t="s">
        <v>73</v>
      </c>
      <c r="C106" s="27"/>
      <c r="D106" s="27"/>
      <c r="E106" s="27"/>
      <c r="F106" s="27"/>
      <c r="G106" s="27"/>
      <c r="H106" s="27"/>
      <c r="I106" s="27"/>
      <c r="J106" s="27"/>
      <c r="K106" s="27"/>
      <c r="L106" s="58"/>
      <c r="M106" s="27"/>
      <c r="N106" s="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row>
    <row r="107" spans="1:256" ht="15.75">
      <c r="A107" s="26"/>
      <c r="B107" s="27" t="s">
        <v>74</v>
      </c>
      <c r="C107" s="27"/>
      <c r="D107" s="27"/>
      <c r="E107" s="27"/>
      <c r="F107" s="27"/>
      <c r="G107" s="27"/>
      <c r="H107" s="27"/>
      <c r="I107" s="27"/>
      <c r="J107" s="27"/>
      <c r="K107" s="27"/>
      <c r="L107" s="58">
        <v>0</v>
      </c>
      <c r="M107" s="27"/>
      <c r="N107" s="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spans="1:256" ht="15.75">
      <c r="A108" s="26"/>
      <c r="B108" s="27" t="s">
        <v>75</v>
      </c>
      <c r="C108" s="27"/>
      <c r="D108" s="27"/>
      <c r="E108" s="27"/>
      <c r="F108" s="27"/>
      <c r="G108" s="27"/>
      <c r="H108" s="27"/>
      <c r="I108" s="27"/>
      <c r="J108" s="27"/>
      <c r="K108" s="27"/>
      <c r="L108" s="58"/>
      <c r="M108" s="27"/>
      <c r="N108" s="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row>
    <row r="109" spans="1:256" ht="15.75">
      <c r="A109" s="26"/>
      <c r="B109" s="27" t="s">
        <v>53</v>
      </c>
      <c r="C109" s="27"/>
      <c r="D109" s="27"/>
      <c r="E109" s="27"/>
      <c r="F109" s="27"/>
      <c r="G109" s="27"/>
      <c r="H109" s="27"/>
      <c r="I109" s="27"/>
      <c r="J109" s="27"/>
      <c r="K109" s="27"/>
      <c r="L109" s="58"/>
      <c r="M109" s="27"/>
      <c r="N109" s="6"/>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row>
    <row r="110" spans="1:256" ht="15.75">
      <c r="A110" s="26"/>
      <c r="B110" s="27" t="s">
        <v>55</v>
      </c>
      <c r="C110" s="27"/>
      <c r="D110" s="27"/>
      <c r="E110" s="27"/>
      <c r="F110" s="27"/>
      <c r="G110" s="27"/>
      <c r="H110" s="27"/>
      <c r="I110" s="27"/>
      <c r="J110" s="27"/>
      <c r="K110" s="27"/>
      <c r="L110" s="58"/>
      <c r="M110" s="27"/>
      <c r="N110" s="6"/>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row>
    <row r="111" spans="1:256" ht="15.75">
      <c r="A111" s="26"/>
      <c r="B111" s="27" t="s">
        <v>76</v>
      </c>
      <c r="C111" s="27"/>
      <c r="D111" s="27"/>
      <c r="E111" s="27"/>
      <c r="F111" s="27"/>
      <c r="G111" s="27"/>
      <c r="H111" s="27"/>
      <c r="I111" s="27"/>
      <c r="J111" s="27"/>
      <c r="K111" s="27"/>
      <c r="L111" s="58">
        <f>L105-L107</f>
        <v>4515</v>
      </c>
      <c r="M111" s="27"/>
      <c r="N111" s="6"/>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row>
    <row r="112" spans="1:256" ht="15.75">
      <c r="A112" s="26"/>
      <c r="B112" s="27"/>
      <c r="C112" s="27"/>
      <c r="D112" s="27"/>
      <c r="E112" s="27"/>
      <c r="F112" s="27"/>
      <c r="G112" s="27"/>
      <c r="H112" s="27"/>
      <c r="I112" s="27"/>
      <c r="J112" s="27"/>
      <c r="K112" s="27"/>
      <c r="L112" s="72"/>
      <c r="M112" s="27"/>
      <c r="N112" s="6"/>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row>
    <row r="113" spans="1:256" ht="15.75">
      <c r="A113" s="2"/>
      <c r="B113" s="5"/>
      <c r="C113" s="5"/>
      <c r="D113" s="5"/>
      <c r="E113" s="5"/>
      <c r="F113" s="5"/>
      <c r="G113" s="5"/>
      <c r="H113" s="5"/>
      <c r="I113" s="5"/>
      <c r="J113" s="5"/>
      <c r="K113" s="5"/>
      <c r="L113" s="52"/>
      <c r="M113" s="5"/>
      <c r="N113" s="6"/>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row>
    <row r="114" spans="1:256" ht="15.75">
      <c r="A114" s="8"/>
      <c r="B114" s="73" t="s">
        <v>77</v>
      </c>
      <c r="C114" s="16"/>
      <c r="D114" s="10"/>
      <c r="E114" s="10"/>
      <c r="F114" s="10"/>
      <c r="G114" s="10"/>
      <c r="H114" s="10"/>
      <c r="I114" s="10"/>
      <c r="J114" s="10"/>
      <c r="K114" s="10"/>
      <c r="L114" s="74"/>
      <c r="M114" s="10"/>
      <c r="N114" s="6"/>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row>
    <row r="115" spans="1:256" ht="15.75">
      <c r="A115" s="8"/>
      <c r="B115" s="16"/>
      <c r="C115" s="16"/>
      <c r="D115" s="10"/>
      <c r="E115" s="10"/>
      <c r="F115" s="10"/>
      <c r="G115" s="10"/>
      <c r="H115" s="10"/>
      <c r="I115" s="10"/>
      <c r="J115" s="10"/>
      <c r="K115" s="10"/>
      <c r="L115" s="74"/>
      <c r="M115" s="10"/>
      <c r="N115" s="6"/>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spans="1:256" ht="15.75">
      <c r="A116" s="26"/>
      <c r="B116" s="27" t="s">
        <v>78</v>
      </c>
      <c r="C116" s="27"/>
      <c r="D116" s="27"/>
      <c r="E116" s="27"/>
      <c r="F116" s="27"/>
      <c r="G116" s="27"/>
      <c r="H116" s="27"/>
      <c r="I116" s="27"/>
      <c r="J116" s="27"/>
      <c r="K116" s="27"/>
      <c r="L116" s="58">
        <v>0</v>
      </c>
      <c r="M116" s="27"/>
      <c r="N116" s="6"/>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row>
    <row r="117" spans="1:256" ht="15.75">
      <c r="A117" s="26"/>
      <c r="B117" s="27" t="s">
        <v>79</v>
      </c>
      <c r="C117" s="27"/>
      <c r="D117" s="27"/>
      <c r="E117" s="27"/>
      <c r="F117" s="27"/>
      <c r="G117" s="27"/>
      <c r="H117" s="27"/>
      <c r="I117" s="27"/>
      <c r="J117" s="27"/>
      <c r="K117" s="27"/>
      <c r="L117" s="58">
        <v>83</v>
      </c>
      <c r="M117" s="27"/>
      <c r="N117" s="6"/>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row>
    <row r="118" spans="1:256" ht="15.75">
      <c r="A118" s="26"/>
      <c r="B118" s="27" t="s">
        <v>80</v>
      </c>
      <c r="C118" s="27"/>
      <c r="D118" s="27"/>
      <c r="E118" s="27"/>
      <c r="F118" s="27"/>
      <c r="G118" s="27"/>
      <c r="H118" s="27"/>
      <c r="I118" s="27"/>
      <c r="J118" s="27"/>
      <c r="K118" s="27"/>
      <c r="L118" s="58">
        <f>L117+L116</f>
        <v>83</v>
      </c>
      <c r="M118" s="27"/>
      <c r="N118" s="6"/>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row>
    <row r="119" spans="1:256" ht="15.75">
      <c r="A119" s="26"/>
      <c r="B119" s="27" t="s">
        <v>81</v>
      </c>
      <c r="C119" s="27"/>
      <c r="D119" s="27"/>
      <c r="E119" s="27"/>
      <c r="F119" s="27"/>
      <c r="G119" s="27"/>
      <c r="H119" s="75"/>
      <c r="I119" s="27"/>
      <c r="J119" s="27"/>
      <c r="K119" s="27"/>
      <c r="L119" s="58">
        <v>-83</v>
      </c>
      <c r="M119" s="27"/>
      <c r="N119" s="6"/>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row>
    <row r="120" spans="1:256" ht="15.75">
      <c r="A120" s="26"/>
      <c r="B120" s="27" t="s">
        <v>82</v>
      </c>
      <c r="C120" s="27"/>
      <c r="D120" s="27"/>
      <c r="E120" s="27"/>
      <c r="F120" s="27"/>
      <c r="G120" s="27"/>
      <c r="H120" s="27"/>
      <c r="I120" s="27"/>
      <c r="J120" s="27"/>
      <c r="K120" s="27"/>
      <c r="L120" s="58">
        <f>L118+L119</f>
        <v>0</v>
      </c>
      <c r="M120" s="27"/>
      <c r="N120" s="6"/>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row>
    <row r="121" spans="1:256" ht="7.5" customHeight="1">
      <c r="A121" s="26"/>
      <c r="B121" s="27"/>
      <c r="C121" s="27"/>
      <c r="D121" s="27"/>
      <c r="E121" s="27"/>
      <c r="F121" s="27"/>
      <c r="G121" s="27"/>
      <c r="H121" s="27"/>
      <c r="I121" s="27"/>
      <c r="J121" s="27"/>
      <c r="K121" s="27"/>
      <c r="L121" s="72"/>
      <c r="M121" s="27"/>
      <c r="N121" s="6"/>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row>
    <row r="122" spans="1:256" ht="6" customHeight="1">
      <c r="A122" s="2"/>
      <c r="B122" s="5"/>
      <c r="C122" s="5"/>
      <c r="D122" s="5"/>
      <c r="E122" s="5"/>
      <c r="F122" s="5"/>
      <c r="G122" s="5"/>
      <c r="H122" s="5"/>
      <c r="I122" s="5"/>
      <c r="J122" s="5"/>
      <c r="K122" s="5"/>
      <c r="L122" s="52"/>
      <c r="M122" s="5"/>
      <c r="N122" s="6"/>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row>
    <row r="123" spans="1:256" ht="15.75">
      <c r="A123" s="8"/>
      <c r="B123" s="73" t="s">
        <v>83</v>
      </c>
      <c r="C123" s="16"/>
      <c r="D123" s="10"/>
      <c r="E123" s="10"/>
      <c r="F123" s="10"/>
      <c r="G123" s="10"/>
      <c r="H123" s="10"/>
      <c r="I123" s="10"/>
      <c r="J123" s="10"/>
      <c r="K123" s="10"/>
      <c r="L123" s="53"/>
      <c r="M123" s="10"/>
      <c r="N123" s="6"/>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row>
    <row r="124" spans="1:256" ht="15.75">
      <c r="A124" s="8"/>
      <c r="B124" s="76"/>
      <c r="C124" s="16"/>
      <c r="D124" s="10"/>
      <c r="E124" s="10"/>
      <c r="F124" s="10"/>
      <c r="G124" s="10"/>
      <c r="H124" s="10"/>
      <c r="I124" s="10"/>
      <c r="J124" s="10"/>
      <c r="K124" s="10"/>
      <c r="L124" s="53"/>
      <c r="M124" s="10"/>
      <c r="N124" s="6"/>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row>
    <row r="125" spans="1:256" ht="15.75">
      <c r="A125" s="26"/>
      <c r="B125" s="27" t="s">
        <v>84</v>
      </c>
      <c r="C125" s="71"/>
      <c r="D125" s="27"/>
      <c r="E125" s="27"/>
      <c r="F125" s="27"/>
      <c r="G125" s="27"/>
      <c r="H125" s="27"/>
      <c r="I125" s="27"/>
      <c r="J125" s="27"/>
      <c r="K125" s="27"/>
      <c r="L125" s="58">
        <f>L52</f>
        <v>141845</v>
      </c>
      <c r="M125" s="27"/>
      <c r="N125" s="6"/>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row>
    <row r="126" spans="1:256" ht="15.75">
      <c r="A126" s="26"/>
      <c r="B126" s="27" t="s">
        <v>85</v>
      </c>
      <c r="C126" s="71"/>
      <c r="D126" s="27"/>
      <c r="E126" s="27"/>
      <c r="F126" s="27"/>
      <c r="G126" s="27"/>
      <c r="H126" s="27"/>
      <c r="I126" s="27"/>
      <c r="J126" s="27"/>
      <c r="K126" s="27"/>
      <c r="L126" s="58">
        <f>L64</f>
        <v>137504</v>
      </c>
      <c r="M126" s="27"/>
      <c r="N126" s="6"/>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row>
    <row r="127" spans="1:256" ht="7.5" customHeight="1">
      <c r="A127" s="26"/>
      <c r="B127" s="27"/>
      <c r="C127" s="27"/>
      <c r="D127" s="27"/>
      <c r="E127" s="27"/>
      <c r="F127" s="27"/>
      <c r="G127" s="27"/>
      <c r="H127" s="27"/>
      <c r="I127" s="27"/>
      <c r="J127" s="27"/>
      <c r="K127" s="27"/>
      <c r="L127" s="72"/>
      <c r="M127" s="27"/>
      <c r="N127" s="6"/>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row>
    <row r="128" spans="1:256" ht="15.75">
      <c r="A128" s="2"/>
      <c r="B128" s="5"/>
      <c r="C128" s="5"/>
      <c r="D128" s="5"/>
      <c r="E128" s="5"/>
      <c r="F128" s="5"/>
      <c r="G128" s="5"/>
      <c r="H128" s="5"/>
      <c r="I128" s="5"/>
      <c r="J128" s="5"/>
      <c r="K128" s="5"/>
      <c r="L128" s="52"/>
      <c r="M128" s="5"/>
      <c r="N128" s="6"/>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row>
    <row r="129" spans="1:256" ht="15.75">
      <c r="A129" s="8"/>
      <c r="B129" s="73" t="s">
        <v>86</v>
      </c>
      <c r="C129" s="16"/>
      <c r="D129" s="10"/>
      <c r="E129" s="10"/>
      <c r="F129" s="10"/>
      <c r="G129" s="10"/>
      <c r="H129" s="77" t="s">
        <v>163</v>
      </c>
      <c r="I129" s="77"/>
      <c r="J129" s="77" t="s">
        <v>175</v>
      </c>
      <c r="K129" s="12"/>
      <c r="L129" s="78" t="s">
        <v>189</v>
      </c>
      <c r="M129" s="12"/>
      <c r="N129" s="6"/>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row>
    <row r="130" spans="1:256" ht="15.75">
      <c r="A130" s="26"/>
      <c r="B130" s="27" t="s">
        <v>87</v>
      </c>
      <c r="C130" s="27"/>
      <c r="D130" s="27"/>
      <c r="E130" s="27"/>
      <c r="F130" s="27"/>
      <c r="G130" s="27"/>
      <c r="H130" s="58">
        <v>40000</v>
      </c>
      <c r="I130" s="27"/>
      <c r="J130" s="45" t="s">
        <v>176</v>
      </c>
      <c r="K130" s="27"/>
      <c r="L130" s="58"/>
      <c r="M130" s="27"/>
      <c r="N130" s="6"/>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row>
    <row r="131" spans="1:256" ht="15.75">
      <c r="A131" s="26"/>
      <c r="B131" s="27" t="s">
        <v>88</v>
      </c>
      <c r="C131" s="27"/>
      <c r="D131" s="27"/>
      <c r="E131" s="27"/>
      <c r="F131" s="27"/>
      <c r="G131" s="27"/>
      <c r="H131" s="58">
        <v>522</v>
      </c>
      <c r="I131" s="27"/>
      <c r="J131" s="27">
        <v>85</v>
      </c>
      <c r="K131" s="27"/>
      <c r="L131" s="58">
        <f>J131+H131</f>
        <v>607</v>
      </c>
      <c r="M131" s="27"/>
      <c r="N131" s="6"/>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row>
    <row r="132" spans="1:256" ht="15.75">
      <c r="A132" s="26"/>
      <c r="B132" s="27" t="s">
        <v>89</v>
      </c>
      <c r="C132" s="27"/>
      <c r="D132" s="27"/>
      <c r="E132" s="27"/>
      <c r="F132" s="27"/>
      <c r="G132" s="27"/>
      <c r="H132" s="58">
        <v>147</v>
      </c>
      <c r="I132" s="27"/>
      <c r="J132" s="27">
        <v>21</v>
      </c>
      <c r="K132" s="27"/>
      <c r="L132" s="58">
        <f>J132+H132</f>
        <v>168</v>
      </c>
      <c r="M132" s="27"/>
      <c r="N132" s="6"/>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row>
    <row r="133" spans="1:256" ht="15.75">
      <c r="A133" s="26"/>
      <c r="B133" s="27" t="s">
        <v>90</v>
      </c>
      <c r="C133" s="27"/>
      <c r="D133" s="27"/>
      <c r="E133" s="27"/>
      <c r="F133" s="27"/>
      <c r="G133" s="27"/>
      <c r="H133" s="58">
        <f>H132+H131</f>
        <v>669</v>
      </c>
      <c r="I133" s="27"/>
      <c r="J133" s="58">
        <f>J132+J131</f>
        <v>106</v>
      </c>
      <c r="K133" s="27"/>
      <c r="L133" s="58">
        <f>J133+H133</f>
        <v>775</v>
      </c>
      <c r="M133" s="27"/>
      <c r="N133" s="6"/>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c r="IU133" s="7"/>
      <c r="IV133" s="7"/>
    </row>
    <row r="134" spans="1:256" ht="15.75">
      <c r="A134" s="26"/>
      <c r="B134" s="27" t="s">
        <v>91</v>
      </c>
      <c r="C134" s="27"/>
      <c r="D134" s="27"/>
      <c r="E134" s="27"/>
      <c r="F134" s="27"/>
      <c r="G134" s="27"/>
      <c r="H134" s="58">
        <f>H130-H133</f>
        <v>39331</v>
      </c>
      <c r="I134" s="27"/>
      <c r="J134" s="45" t="s">
        <v>176</v>
      </c>
      <c r="K134" s="27"/>
      <c r="L134" s="58"/>
      <c r="M134" s="27"/>
      <c r="N134" s="6"/>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row>
    <row r="135" spans="1:256" ht="7.5" customHeight="1">
      <c r="A135" s="26"/>
      <c r="B135" s="27"/>
      <c r="C135" s="27"/>
      <c r="D135" s="27"/>
      <c r="E135" s="27"/>
      <c r="F135" s="27"/>
      <c r="G135" s="27"/>
      <c r="H135" s="27"/>
      <c r="I135" s="27"/>
      <c r="J135" s="27"/>
      <c r="K135" s="27"/>
      <c r="L135" s="72"/>
      <c r="M135" s="27"/>
      <c r="N135" s="6"/>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c r="IV135" s="7"/>
    </row>
    <row r="136" spans="1:256" ht="9" customHeight="1">
      <c r="A136" s="2"/>
      <c r="B136" s="5"/>
      <c r="C136" s="5"/>
      <c r="D136" s="5"/>
      <c r="E136" s="5"/>
      <c r="F136" s="5"/>
      <c r="G136" s="5"/>
      <c r="H136" s="5"/>
      <c r="I136" s="5"/>
      <c r="J136" s="5"/>
      <c r="K136" s="5"/>
      <c r="L136" s="52"/>
      <c r="M136" s="5"/>
      <c r="N136" s="6"/>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c r="IV136" s="7"/>
    </row>
    <row r="137" spans="1:256" ht="15.75">
      <c r="A137" s="8"/>
      <c r="B137" s="73" t="s">
        <v>92</v>
      </c>
      <c r="C137" s="16"/>
      <c r="D137" s="10"/>
      <c r="E137" s="10"/>
      <c r="F137" s="10"/>
      <c r="G137" s="10"/>
      <c r="H137" s="10"/>
      <c r="I137" s="10"/>
      <c r="J137" s="10"/>
      <c r="K137" s="10"/>
      <c r="L137" s="79"/>
      <c r="M137" s="10"/>
      <c r="N137" s="6"/>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row>
    <row r="138" spans="1:256" ht="15.75">
      <c r="A138" s="26"/>
      <c r="B138" s="27" t="s">
        <v>93</v>
      </c>
      <c r="C138" s="27"/>
      <c r="D138" s="27"/>
      <c r="E138" s="27"/>
      <c r="F138" s="27"/>
      <c r="G138" s="27"/>
      <c r="H138" s="27"/>
      <c r="I138" s="27"/>
      <c r="J138" s="27"/>
      <c r="K138" s="27"/>
      <c r="L138" s="68">
        <f>(L74+L77+L78+L79)/-L80</f>
        <v>2.018393623543838</v>
      </c>
      <c r="M138" s="27" t="s">
        <v>190</v>
      </c>
      <c r="N138" s="6"/>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c r="IV138" s="7"/>
    </row>
    <row r="139" spans="1:256" ht="15.75">
      <c r="A139" s="26"/>
      <c r="B139" s="27" t="s">
        <v>94</v>
      </c>
      <c r="C139" s="27"/>
      <c r="D139" s="27"/>
      <c r="E139" s="27"/>
      <c r="F139" s="27"/>
      <c r="G139" s="27"/>
      <c r="H139" s="27"/>
      <c r="I139" s="27"/>
      <c r="J139" s="27"/>
      <c r="K139" s="27"/>
      <c r="L139" s="80">
        <v>1.44</v>
      </c>
      <c r="M139" s="27" t="s">
        <v>190</v>
      </c>
      <c r="N139" s="6"/>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row>
    <row r="140" spans="1:256" ht="15.75">
      <c r="A140" s="26"/>
      <c r="B140" s="27" t="s">
        <v>95</v>
      </c>
      <c r="C140" s="27"/>
      <c r="D140" s="27"/>
      <c r="E140" s="27"/>
      <c r="F140" s="27"/>
      <c r="G140" s="27"/>
      <c r="H140" s="27"/>
      <c r="I140" s="27"/>
      <c r="J140" s="27"/>
      <c r="K140" s="27"/>
      <c r="L140" s="68">
        <f>(L74+SUM(L77:L81))/-L82</f>
        <v>6.759183673469388</v>
      </c>
      <c r="M140" s="27" t="s">
        <v>190</v>
      </c>
      <c r="N140" s="6"/>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c r="IU140" s="7"/>
      <c r="IV140" s="7"/>
    </row>
    <row r="141" spans="1:256" ht="15.75">
      <c r="A141" s="26"/>
      <c r="B141" s="27" t="s">
        <v>96</v>
      </c>
      <c r="C141" s="27"/>
      <c r="D141" s="27"/>
      <c r="E141" s="27"/>
      <c r="F141" s="27"/>
      <c r="G141" s="27"/>
      <c r="H141" s="27"/>
      <c r="I141" s="27"/>
      <c r="J141" s="27"/>
      <c r="K141" s="27"/>
      <c r="L141" s="81">
        <v>3.89</v>
      </c>
      <c r="M141" s="27" t="s">
        <v>190</v>
      </c>
      <c r="N141" s="6"/>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row>
    <row r="142" spans="1:256" ht="15.75">
      <c r="A142" s="26"/>
      <c r="B142" s="27" t="s">
        <v>97</v>
      </c>
      <c r="C142" s="27"/>
      <c r="D142" s="27"/>
      <c r="E142" s="27"/>
      <c r="F142" s="27"/>
      <c r="G142" s="27"/>
      <c r="H142" s="27"/>
      <c r="I142" s="27"/>
      <c r="J142" s="27"/>
      <c r="K142" s="27"/>
      <c r="L142" s="68">
        <f>(L74+L77+L78+L79+L80+L81+L82)/-L83</f>
        <v>8.15606936416185</v>
      </c>
      <c r="M142" s="27" t="s">
        <v>190</v>
      </c>
      <c r="N142" s="6"/>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c r="IU142" s="7"/>
      <c r="IV142" s="7"/>
    </row>
    <row r="143" spans="1:256" ht="15.75">
      <c r="A143" s="26"/>
      <c r="B143" s="27" t="s">
        <v>98</v>
      </c>
      <c r="C143" s="27"/>
      <c r="D143" s="27"/>
      <c r="E143" s="27"/>
      <c r="F143" s="27"/>
      <c r="G143" s="27"/>
      <c r="H143" s="27"/>
      <c r="I143" s="27"/>
      <c r="J143" s="27"/>
      <c r="K143" s="27"/>
      <c r="L143" s="80">
        <v>4.15</v>
      </c>
      <c r="M143" s="27" t="s">
        <v>190</v>
      </c>
      <c r="N143" s="6"/>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row>
    <row r="144" spans="1:256" ht="7.5" customHeight="1">
      <c r="A144" s="26"/>
      <c r="B144" s="27"/>
      <c r="C144" s="27"/>
      <c r="D144" s="27"/>
      <c r="E144" s="27"/>
      <c r="F144" s="27"/>
      <c r="G144" s="27"/>
      <c r="H144" s="27"/>
      <c r="I144" s="27"/>
      <c r="J144" s="27"/>
      <c r="K144" s="27"/>
      <c r="L144" s="27"/>
      <c r="M144" s="27"/>
      <c r="N144" s="6"/>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c r="IV144" s="7"/>
    </row>
    <row r="145" spans="1:256" ht="15.75">
      <c r="A145" s="8"/>
      <c r="B145" s="15"/>
      <c r="C145" s="15"/>
      <c r="D145" s="15"/>
      <c r="E145" s="15"/>
      <c r="F145" s="15"/>
      <c r="G145" s="15"/>
      <c r="H145" s="15"/>
      <c r="I145" s="15"/>
      <c r="J145" s="15"/>
      <c r="K145" s="15"/>
      <c r="L145" s="15"/>
      <c r="M145" s="15"/>
      <c r="N145" s="6"/>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row>
    <row r="146" spans="1:256" ht="15.75">
      <c r="A146" s="82"/>
      <c r="B146" s="83" t="s">
        <v>99</v>
      </c>
      <c r="C146" s="84"/>
      <c r="D146" s="84"/>
      <c r="E146" s="84"/>
      <c r="F146" s="84"/>
      <c r="G146" s="85"/>
      <c r="H146" s="85"/>
      <c r="I146" s="85"/>
      <c r="J146" s="85">
        <v>36311</v>
      </c>
      <c r="K146" s="86"/>
      <c r="L146" s="5"/>
      <c r="M146" s="5"/>
      <c r="N146" s="8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c r="IU146" s="7"/>
      <c r="IV146" s="7"/>
    </row>
    <row r="147" spans="1:256" ht="15.75">
      <c r="A147" s="88"/>
      <c r="B147" s="89"/>
      <c r="C147" s="90"/>
      <c r="D147" s="90"/>
      <c r="E147" s="90"/>
      <c r="F147" s="90"/>
      <c r="G147" s="91"/>
      <c r="H147" s="91"/>
      <c r="I147" s="91"/>
      <c r="J147" s="91"/>
      <c r="K147" s="10"/>
      <c r="L147" s="10"/>
      <c r="M147" s="10"/>
      <c r="N147" s="8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row>
    <row r="148" spans="1:256" ht="15.75">
      <c r="A148" s="92"/>
      <c r="B148" s="93" t="s">
        <v>100</v>
      </c>
      <c r="C148" s="94"/>
      <c r="D148" s="94"/>
      <c r="E148" s="94"/>
      <c r="F148" s="94"/>
      <c r="G148" s="75"/>
      <c r="H148" s="75"/>
      <c r="I148" s="75"/>
      <c r="J148" s="95">
        <v>0.0981</v>
      </c>
      <c r="K148" s="27"/>
      <c r="L148" s="27"/>
      <c r="M148" s="27"/>
      <c r="N148" s="8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c r="IV148" s="7"/>
    </row>
    <row r="149" spans="1:256" ht="15.75">
      <c r="A149" s="92"/>
      <c r="B149" s="93" t="s">
        <v>101</v>
      </c>
      <c r="C149" s="94"/>
      <c r="D149" s="94"/>
      <c r="E149" s="94"/>
      <c r="F149" s="94"/>
      <c r="G149" s="75"/>
      <c r="H149" s="75"/>
      <c r="I149" s="75"/>
      <c r="J149" s="44">
        <f>6.96640642439395/100</f>
        <v>0.0696640642439395</v>
      </c>
      <c r="K149" s="27"/>
      <c r="L149" s="27"/>
      <c r="M149" s="27"/>
      <c r="N149" s="8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row>
    <row r="150" spans="1:256" ht="15.75">
      <c r="A150" s="92"/>
      <c r="B150" s="93" t="s">
        <v>102</v>
      </c>
      <c r="C150" s="94"/>
      <c r="D150" s="94"/>
      <c r="E150" s="94"/>
      <c r="F150" s="94"/>
      <c r="G150" s="75"/>
      <c r="H150" s="75"/>
      <c r="I150" s="75"/>
      <c r="J150" s="95">
        <f>J148-J149</f>
        <v>0.0284359357560605</v>
      </c>
      <c r="K150" s="27"/>
      <c r="L150" s="27"/>
      <c r="M150" s="27"/>
      <c r="N150" s="8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c r="IV150" s="7"/>
    </row>
    <row r="151" spans="1:256" ht="15.75">
      <c r="A151" s="92"/>
      <c r="B151" s="93" t="s">
        <v>103</v>
      </c>
      <c r="C151" s="94"/>
      <c r="D151" s="94"/>
      <c r="E151" s="94"/>
      <c r="F151" s="94"/>
      <c r="G151" s="75"/>
      <c r="H151" s="75"/>
      <c r="I151" s="75"/>
      <c r="J151" s="95">
        <v>0.0874</v>
      </c>
      <c r="K151" s="27"/>
      <c r="L151" s="27"/>
      <c r="M151" s="27"/>
      <c r="N151" s="8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row>
    <row r="152" spans="1:256" ht="15.75">
      <c r="A152" s="92"/>
      <c r="B152" s="93" t="s">
        <v>104</v>
      </c>
      <c r="C152" s="94"/>
      <c r="D152" s="94"/>
      <c r="E152" s="94"/>
      <c r="F152" s="94"/>
      <c r="G152" s="75"/>
      <c r="H152" s="75"/>
      <c r="I152" s="75"/>
      <c r="J152" s="95">
        <f>L28</f>
        <v>0.05659743083199273</v>
      </c>
      <c r="K152" s="27"/>
      <c r="L152" s="27"/>
      <c r="M152" s="27"/>
      <c r="N152" s="8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row>
    <row r="153" spans="1:256" ht="15.75">
      <c r="A153" s="92"/>
      <c r="B153" s="93" t="s">
        <v>105</v>
      </c>
      <c r="C153" s="94"/>
      <c r="D153" s="94"/>
      <c r="E153" s="94"/>
      <c r="F153" s="94"/>
      <c r="G153" s="75"/>
      <c r="H153" s="75"/>
      <c r="I153" s="75"/>
      <c r="J153" s="95">
        <f>J151-J152</f>
        <v>0.030802569168007277</v>
      </c>
      <c r="K153" s="27"/>
      <c r="L153" s="27"/>
      <c r="M153" s="27"/>
      <c r="N153" s="8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row>
    <row r="154" spans="1:256" ht="15.75">
      <c r="A154" s="92"/>
      <c r="B154" s="93" t="s">
        <v>106</v>
      </c>
      <c r="C154" s="94"/>
      <c r="D154" s="94"/>
      <c r="E154" s="94"/>
      <c r="F154" s="94"/>
      <c r="G154" s="75"/>
      <c r="H154" s="75"/>
      <c r="I154" s="75"/>
      <c r="J154" s="95" t="s">
        <v>177</v>
      </c>
      <c r="K154" s="27"/>
      <c r="L154" s="27"/>
      <c r="M154" s="27"/>
      <c r="N154" s="8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c r="IU154" s="7"/>
      <c r="IV154" s="7"/>
    </row>
    <row r="155" spans="1:256" ht="15.75">
      <c r="A155" s="92"/>
      <c r="B155" s="93" t="s">
        <v>107</v>
      </c>
      <c r="C155" s="94"/>
      <c r="D155" s="94"/>
      <c r="E155" s="94"/>
      <c r="F155" s="94"/>
      <c r="G155" s="75"/>
      <c r="H155" s="75"/>
      <c r="I155" s="75"/>
      <c r="J155" s="95" t="s">
        <v>178</v>
      </c>
      <c r="K155" s="27"/>
      <c r="L155" s="27"/>
      <c r="M155" s="27"/>
      <c r="N155" s="8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spans="1:256" ht="15.75">
      <c r="A156" s="92"/>
      <c r="B156" s="93" t="s">
        <v>108</v>
      </c>
      <c r="C156" s="94"/>
      <c r="D156" s="94"/>
      <c r="E156" s="94"/>
      <c r="F156" s="94"/>
      <c r="G156" s="75"/>
      <c r="H156" s="75"/>
      <c r="I156" s="75"/>
      <c r="J156" s="95" t="s">
        <v>179</v>
      </c>
      <c r="K156" s="27"/>
      <c r="L156" s="27"/>
      <c r="M156" s="27"/>
      <c r="N156" s="8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row>
    <row r="157" spans="1:256" ht="15.75">
      <c r="A157" s="92"/>
      <c r="B157" s="93" t="s">
        <v>109</v>
      </c>
      <c r="C157" s="94"/>
      <c r="D157" s="94"/>
      <c r="E157" s="94"/>
      <c r="F157" s="94"/>
      <c r="G157" s="75"/>
      <c r="H157" s="75"/>
      <c r="I157" s="75"/>
      <c r="J157" s="95">
        <f>F52/D52*4</f>
        <v>0.2635212205526508</v>
      </c>
      <c r="K157" s="27"/>
      <c r="L157" s="27"/>
      <c r="M157" s="27"/>
      <c r="N157" s="87"/>
      <c r="O157" s="7"/>
      <c r="P157" s="96">
        <f>C52</f>
        <v>225733</v>
      </c>
      <c r="Q157" s="96">
        <f>D52</f>
        <v>151669</v>
      </c>
      <c r="R157" s="7">
        <v>157507136</v>
      </c>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c r="IU157" s="7"/>
      <c r="IV157" s="7"/>
    </row>
    <row r="158" spans="1:256" ht="15.75">
      <c r="A158" s="92"/>
      <c r="B158" s="93"/>
      <c r="C158" s="93"/>
      <c r="D158" s="93"/>
      <c r="E158" s="93"/>
      <c r="F158" s="93"/>
      <c r="G158" s="27"/>
      <c r="H158" s="27"/>
      <c r="I158" s="27"/>
      <c r="J158" s="72"/>
      <c r="K158" s="27"/>
      <c r="L158" s="97"/>
      <c r="M158" s="27"/>
      <c r="N158" s="87"/>
      <c r="O158" s="7"/>
      <c r="P158" s="96">
        <f>Q158</f>
        <v>9992</v>
      </c>
      <c r="Q158" s="96">
        <f>F52</f>
        <v>9992</v>
      </c>
      <c r="R158" s="7">
        <v>8943434</v>
      </c>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row>
    <row r="159" spans="1:256" ht="15.75">
      <c r="A159" s="98"/>
      <c r="B159" s="17" t="s">
        <v>110</v>
      </c>
      <c r="C159" s="20"/>
      <c r="D159" s="99"/>
      <c r="E159" s="20"/>
      <c r="F159" s="99"/>
      <c r="G159" s="20"/>
      <c r="H159" s="99"/>
      <c r="I159" s="20" t="s">
        <v>164</v>
      </c>
      <c r="J159" s="99" t="s">
        <v>180</v>
      </c>
      <c r="K159" s="18"/>
      <c r="L159" s="10"/>
      <c r="M159" s="10"/>
      <c r="N159" s="87"/>
      <c r="O159" s="7"/>
      <c r="P159" s="100">
        <f>P158/P157</f>
        <v>0.04426468438376312</v>
      </c>
      <c r="Q159" s="100">
        <f>Q158/Q157</f>
        <v>0.0658803051381627</v>
      </c>
      <c r="R159" s="100">
        <f>R158/R157</f>
        <v>0.056781135300434896</v>
      </c>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row>
    <row r="160" spans="1:256" ht="15.75">
      <c r="A160" s="101"/>
      <c r="B160" s="93" t="s">
        <v>111</v>
      </c>
      <c r="C160" s="59"/>
      <c r="D160" s="59"/>
      <c r="E160" s="59"/>
      <c r="F160" s="27"/>
      <c r="G160" s="27"/>
      <c r="H160" s="27"/>
      <c r="I160" s="27">
        <v>150</v>
      </c>
      <c r="J160" s="58">
        <v>10023</v>
      </c>
      <c r="K160" s="27"/>
      <c r="L160" s="97"/>
      <c r="M160" s="102"/>
      <c r="N160" s="87"/>
      <c r="O160" s="7"/>
      <c r="P160" s="7">
        <f>P159*4</f>
        <v>0.17705873753505247</v>
      </c>
      <c r="Q160" s="7">
        <f>Q159*4</f>
        <v>0.2635212205526508</v>
      </c>
      <c r="R160" s="7">
        <f>R159*4</f>
        <v>0.22712454120173958</v>
      </c>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row>
    <row r="161" spans="1:256" ht="15.75">
      <c r="A161" s="101"/>
      <c r="B161" s="93" t="s">
        <v>112</v>
      </c>
      <c r="C161" s="59"/>
      <c r="D161" s="59"/>
      <c r="E161" s="59"/>
      <c r="F161" s="27"/>
      <c r="G161" s="27"/>
      <c r="H161" s="27"/>
      <c r="I161" s="27">
        <v>13</v>
      </c>
      <c r="J161" s="58">
        <v>776</v>
      </c>
      <c r="K161" s="27"/>
      <c r="L161" s="97"/>
      <c r="M161" s="102"/>
      <c r="N161" s="8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row>
    <row r="162" spans="1:256" ht="15.75">
      <c r="A162" s="101"/>
      <c r="B162" s="103" t="s">
        <v>113</v>
      </c>
      <c r="C162" s="59"/>
      <c r="D162" s="59"/>
      <c r="E162" s="59"/>
      <c r="F162" s="27"/>
      <c r="G162" s="27"/>
      <c r="H162" s="27"/>
      <c r="I162" s="27"/>
      <c r="J162" s="68" t="s">
        <v>139</v>
      </c>
      <c r="K162" s="27"/>
      <c r="L162" s="97"/>
      <c r="M162" s="102"/>
      <c r="N162" s="8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row>
    <row r="163" spans="1:256" ht="15.75">
      <c r="A163" s="101"/>
      <c r="B163" s="103" t="s">
        <v>114</v>
      </c>
      <c r="C163" s="59"/>
      <c r="D163" s="59"/>
      <c r="E163" s="59"/>
      <c r="F163" s="27"/>
      <c r="G163" s="27"/>
      <c r="H163" s="27"/>
      <c r="I163" s="27"/>
      <c r="J163" s="68" t="s">
        <v>139</v>
      </c>
      <c r="K163" s="27"/>
      <c r="L163" s="97"/>
      <c r="M163" s="102"/>
      <c r="N163" s="8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row>
    <row r="164" spans="1:256" ht="15.75">
      <c r="A164" s="104"/>
      <c r="B164" s="103" t="s">
        <v>115</v>
      </c>
      <c r="C164" s="59"/>
      <c r="D164" s="93"/>
      <c r="E164" s="93"/>
      <c r="F164" s="93"/>
      <c r="G164" s="27"/>
      <c r="H164" s="27"/>
      <c r="I164" s="27"/>
      <c r="J164" s="68"/>
      <c r="K164" s="27"/>
      <c r="L164" s="97"/>
      <c r="M164" s="105"/>
      <c r="N164" s="8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row>
    <row r="165" spans="1:256" ht="15.75">
      <c r="A165" s="101"/>
      <c r="B165" s="93" t="s">
        <v>116</v>
      </c>
      <c r="C165" s="59"/>
      <c r="D165" s="59"/>
      <c r="E165" s="59"/>
      <c r="F165" s="59"/>
      <c r="G165" s="27"/>
      <c r="H165" s="27"/>
      <c r="I165" s="27">
        <v>6</v>
      </c>
      <c r="J165" s="58">
        <v>83</v>
      </c>
      <c r="K165" s="27"/>
      <c r="L165" s="97"/>
      <c r="M165" s="105"/>
      <c r="N165" s="8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row>
    <row r="166" spans="1:256" ht="15.75">
      <c r="A166" s="101"/>
      <c r="B166" s="93" t="s">
        <v>117</v>
      </c>
      <c r="C166" s="59"/>
      <c r="D166" s="59"/>
      <c r="E166" s="59"/>
      <c r="F166" s="59"/>
      <c r="G166" s="27"/>
      <c r="H166" s="27"/>
      <c r="I166" s="27">
        <v>52</v>
      </c>
      <c r="J166" s="58">
        <v>658</v>
      </c>
      <c r="K166" s="27"/>
      <c r="L166" s="97"/>
      <c r="M166" s="105"/>
      <c r="N166" s="8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row>
    <row r="167" spans="1:256" ht="15.75">
      <c r="A167" s="104"/>
      <c r="B167" s="103" t="s">
        <v>118</v>
      </c>
      <c r="C167" s="59"/>
      <c r="D167" s="93"/>
      <c r="E167" s="93"/>
      <c r="F167" s="93"/>
      <c r="G167" s="27"/>
      <c r="H167" s="27"/>
      <c r="I167" s="27"/>
      <c r="J167" s="58"/>
      <c r="K167" s="27"/>
      <c r="L167" s="97"/>
      <c r="M167" s="105"/>
      <c r="N167" s="8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row>
    <row r="168" spans="1:256" ht="15.75">
      <c r="A168" s="104"/>
      <c r="B168" s="93" t="s">
        <v>119</v>
      </c>
      <c r="C168" s="59"/>
      <c r="D168" s="93"/>
      <c r="E168" s="93"/>
      <c r="F168" s="93"/>
      <c r="G168" s="27"/>
      <c r="H168" s="27"/>
      <c r="I168" s="27">
        <v>6</v>
      </c>
      <c r="J168" s="58">
        <v>254</v>
      </c>
      <c r="K168" s="27"/>
      <c r="L168" s="97"/>
      <c r="M168" s="105"/>
      <c r="N168" s="8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row>
    <row r="169" spans="1:256" ht="15.75">
      <c r="A169" s="101"/>
      <c r="B169" s="93" t="s">
        <v>120</v>
      </c>
      <c r="C169" s="59"/>
      <c r="D169" s="106"/>
      <c r="E169" s="106"/>
      <c r="F169" s="107"/>
      <c r="G169" s="27"/>
      <c r="H169" s="27"/>
      <c r="I169" s="27"/>
      <c r="J169" s="68">
        <v>15.84</v>
      </c>
      <c r="K169" s="27"/>
      <c r="L169" s="97"/>
      <c r="M169" s="105"/>
      <c r="N169" s="8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c r="IT169" s="7"/>
      <c r="IU169" s="7"/>
      <c r="IV169" s="7"/>
    </row>
    <row r="170" spans="1:256" ht="15.75">
      <c r="A170" s="101"/>
      <c r="B170" s="93" t="s">
        <v>121</v>
      </c>
      <c r="C170" s="59"/>
      <c r="D170" s="106"/>
      <c r="E170" s="106"/>
      <c r="F170" s="107"/>
      <c r="G170" s="27"/>
      <c r="H170" s="27"/>
      <c r="I170" s="27"/>
      <c r="J170" s="68">
        <v>6.33</v>
      </c>
      <c r="K170" s="27"/>
      <c r="L170" s="97"/>
      <c r="M170" s="105"/>
      <c r="N170" s="8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row>
    <row r="171" spans="1:256" ht="15.75">
      <c r="A171" s="101"/>
      <c r="B171" s="93" t="s">
        <v>122</v>
      </c>
      <c r="C171" s="59"/>
      <c r="D171" s="108"/>
      <c r="E171" s="106"/>
      <c r="F171" s="107"/>
      <c r="G171" s="27"/>
      <c r="H171" s="27"/>
      <c r="I171" s="27"/>
      <c r="J171" s="109">
        <v>0.6983</v>
      </c>
      <c r="K171" s="27"/>
      <c r="L171" s="97"/>
      <c r="M171" s="105"/>
      <c r="N171" s="8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row>
    <row r="172" spans="1:256" ht="15.75">
      <c r="A172" s="101"/>
      <c r="B172" s="93"/>
      <c r="C172" s="59"/>
      <c r="D172" s="108"/>
      <c r="E172" s="106"/>
      <c r="F172" s="107"/>
      <c r="G172" s="27"/>
      <c r="H172" s="27"/>
      <c r="I172" s="27"/>
      <c r="J172" s="109"/>
      <c r="K172" s="27"/>
      <c r="L172" s="97"/>
      <c r="M172" s="105"/>
      <c r="N172" s="8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row>
    <row r="173" spans="1:256" ht="15.75">
      <c r="A173" s="8"/>
      <c r="B173" s="17" t="s">
        <v>123</v>
      </c>
      <c r="C173" s="110"/>
      <c r="D173" s="111"/>
      <c r="E173" s="110"/>
      <c r="F173" s="111"/>
      <c r="G173" s="110"/>
      <c r="H173" s="99" t="s">
        <v>164</v>
      </c>
      <c r="I173" s="20" t="s">
        <v>165</v>
      </c>
      <c r="J173" s="99" t="s">
        <v>181</v>
      </c>
      <c r="K173" s="20" t="s">
        <v>165</v>
      </c>
      <c r="L173" s="10"/>
      <c r="M173" s="112"/>
      <c r="N173" s="8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c r="IP173" s="7"/>
      <c r="IQ173" s="7"/>
      <c r="IR173" s="7"/>
      <c r="IS173" s="7"/>
      <c r="IT173" s="7"/>
      <c r="IU173" s="7"/>
      <c r="IV173" s="7"/>
    </row>
    <row r="174" spans="1:256" ht="15.75">
      <c r="A174" s="26"/>
      <c r="B174" s="59" t="s">
        <v>124</v>
      </c>
      <c r="C174" s="113"/>
      <c r="D174" s="59"/>
      <c r="E174" s="113"/>
      <c r="F174" s="27"/>
      <c r="G174" s="113"/>
      <c r="H174" s="59">
        <f>1147+1731</f>
        <v>2878</v>
      </c>
      <c r="I174" s="113">
        <f>H174/$H$180</f>
        <v>0.7998888271261813</v>
      </c>
      <c r="J174" s="58">
        <f>46193+60476</f>
        <v>106669</v>
      </c>
      <c r="K174" s="114">
        <f>J174/$J$180</f>
        <v>0.752010997920265</v>
      </c>
      <c r="L174" s="97"/>
      <c r="M174" s="105"/>
      <c r="N174" s="8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c r="IU174" s="7"/>
      <c r="IV174" s="7"/>
    </row>
    <row r="175" spans="1:256" ht="15.75">
      <c r="A175" s="26"/>
      <c r="B175" s="59" t="s">
        <v>125</v>
      </c>
      <c r="C175" s="113"/>
      <c r="D175" s="59"/>
      <c r="E175" s="113"/>
      <c r="F175" s="27"/>
      <c r="G175" s="115"/>
      <c r="H175" s="59">
        <f>85+39</f>
        <v>124</v>
      </c>
      <c r="I175" s="113">
        <f>H175/$H$180</f>
        <v>0.03446359088382435</v>
      </c>
      <c r="J175" s="58">
        <f>3624+1545</f>
        <v>5169</v>
      </c>
      <c r="K175" s="114">
        <f>J175/$J$180</f>
        <v>0.03644118580140294</v>
      </c>
      <c r="L175" s="97"/>
      <c r="M175" s="105"/>
      <c r="N175" s="8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c r="IP175" s="7"/>
      <c r="IQ175" s="7"/>
      <c r="IR175" s="7"/>
      <c r="IS175" s="7"/>
      <c r="IT175" s="7"/>
      <c r="IU175" s="7"/>
      <c r="IV175" s="7"/>
    </row>
    <row r="176" spans="1:256" ht="15.75">
      <c r="A176" s="26"/>
      <c r="B176" s="59" t="s">
        <v>126</v>
      </c>
      <c r="C176" s="113"/>
      <c r="D176" s="59"/>
      <c r="E176" s="113"/>
      <c r="F176" s="27"/>
      <c r="G176" s="115"/>
      <c r="H176" s="59">
        <f>43+19</f>
        <v>62</v>
      </c>
      <c r="I176" s="113">
        <f>H176/$H$180</f>
        <v>0.017231795441912175</v>
      </c>
      <c r="J176" s="58">
        <f>2125+734</f>
        <v>2859</v>
      </c>
      <c r="K176" s="114">
        <f>J176/$J$180</f>
        <v>0.02015580387042194</v>
      </c>
      <c r="L176" s="97"/>
      <c r="M176" s="105"/>
      <c r="N176" s="8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c r="IO176" s="7"/>
      <c r="IP176" s="7"/>
      <c r="IQ176" s="7"/>
      <c r="IR176" s="7"/>
      <c r="IS176" s="7"/>
      <c r="IT176" s="7"/>
      <c r="IU176" s="7"/>
      <c r="IV176" s="7"/>
    </row>
    <row r="177" spans="1:256" ht="15.75">
      <c r="A177" s="26"/>
      <c r="B177" s="59" t="s">
        <v>127</v>
      </c>
      <c r="C177" s="113"/>
      <c r="D177" s="59"/>
      <c r="E177" s="113"/>
      <c r="F177" s="27"/>
      <c r="G177" s="115"/>
      <c r="H177" s="59">
        <f>51+16+467</f>
        <v>534</v>
      </c>
      <c r="I177" s="113">
        <f>H177/$H$180</f>
        <v>0.14841578654808227</v>
      </c>
      <c r="J177" s="58">
        <v>25621</v>
      </c>
      <c r="K177" s="114">
        <f>J177/$J$180</f>
        <v>0.1806267404561317</v>
      </c>
      <c r="L177" s="97"/>
      <c r="M177" s="105"/>
      <c r="N177" s="8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c r="IM177" s="7"/>
      <c r="IN177" s="7"/>
      <c r="IO177" s="7"/>
      <c r="IP177" s="7"/>
      <c r="IQ177" s="7"/>
      <c r="IR177" s="7"/>
      <c r="IS177" s="7"/>
      <c r="IT177" s="7"/>
      <c r="IU177" s="7"/>
      <c r="IV177" s="7"/>
    </row>
    <row r="178" spans="1:256" ht="15.75">
      <c r="A178" s="26"/>
      <c r="B178" s="30"/>
      <c r="C178" s="113"/>
      <c r="D178" s="59"/>
      <c r="E178" s="113"/>
      <c r="F178" s="27"/>
      <c r="G178" s="115"/>
      <c r="H178" s="59"/>
      <c r="I178" s="113"/>
      <c r="J178" s="58"/>
      <c r="K178" s="114"/>
      <c r="L178" s="97"/>
      <c r="M178" s="105"/>
      <c r="N178" s="8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c r="IU178" s="7"/>
      <c r="IV178" s="7"/>
    </row>
    <row r="179" spans="1:256" ht="15.75">
      <c r="A179" s="26"/>
      <c r="B179" s="59" t="s">
        <v>128</v>
      </c>
      <c r="C179" s="116"/>
      <c r="D179" s="102"/>
      <c r="E179" s="116"/>
      <c r="F179" s="27"/>
      <c r="G179" s="116"/>
      <c r="H179" s="102"/>
      <c r="I179" s="116"/>
      <c r="J179" s="58">
        <v>1527</v>
      </c>
      <c r="K179" s="114">
        <f>J179/$J$180</f>
        <v>0.01076527195177835</v>
      </c>
      <c r="L179" s="97"/>
      <c r="M179" s="105"/>
      <c r="N179" s="8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row>
    <row r="180" spans="1:256" ht="15.75">
      <c r="A180" s="26"/>
      <c r="B180" s="27"/>
      <c r="C180" s="27"/>
      <c r="D180" s="27"/>
      <c r="E180" s="27"/>
      <c r="F180" s="27"/>
      <c r="G180" s="27"/>
      <c r="H180" s="57">
        <f>SUM(H174:H178)</f>
        <v>3598</v>
      </c>
      <c r="I180" s="114">
        <f>SUM(I174:I177)</f>
        <v>1</v>
      </c>
      <c r="J180" s="58">
        <f>SUM(J174:J179)</f>
        <v>141845</v>
      </c>
      <c r="K180" s="114">
        <f>SUM(K174:K179)</f>
        <v>1</v>
      </c>
      <c r="L180" s="97"/>
      <c r="M180" s="27"/>
      <c r="N180" s="8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c r="IP180" s="7"/>
      <c r="IQ180" s="7"/>
      <c r="IR180" s="7"/>
      <c r="IS180" s="7"/>
      <c r="IT180" s="7"/>
      <c r="IU180" s="7"/>
      <c r="IV180" s="7"/>
    </row>
    <row r="181" spans="1:256" ht="15.75">
      <c r="A181" s="26"/>
      <c r="B181" s="27"/>
      <c r="C181" s="27"/>
      <c r="D181" s="27"/>
      <c r="E181" s="27"/>
      <c r="F181" s="27"/>
      <c r="G181" s="27"/>
      <c r="H181" s="57"/>
      <c r="I181" s="114"/>
      <c r="J181" s="58"/>
      <c r="K181" s="114"/>
      <c r="L181" s="97"/>
      <c r="M181" s="27"/>
      <c r="N181" s="8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c r="IP181" s="7"/>
      <c r="IQ181" s="7"/>
      <c r="IR181" s="7"/>
      <c r="IS181" s="7"/>
      <c r="IT181" s="7"/>
      <c r="IU181" s="7"/>
      <c r="IV181" s="7"/>
    </row>
    <row r="182" spans="1:256" ht="15.75">
      <c r="A182" s="8"/>
      <c r="B182" s="10"/>
      <c r="C182" s="10"/>
      <c r="D182" s="10"/>
      <c r="E182" s="10"/>
      <c r="F182" s="10"/>
      <c r="G182" s="10"/>
      <c r="H182" s="60"/>
      <c r="I182" s="117"/>
      <c r="J182" s="118"/>
      <c r="K182" s="117"/>
      <c r="L182" s="79"/>
      <c r="M182" s="10"/>
      <c r="N182" s="8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c r="IP182" s="7"/>
      <c r="IQ182" s="7"/>
      <c r="IR182" s="7"/>
      <c r="IS182" s="7"/>
      <c r="IT182" s="7"/>
      <c r="IU182" s="7"/>
      <c r="IV182" s="7"/>
    </row>
    <row r="183" spans="1:256" ht="15.75">
      <c r="A183" s="119"/>
      <c r="B183" s="17" t="s">
        <v>129</v>
      </c>
      <c r="C183" s="120"/>
      <c r="D183" s="20" t="s">
        <v>144</v>
      </c>
      <c r="E183" s="18"/>
      <c r="F183" s="17" t="s">
        <v>154</v>
      </c>
      <c r="G183" s="121"/>
      <c r="H183" s="15"/>
      <c r="I183" s="15"/>
      <c r="J183" s="15"/>
      <c r="K183" s="15"/>
      <c r="L183" s="15"/>
      <c r="M183" s="15"/>
      <c r="N183" s="122"/>
      <c r="O183" s="123"/>
      <c r="P183" s="123"/>
      <c r="Q183" s="123"/>
      <c r="R183" s="123"/>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row>
    <row r="184" spans="1:256" ht="15.75">
      <c r="A184" s="119"/>
      <c r="B184" s="15"/>
      <c r="C184" s="15"/>
      <c r="D184" s="10"/>
      <c r="E184" s="10"/>
      <c r="F184" s="10"/>
      <c r="G184" s="15"/>
      <c r="H184" s="15"/>
      <c r="I184" s="15"/>
      <c r="J184" s="15"/>
      <c r="K184" s="15"/>
      <c r="L184" s="15"/>
      <c r="M184" s="15"/>
      <c r="N184" s="122"/>
      <c r="O184" s="123"/>
      <c r="P184" s="123"/>
      <c r="Q184" s="123"/>
      <c r="R184" s="123"/>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c r="IM184" s="7"/>
      <c r="IN184" s="7"/>
      <c r="IO184" s="7"/>
      <c r="IP184" s="7"/>
      <c r="IQ184" s="7"/>
      <c r="IR184" s="7"/>
      <c r="IS184" s="7"/>
      <c r="IT184" s="7"/>
      <c r="IU184" s="7"/>
      <c r="IV184" s="7"/>
    </row>
    <row r="185" spans="1:256" ht="15.75">
      <c r="A185" s="119"/>
      <c r="B185" s="16" t="s">
        <v>130</v>
      </c>
      <c r="C185" s="124"/>
      <c r="D185" s="125" t="s">
        <v>145</v>
      </c>
      <c r="E185" s="16"/>
      <c r="F185" s="16" t="s">
        <v>155</v>
      </c>
      <c r="G185" s="124"/>
      <c r="H185" s="124"/>
      <c r="I185" s="124"/>
      <c r="J185" s="15"/>
      <c r="K185" s="15"/>
      <c r="L185" s="15"/>
      <c r="M185" s="15"/>
      <c r="N185" s="122"/>
      <c r="O185" s="123"/>
      <c r="P185" s="123"/>
      <c r="Q185" s="123"/>
      <c r="R185" s="123"/>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c r="IO185" s="7"/>
      <c r="IP185" s="7"/>
      <c r="IQ185" s="7"/>
      <c r="IR185" s="7"/>
      <c r="IS185" s="7"/>
      <c r="IT185" s="7"/>
      <c r="IU185" s="7"/>
      <c r="IV185" s="7"/>
    </row>
    <row r="186" spans="1:256" ht="15.75">
      <c r="A186" s="119"/>
      <c r="B186" s="16" t="s">
        <v>131</v>
      </c>
      <c r="C186" s="124"/>
      <c r="D186" s="125" t="s">
        <v>146</v>
      </c>
      <c r="E186" s="16"/>
      <c r="F186" s="16" t="s">
        <v>156</v>
      </c>
      <c r="G186" s="124"/>
      <c r="H186" s="124"/>
      <c r="I186" s="124"/>
      <c r="J186" s="15"/>
      <c r="K186" s="15"/>
      <c r="L186" s="15"/>
      <c r="M186" s="15"/>
      <c r="N186" s="122"/>
      <c r="O186" s="123"/>
      <c r="P186" s="123"/>
      <c r="Q186" s="123"/>
      <c r="R186" s="123"/>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c r="IP186" s="7"/>
      <c r="IQ186" s="7"/>
      <c r="IR186" s="7"/>
      <c r="IS186" s="7"/>
      <c r="IT186" s="7"/>
      <c r="IU186" s="7"/>
      <c r="IV186" s="7"/>
    </row>
    <row r="187" spans="1:256" ht="15">
      <c r="A187" s="119"/>
      <c r="B187" s="15"/>
      <c r="C187" s="15"/>
      <c r="D187" s="15"/>
      <c r="E187" s="15"/>
      <c r="F187" s="15"/>
      <c r="G187" s="15"/>
      <c r="H187" s="15"/>
      <c r="I187" s="15"/>
      <c r="J187" s="15"/>
      <c r="K187" s="15"/>
      <c r="L187" s="15"/>
      <c r="M187" s="15"/>
      <c r="N187" s="122"/>
      <c r="O187" s="123"/>
      <c r="P187" s="123"/>
      <c r="Q187" s="123"/>
      <c r="R187" s="123"/>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row>
    <row r="188" spans="1:256" ht="15">
      <c r="A188" s="119"/>
      <c r="B188" s="15"/>
      <c r="C188" s="15"/>
      <c r="D188" s="15"/>
      <c r="E188" s="15"/>
      <c r="F188" s="15"/>
      <c r="G188" s="15"/>
      <c r="H188" s="15"/>
      <c r="I188" s="15"/>
      <c r="J188" s="15"/>
      <c r="K188" s="15"/>
      <c r="L188" s="15"/>
      <c r="M188" s="15"/>
      <c r="N188" s="122"/>
      <c r="O188" s="123"/>
      <c r="P188" s="123"/>
      <c r="Q188" s="123"/>
      <c r="R188" s="123"/>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c r="IT188" s="7"/>
      <c r="IU188" s="7"/>
      <c r="IV188" s="7"/>
    </row>
    <row r="189" spans="1:256" ht="15">
      <c r="A189" s="126"/>
      <c r="B189" s="126"/>
      <c r="C189" s="126"/>
      <c r="D189" s="126"/>
      <c r="E189" s="126"/>
      <c r="F189" s="126"/>
      <c r="G189" s="126"/>
      <c r="H189" s="126"/>
      <c r="I189" s="126"/>
      <c r="J189" s="126"/>
      <c r="K189" s="126"/>
      <c r="L189" s="126"/>
      <c r="M189" s="126"/>
      <c r="N189" s="12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c r="IP189" s="7"/>
      <c r="IQ189" s="7"/>
      <c r="IR189" s="7"/>
      <c r="IS189" s="7"/>
      <c r="IT189" s="7"/>
      <c r="IU189" s="7"/>
      <c r="IV189" s="7"/>
    </row>
    <row r="190" spans="1:256" ht="15">
      <c r="A190" s="7"/>
      <c r="B190" s="7"/>
      <c r="C190" s="7"/>
      <c r="D190" s="7"/>
      <c r="E190" s="7"/>
      <c r="F190" s="7"/>
      <c r="G190" s="7"/>
      <c r="H190" s="7"/>
      <c r="I190" s="7"/>
      <c r="J190" s="7"/>
      <c r="K190" s="7"/>
      <c r="L190" s="7"/>
      <c r="M190" s="7"/>
      <c r="N190" s="12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c r="IP190" s="7"/>
      <c r="IQ190" s="7"/>
      <c r="IR190" s="7"/>
      <c r="IS190" s="7"/>
      <c r="IT190" s="7"/>
      <c r="IU190" s="7"/>
      <c r="IV190" s="7"/>
    </row>
    <row r="191" spans="1:256" ht="15">
      <c r="A191" s="7"/>
      <c r="B191" s="7"/>
      <c r="C191" s="7"/>
      <c r="D191" s="7"/>
      <c r="E191" s="7"/>
      <c r="F191" s="7"/>
      <c r="G191" s="7"/>
      <c r="H191" s="7"/>
      <c r="I191" s="7"/>
      <c r="J191" s="7"/>
      <c r="K191" s="7"/>
      <c r="L191" s="7"/>
      <c r="M191" s="7"/>
      <c r="N191" s="12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c r="IP191" s="7"/>
      <c r="IQ191" s="7"/>
      <c r="IR191" s="7"/>
      <c r="IS191" s="7"/>
      <c r="IT191" s="7"/>
      <c r="IU191" s="7"/>
      <c r="IV191" s="7"/>
    </row>
    <row r="192" spans="1:256" ht="15.75">
      <c r="A192" s="7"/>
      <c r="B192" s="7"/>
      <c r="C192" s="7"/>
      <c r="D192" s="7"/>
      <c r="E192" s="7"/>
      <c r="F192" s="7"/>
      <c r="G192" s="7"/>
      <c r="H192" s="7"/>
      <c r="I192" s="7"/>
      <c r="J192" s="7"/>
      <c r="K192" s="7"/>
      <c r="L192" s="7"/>
      <c r="M192" s="128"/>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c r="IM192" s="7"/>
      <c r="IN192" s="7"/>
      <c r="IO192" s="7"/>
      <c r="IP192" s="7"/>
      <c r="IQ192" s="7"/>
      <c r="IR192" s="7"/>
      <c r="IS192" s="7"/>
      <c r="IT192" s="7"/>
      <c r="IU192" s="7"/>
      <c r="IV192" s="7"/>
    </row>
    <row r="193" spans="1:256" ht="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c r="IP193" s="7"/>
      <c r="IQ193" s="7"/>
      <c r="IR193" s="7"/>
      <c r="IS193" s="7"/>
      <c r="IT193" s="7"/>
      <c r="IU193" s="7"/>
      <c r="IV193" s="7"/>
    </row>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sheetData>
  <printOptions/>
  <pageMargins left="0.5" right="0.5" top="0.3" bottom="0.3423611111111111" header="0" footer="0"/>
  <pageSetup orientation="landscape" paperSize="9" scale="63"/>
  <headerFooter alignWithMargins="0">
    <oddFooter>&amp;LFFP1 INVESTOR REPORT QTR END AUGUST 2001</oddFooter>
  </headerFooter>
</worksheet>
</file>

<file path=xl/worksheets/sheet10.xml><?xml version="1.0" encoding="utf-8"?>
<worksheet xmlns="http://schemas.openxmlformats.org/spreadsheetml/2006/main" xmlns:r="http://schemas.openxmlformats.org/officeDocument/2006/relationships">
  <dimension ref="A1:N191"/>
  <sheetViews>
    <sheetView showOutlineSymbols="0" zoomScale="70" zoomScaleNormal="70" workbookViewId="0" topLeftCell="D1">
      <selection activeCell="M10" sqref="M10"/>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9.6640625" style="1" customWidth="1"/>
    <col min="12" max="12" width="13.6640625" style="1" customWidth="1"/>
    <col min="13" max="13" width="18.99609375" style="1" customWidth="1"/>
    <col min="14" max="16384" width="9.6640625" style="1" customWidth="1"/>
  </cols>
  <sheetData>
    <row r="1" spans="1:14" ht="20.25">
      <c r="A1" s="135"/>
      <c r="B1" s="3" t="s">
        <v>0</v>
      </c>
      <c r="C1" s="4"/>
      <c r="D1" s="5"/>
      <c r="E1" s="5"/>
      <c r="F1" s="5"/>
      <c r="G1" s="5"/>
      <c r="H1" s="5"/>
      <c r="I1" s="5"/>
      <c r="J1" s="5"/>
      <c r="K1" s="5"/>
      <c r="L1" s="5"/>
      <c r="M1" s="5"/>
      <c r="N1" s="138"/>
    </row>
    <row r="2" spans="1:14" ht="15.75">
      <c r="A2" s="119"/>
      <c r="B2" s="9"/>
      <c r="C2" s="9"/>
      <c r="D2" s="10"/>
      <c r="E2" s="10"/>
      <c r="F2" s="10"/>
      <c r="G2" s="10"/>
      <c r="H2" s="10"/>
      <c r="I2" s="10"/>
      <c r="J2" s="10"/>
      <c r="K2" s="10"/>
      <c r="L2" s="10"/>
      <c r="M2" s="10"/>
      <c r="N2" s="138"/>
    </row>
    <row r="3" spans="1:14" ht="15.75">
      <c r="A3" s="119"/>
      <c r="B3" s="12" t="s">
        <v>1</v>
      </c>
      <c r="C3" s="10"/>
      <c r="D3" s="10"/>
      <c r="E3" s="10"/>
      <c r="F3" s="10"/>
      <c r="G3" s="10"/>
      <c r="H3" s="10"/>
      <c r="I3" s="10"/>
      <c r="J3" s="10"/>
      <c r="K3" s="10"/>
      <c r="L3" s="10"/>
      <c r="M3" s="10"/>
      <c r="N3" s="138"/>
    </row>
    <row r="4" spans="1:14" ht="15.75">
      <c r="A4" s="119"/>
      <c r="B4" s="9"/>
      <c r="C4" s="9"/>
      <c r="D4" s="10"/>
      <c r="E4" s="10"/>
      <c r="F4" s="10"/>
      <c r="G4" s="10"/>
      <c r="H4" s="10"/>
      <c r="I4" s="10"/>
      <c r="J4" s="10"/>
      <c r="K4" s="10"/>
      <c r="L4" s="10"/>
      <c r="M4" s="10"/>
      <c r="N4" s="138"/>
    </row>
    <row r="5" spans="1:14" ht="15.75">
      <c r="A5" s="119"/>
      <c r="B5" s="13" t="s">
        <v>2</v>
      </c>
      <c r="C5" s="14"/>
      <c r="D5" s="10"/>
      <c r="E5" s="10"/>
      <c r="F5" s="10"/>
      <c r="G5" s="10"/>
      <c r="H5" s="10"/>
      <c r="I5" s="10"/>
      <c r="J5" s="10"/>
      <c r="K5" s="10"/>
      <c r="L5" s="10"/>
      <c r="M5" s="10"/>
      <c r="N5" s="138"/>
    </row>
    <row r="6" spans="1:14" ht="15.75">
      <c r="A6" s="119"/>
      <c r="B6" s="13" t="s">
        <v>3</v>
      </c>
      <c r="C6" s="14"/>
      <c r="D6" s="10"/>
      <c r="E6" s="10"/>
      <c r="F6" s="10"/>
      <c r="G6" s="10"/>
      <c r="H6" s="10"/>
      <c r="I6" s="10"/>
      <c r="J6" s="10"/>
      <c r="K6" s="10"/>
      <c r="L6" s="10"/>
      <c r="M6" s="10"/>
      <c r="N6" s="138"/>
    </row>
    <row r="7" spans="1:14" ht="15.75">
      <c r="A7" s="119"/>
      <c r="B7" s="13" t="s">
        <v>4</v>
      </c>
      <c r="C7" s="14"/>
      <c r="D7" s="10"/>
      <c r="E7" s="10"/>
      <c r="F7" s="10"/>
      <c r="G7" s="10"/>
      <c r="H7" s="10"/>
      <c r="I7" s="10"/>
      <c r="J7" s="10"/>
      <c r="K7" s="10"/>
      <c r="L7" s="10"/>
      <c r="M7" s="10"/>
      <c r="N7" s="138"/>
    </row>
    <row r="8" spans="1:14" ht="15.75">
      <c r="A8" s="119"/>
      <c r="B8" s="15"/>
      <c r="C8" s="14"/>
      <c r="D8" s="10"/>
      <c r="E8" s="10"/>
      <c r="F8" s="10"/>
      <c r="G8" s="10"/>
      <c r="H8" s="10"/>
      <c r="I8" s="10"/>
      <c r="J8" s="10"/>
      <c r="K8" s="10"/>
      <c r="L8" s="10"/>
      <c r="M8" s="10"/>
      <c r="N8" s="138"/>
    </row>
    <row r="9" spans="1:14" ht="15.75">
      <c r="A9" s="119"/>
      <c r="B9" s="14"/>
      <c r="C9" s="14"/>
      <c r="D9" s="16"/>
      <c r="E9" s="16"/>
      <c r="F9" s="10"/>
      <c r="G9" s="10"/>
      <c r="H9" s="10"/>
      <c r="I9" s="10"/>
      <c r="J9" s="10"/>
      <c r="K9" s="10"/>
      <c r="L9" s="10"/>
      <c r="M9" s="10"/>
      <c r="N9" s="138"/>
    </row>
    <row r="10" spans="1:14" ht="15.75">
      <c r="A10" s="119"/>
      <c r="B10" s="17" t="s">
        <v>5</v>
      </c>
      <c r="C10" s="16"/>
      <c r="D10" s="10"/>
      <c r="E10" s="10"/>
      <c r="F10" s="10"/>
      <c r="G10" s="10"/>
      <c r="H10" s="10"/>
      <c r="I10" s="10"/>
      <c r="J10" s="10"/>
      <c r="K10" s="10"/>
      <c r="L10" s="10"/>
      <c r="M10" s="10"/>
      <c r="N10" s="138"/>
    </row>
    <row r="11" spans="1:14" ht="15.75">
      <c r="A11" s="119"/>
      <c r="B11" s="16"/>
      <c r="C11" s="16"/>
      <c r="D11" s="10"/>
      <c r="E11" s="10"/>
      <c r="F11" s="10"/>
      <c r="G11" s="10"/>
      <c r="H11" s="10"/>
      <c r="I11" s="10"/>
      <c r="J11" s="10"/>
      <c r="K11" s="10"/>
      <c r="L11" s="10"/>
      <c r="M11" s="10"/>
      <c r="N11" s="138"/>
    </row>
    <row r="12" spans="1:14" ht="15.75">
      <c r="A12" s="135"/>
      <c r="B12" s="5"/>
      <c r="C12" s="5"/>
      <c r="D12" s="5"/>
      <c r="E12" s="5"/>
      <c r="F12" s="5"/>
      <c r="G12" s="5"/>
      <c r="H12" s="5"/>
      <c r="I12" s="5"/>
      <c r="J12" s="5"/>
      <c r="K12" s="5"/>
      <c r="L12" s="5"/>
      <c r="M12" s="5"/>
      <c r="N12" s="138"/>
    </row>
    <row r="13" spans="1:14" ht="15.75">
      <c r="A13" s="119"/>
      <c r="B13" s="17" t="s">
        <v>6</v>
      </c>
      <c r="C13" s="17"/>
      <c r="D13" s="18"/>
      <c r="E13" s="18"/>
      <c r="F13" s="18"/>
      <c r="G13" s="18"/>
      <c r="H13" s="18"/>
      <c r="I13" s="18"/>
      <c r="J13" s="18"/>
      <c r="K13" s="18"/>
      <c r="L13" s="19" t="s">
        <v>183</v>
      </c>
      <c r="M13" s="10"/>
      <c r="N13" s="138"/>
    </row>
    <row r="14" spans="1:14" ht="15.75">
      <c r="A14" s="8"/>
      <c r="B14" s="17" t="s">
        <v>206</v>
      </c>
      <c r="C14" s="17"/>
      <c r="D14" s="18"/>
      <c r="E14" s="18"/>
      <c r="F14" s="18"/>
      <c r="G14" s="18"/>
      <c r="H14" s="20" t="s">
        <v>209</v>
      </c>
      <c r="I14" s="142">
        <v>0.59</v>
      </c>
      <c r="J14" s="20" t="s">
        <v>210</v>
      </c>
      <c r="K14" s="142">
        <v>0.41</v>
      </c>
      <c r="L14" s="19"/>
      <c r="M14" s="18"/>
      <c r="N14" s="138"/>
    </row>
    <row r="15" spans="1:14" ht="15.75">
      <c r="A15" s="8"/>
      <c r="B15" s="17" t="s">
        <v>207</v>
      </c>
      <c r="C15" s="17"/>
      <c r="D15" s="18"/>
      <c r="E15" s="18"/>
      <c r="F15" s="18"/>
      <c r="G15" s="18"/>
      <c r="H15" s="20" t="s">
        <v>209</v>
      </c>
      <c r="I15" s="142">
        <v>0.48</v>
      </c>
      <c r="J15" s="20" t="s">
        <v>210</v>
      </c>
      <c r="K15" s="142">
        <v>0.52</v>
      </c>
      <c r="L15" s="19"/>
      <c r="M15" s="18"/>
      <c r="N15" s="138"/>
    </row>
    <row r="16" spans="1:14" ht="15.75">
      <c r="A16" s="119"/>
      <c r="B16" s="17" t="s">
        <v>7</v>
      </c>
      <c r="C16" s="17"/>
      <c r="D16" s="18"/>
      <c r="E16" s="18"/>
      <c r="F16" s="18"/>
      <c r="G16" s="18"/>
      <c r="H16" s="18"/>
      <c r="I16" s="18"/>
      <c r="J16" s="18"/>
      <c r="K16" s="18"/>
      <c r="L16" s="20" t="s">
        <v>184</v>
      </c>
      <c r="M16" s="10"/>
      <c r="N16" s="138"/>
    </row>
    <row r="17" spans="1:14" ht="15.75">
      <c r="A17" s="119"/>
      <c r="B17" s="17" t="s">
        <v>8</v>
      </c>
      <c r="C17" s="17"/>
      <c r="D17" s="18"/>
      <c r="E17" s="18"/>
      <c r="F17" s="18"/>
      <c r="G17" s="18"/>
      <c r="H17" s="18"/>
      <c r="I17" s="18"/>
      <c r="J17" s="18"/>
      <c r="K17" s="18"/>
      <c r="L17" s="21">
        <v>37161</v>
      </c>
      <c r="M17" s="10"/>
      <c r="N17" s="138"/>
    </row>
    <row r="18" spans="1:14" ht="15.75">
      <c r="A18" s="119"/>
      <c r="B18" s="10"/>
      <c r="C18" s="10"/>
      <c r="D18" s="10"/>
      <c r="E18" s="10"/>
      <c r="F18" s="10"/>
      <c r="G18" s="10"/>
      <c r="H18" s="10"/>
      <c r="I18" s="10"/>
      <c r="J18" s="10"/>
      <c r="K18" s="10"/>
      <c r="L18" s="22"/>
      <c r="M18" s="10"/>
      <c r="N18" s="138"/>
    </row>
    <row r="19" spans="1:14" ht="15.75">
      <c r="A19" s="119"/>
      <c r="B19" s="10" t="s">
        <v>9</v>
      </c>
      <c r="C19" s="10"/>
      <c r="D19" s="10"/>
      <c r="E19" s="10"/>
      <c r="F19" s="10"/>
      <c r="G19" s="10"/>
      <c r="H19" s="10"/>
      <c r="I19" s="10"/>
      <c r="J19" s="22" t="s">
        <v>166</v>
      </c>
      <c r="K19" s="10"/>
      <c r="L19" s="15"/>
      <c r="M19" s="10"/>
      <c r="N19" s="138"/>
    </row>
    <row r="20" spans="1:14" ht="15.75">
      <c r="A20" s="119"/>
      <c r="B20" s="10"/>
      <c r="C20" s="10"/>
      <c r="D20" s="10"/>
      <c r="E20" s="10"/>
      <c r="F20" s="10"/>
      <c r="G20" s="10"/>
      <c r="H20" s="10"/>
      <c r="I20" s="10"/>
      <c r="J20" s="10"/>
      <c r="K20" s="10"/>
      <c r="L20" s="23"/>
      <c r="M20" s="10"/>
      <c r="N20" s="138"/>
    </row>
    <row r="21" spans="1:14" ht="15.75">
      <c r="A21" s="119"/>
      <c r="B21" s="10"/>
      <c r="C21" s="24" t="s">
        <v>202</v>
      </c>
      <c r="D21" s="25" t="s">
        <v>135</v>
      </c>
      <c r="E21" s="25"/>
      <c r="F21" s="25" t="s">
        <v>147</v>
      </c>
      <c r="G21" s="25"/>
      <c r="H21" s="25" t="s">
        <v>157</v>
      </c>
      <c r="I21" s="25"/>
      <c r="J21" s="25" t="s">
        <v>167</v>
      </c>
      <c r="K21" s="15"/>
      <c r="L21" s="15"/>
      <c r="M21" s="10"/>
      <c r="N21" s="138"/>
    </row>
    <row r="22" spans="1:14" ht="15.75">
      <c r="A22" s="136"/>
      <c r="B22" s="27" t="s">
        <v>10</v>
      </c>
      <c r="C22" s="28" t="s">
        <v>203</v>
      </c>
      <c r="D22" s="29" t="s">
        <v>136</v>
      </c>
      <c r="E22" s="29"/>
      <c r="F22" s="29" t="s">
        <v>136</v>
      </c>
      <c r="G22" s="29"/>
      <c r="H22" s="29" t="s">
        <v>158</v>
      </c>
      <c r="I22" s="29"/>
      <c r="J22" s="29" t="s">
        <v>168</v>
      </c>
      <c r="K22" s="30"/>
      <c r="L22" s="30"/>
      <c r="M22" s="27"/>
      <c r="N22" s="138"/>
    </row>
    <row r="23" spans="1:14" ht="15.75">
      <c r="A23" s="136"/>
      <c r="B23" s="31" t="s">
        <v>11</v>
      </c>
      <c r="C23" s="31"/>
      <c r="D23" s="32" t="s">
        <v>136</v>
      </c>
      <c r="E23" s="32"/>
      <c r="F23" s="32" t="s">
        <v>136</v>
      </c>
      <c r="G23" s="32"/>
      <c r="H23" s="32" t="s">
        <v>158</v>
      </c>
      <c r="I23" s="32"/>
      <c r="J23" s="32" t="s">
        <v>168</v>
      </c>
      <c r="K23" s="130"/>
      <c r="L23" s="130"/>
      <c r="M23" s="27"/>
      <c r="N23" s="138"/>
    </row>
    <row r="24" spans="1:14" ht="15.75">
      <c r="A24" s="136"/>
      <c r="B24" s="27" t="s">
        <v>12</v>
      </c>
      <c r="C24" s="27"/>
      <c r="D24" s="33" t="s">
        <v>137</v>
      </c>
      <c r="E24" s="29"/>
      <c r="F24" s="33" t="s">
        <v>148</v>
      </c>
      <c r="G24" s="29"/>
      <c r="H24" s="33" t="s">
        <v>159</v>
      </c>
      <c r="I24" s="29"/>
      <c r="J24" s="33" t="s">
        <v>169</v>
      </c>
      <c r="K24" s="30"/>
      <c r="L24" s="30"/>
      <c r="M24" s="27"/>
      <c r="N24" s="138"/>
    </row>
    <row r="25" spans="1:14" ht="15.75">
      <c r="A25" s="136"/>
      <c r="B25" s="27"/>
      <c r="C25" s="27"/>
      <c r="D25" s="27"/>
      <c r="E25" s="29"/>
      <c r="F25" s="29"/>
      <c r="G25" s="29"/>
      <c r="H25" s="29"/>
      <c r="I25" s="29"/>
      <c r="J25" s="29"/>
      <c r="K25" s="30"/>
      <c r="L25" s="30"/>
      <c r="M25" s="27"/>
      <c r="N25" s="138"/>
    </row>
    <row r="26" spans="1:14" ht="15.75">
      <c r="A26" s="136"/>
      <c r="B26" s="27" t="s">
        <v>13</v>
      </c>
      <c r="C26" s="27"/>
      <c r="D26" s="34">
        <v>67000</v>
      </c>
      <c r="E26" s="35"/>
      <c r="F26" s="34">
        <v>128780</v>
      </c>
      <c r="G26" s="34"/>
      <c r="H26" s="34">
        <v>16920</v>
      </c>
      <c r="I26" s="34"/>
      <c r="J26" s="34">
        <v>11290</v>
      </c>
      <c r="K26" s="36"/>
      <c r="L26" s="34">
        <f>J26+H26+F26+D26</f>
        <v>223990</v>
      </c>
      <c r="M26" s="37"/>
      <c r="N26" s="138"/>
    </row>
    <row r="27" spans="1:14" ht="15.75">
      <c r="A27" s="136"/>
      <c r="B27" s="27" t="s">
        <v>14</v>
      </c>
      <c r="C27" s="93">
        <v>0.506399</v>
      </c>
      <c r="D27" s="34">
        <v>0</v>
      </c>
      <c r="E27" s="35"/>
      <c r="F27" s="34">
        <f>120780*C27</f>
        <v>61162.87122000001</v>
      </c>
      <c r="G27" s="34"/>
      <c r="H27" s="34">
        <f>16920*C30</f>
        <v>12350.804759999999</v>
      </c>
      <c r="I27" s="34"/>
      <c r="J27" s="34">
        <f>11290*C33</f>
        <v>8243.86768</v>
      </c>
      <c r="K27" s="36"/>
      <c r="L27" s="34">
        <f>J27+H27+F27+D27</f>
        <v>81757.54366000001</v>
      </c>
      <c r="M27" s="37"/>
      <c r="N27" s="138"/>
    </row>
    <row r="28" spans="1:14" ht="15.75">
      <c r="A28" s="137"/>
      <c r="B28" s="31" t="s">
        <v>15</v>
      </c>
      <c r="C28" s="93">
        <v>0.466221</v>
      </c>
      <c r="D28" s="40">
        <v>0</v>
      </c>
      <c r="E28" s="41"/>
      <c r="F28" s="40">
        <f>120780*C28</f>
        <v>56310.172379999996</v>
      </c>
      <c r="G28" s="40"/>
      <c r="H28" s="40">
        <f>16920*C31</f>
        <v>11370.39228</v>
      </c>
      <c r="I28" s="40"/>
      <c r="J28" s="40">
        <f>11290*C34</f>
        <v>7590.255709999999</v>
      </c>
      <c r="K28" s="42"/>
      <c r="L28" s="40">
        <f>J28+H28+F28+D28</f>
        <v>75270.82037</v>
      </c>
      <c r="M28" s="31"/>
      <c r="N28" s="138"/>
    </row>
    <row r="29" spans="1:14" ht="15.75">
      <c r="A29" s="136"/>
      <c r="B29" s="27" t="s">
        <v>16</v>
      </c>
      <c r="C29" s="27"/>
      <c r="D29" s="33" t="s">
        <v>138</v>
      </c>
      <c r="E29" s="27"/>
      <c r="F29" s="33" t="s">
        <v>149</v>
      </c>
      <c r="G29" s="33"/>
      <c r="H29" s="33" t="s">
        <v>160</v>
      </c>
      <c r="I29" s="33"/>
      <c r="J29" s="33" t="s">
        <v>170</v>
      </c>
      <c r="K29" s="30"/>
      <c r="L29" s="30"/>
      <c r="M29" s="27"/>
      <c r="N29" s="138"/>
    </row>
    <row r="30" spans="1:14" ht="15.75">
      <c r="A30" s="136"/>
      <c r="B30" s="27" t="s">
        <v>17</v>
      </c>
      <c r="C30" s="139">
        <v>0.729953</v>
      </c>
      <c r="D30" s="33" t="s">
        <v>139</v>
      </c>
      <c r="E30" s="27"/>
      <c r="F30" s="43">
        <v>0.0538375</v>
      </c>
      <c r="G30" s="44"/>
      <c r="H30" s="43">
        <v>0.0560375</v>
      </c>
      <c r="I30" s="44"/>
      <c r="J30" s="43">
        <v>0.0594375</v>
      </c>
      <c r="K30" s="30"/>
      <c r="L30" s="44">
        <f>SUMPRODUCT(D30:J30,D27:J27)/L27</f>
        <v>0.05473451116492668</v>
      </c>
      <c r="M30" s="27"/>
      <c r="N30" s="138"/>
    </row>
    <row r="31" spans="1:14" ht="15.75">
      <c r="A31" s="136"/>
      <c r="B31" s="27" t="s">
        <v>18</v>
      </c>
      <c r="C31" s="139">
        <v>0.672009</v>
      </c>
      <c r="D31" s="33" t="s">
        <v>139</v>
      </c>
      <c r="E31" s="27"/>
      <c r="F31" s="43">
        <f>(5.64688+0.13)/100</f>
        <v>0.0577688</v>
      </c>
      <c r="G31" s="44"/>
      <c r="H31" s="43">
        <f>(5.64688+0.35)/100</f>
        <v>0.0599688</v>
      </c>
      <c r="I31" s="44"/>
      <c r="J31" s="43">
        <f>(5.64688+0.69)/100</f>
        <v>0.0633688</v>
      </c>
      <c r="K31" s="30"/>
      <c r="L31" s="30"/>
      <c r="M31" s="27"/>
      <c r="N31" s="138"/>
    </row>
    <row r="32" spans="1:14" ht="15.75">
      <c r="A32" s="136"/>
      <c r="B32" s="27" t="s">
        <v>19</v>
      </c>
      <c r="C32" s="140"/>
      <c r="D32" s="33" t="s">
        <v>140</v>
      </c>
      <c r="E32" s="27"/>
      <c r="F32" s="33" t="s">
        <v>150</v>
      </c>
      <c r="G32" s="33"/>
      <c r="H32" s="33" t="s">
        <v>150</v>
      </c>
      <c r="I32" s="33"/>
      <c r="J32" s="33" t="s">
        <v>150</v>
      </c>
      <c r="K32" s="30"/>
      <c r="L32" s="30"/>
      <c r="M32" s="27"/>
      <c r="N32" s="138"/>
    </row>
    <row r="33" spans="1:14" ht="15.75">
      <c r="A33" s="136"/>
      <c r="B33" s="27" t="s">
        <v>20</v>
      </c>
      <c r="C33" s="139">
        <v>0.730192</v>
      </c>
      <c r="D33" s="33" t="s">
        <v>141</v>
      </c>
      <c r="E33" s="27"/>
      <c r="F33" s="33" t="s">
        <v>151</v>
      </c>
      <c r="G33" s="33"/>
      <c r="H33" s="33" t="s">
        <v>151</v>
      </c>
      <c r="I33" s="33"/>
      <c r="J33" s="33" t="s">
        <v>151</v>
      </c>
      <c r="K33" s="30"/>
      <c r="L33" s="30"/>
      <c r="M33" s="27"/>
      <c r="N33" s="138"/>
    </row>
    <row r="34" spans="1:14" ht="15.75">
      <c r="A34" s="136"/>
      <c r="B34" s="27" t="s">
        <v>21</v>
      </c>
      <c r="C34" s="139">
        <v>0.672299</v>
      </c>
      <c r="D34" s="33" t="s">
        <v>142</v>
      </c>
      <c r="E34" s="27"/>
      <c r="F34" s="33" t="s">
        <v>152</v>
      </c>
      <c r="G34" s="33"/>
      <c r="H34" s="33" t="s">
        <v>161</v>
      </c>
      <c r="I34" s="33"/>
      <c r="J34" s="33" t="s">
        <v>171</v>
      </c>
      <c r="K34" s="30"/>
      <c r="L34" s="30"/>
      <c r="M34" s="27"/>
      <c r="N34" s="138"/>
    </row>
    <row r="35" spans="1:14" ht="15.75">
      <c r="A35" s="136"/>
      <c r="B35" s="27"/>
      <c r="C35" s="27"/>
      <c r="D35" s="45"/>
      <c r="E35" s="45"/>
      <c r="F35" s="27"/>
      <c r="G35" s="45"/>
      <c r="H35" s="45"/>
      <c r="I35" s="45"/>
      <c r="J35" s="45"/>
      <c r="K35" s="45"/>
      <c r="L35" s="45"/>
      <c r="M35" s="27"/>
      <c r="N35" s="138"/>
    </row>
    <row r="36" spans="1:14" ht="15.75">
      <c r="A36" s="136"/>
      <c r="B36" s="27" t="s">
        <v>22</v>
      </c>
      <c r="C36" s="27"/>
      <c r="D36" s="27"/>
      <c r="E36" s="27"/>
      <c r="F36" s="27"/>
      <c r="G36" s="27"/>
      <c r="H36" s="27"/>
      <c r="I36" s="27"/>
      <c r="J36" s="27"/>
      <c r="K36" s="27"/>
      <c r="L36" s="44">
        <f>(H26+J26)/(D26+F26)</f>
        <v>0.14409030544488713</v>
      </c>
      <c r="M36" s="27"/>
      <c r="N36" s="138"/>
    </row>
    <row r="37" spans="1:14" ht="15.75">
      <c r="A37" s="136"/>
      <c r="B37" s="27" t="s">
        <v>23</v>
      </c>
      <c r="C37" s="27"/>
      <c r="D37" s="27"/>
      <c r="E37" s="27"/>
      <c r="F37" s="27"/>
      <c r="G37" s="27"/>
      <c r="H37" s="27"/>
      <c r="I37" s="27"/>
      <c r="J37" s="27"/>
      <c r="K37" s="27"/>
      <c r="L37" s="44">
        <f>(H28+J28)/(D28+F28)</f>
        <v>0.33671798875072095</v>
      </c>
      <c r="M37" s="27"/>
      <c r="N37" s="138"/>
    </row>
    <row r="38" spans="1:14" ht="15.75">
      <c r="A38" s="136"/>
      <c r="B38" s="27" t="s">
        <v>24</v>
      </c>
      <c r="C38" s="27"/>
      <c r="D38" s="27"/>
      <c r="E38" s="27"/>
      <c r="F38" s="27"/>
      <c r="G38" s="27"/>
      <c r="H38" s="27"/>
      <c r="I38" s="27"/>
      <c r="J38" s="33" t="s">
        <v>172</v>
      </c>
      <c r="K38" s="33" t="s">
        <v>182</v>
      </c>
      <c r="L38" s="34">
        <v>83785000</v>
      </c>
      <c r="M38" s="27"/>
      <c r="N38" s="138"/>
    </row>
    <row r="39" spans="1:14" ht="15.75">
      <c r="A39" s="136"/>
      <c r="B39" s="27"/>
      <c r="C39" s="27"/>
      <c r="D39" s="27"/>
      <c r="E39" s="27"/>
      <c r="F39" s="27"/>
      <c r="G39" s="27"/>
      <c r="H39" s="27"/>
      <c r="I39" s="27"/>
      <c r="J39" s="27"/>
      <c r="K39" s="27"/>
      <c r="L39" s="46"/>
      <c r="M39" s="27"/>
      <c r="N39" s="138"/>
    </row>
    <row r="40" spans="1:14" ht="15.75">
      <c r="A40" s="136"/>
      <c r="B40" s="27" t="s">
        <v>25</v>
      </c>
      <c r="C40" s="27"/>
      <c r="D40" s="27"/>
      <c r="E40" s="27"/>
      <c r="F40" s="27"/>
      <c r="G40" s="27"/>
      <c r="H40" s="27"/>
      <c r="I40" s="27"/>
      <c r="J40" s="33"/>
      <c r="K40" s="33"/>
      <c r="L40" s="33" t="s">
        <v>185</v>
      </c>
      <c r="M40" s="27"/>
      <c r="N40" s="138"/>
    </row>
    <row r="41" spans="1:14" ht="15.75">
      <c r="A41" s="136"/>
      <c r="B41" s="31" t="s">
        <v>26</v>
      </c>
      <c r="C41" s="31"/>
      <c r="D41" s="31"/>
      <c r="E41" s="31"/>
      <c r="F41" s="31"/>
      <c r="G41" s="31"/>
      <c r="H41" s="31"/>
      <c r="I41" s="31"/>
      <c r="J41" s="47"/>
      <c r="K41" s="47"/>
      <c r="L41" s="48">
        <v>37134</v>
      </c>
      <c r="M41" s="31"/>
      <c r="N41" s="138"/>
    </row>
    <row r="42" spans="1:14" ht="15.75">
      <c r="A42" s="136"/>
      <c r="B42" s="27" t="s">
        <v>27</v>
      </c>
      <c r="C42" s="27"/>
      <c r="D42" s="27"/>
      <c r="E42" s="27"/>
      <c r="F42" s="27"/>
      <c r="G42" s="27"/>
      <c r="H42" s="30"/>
      <c r="I42" s="27">
        <f>L42-J42+1</f>
        <v>92</v>
      </c>
      <c r="J42" s="49">
        <v>36950</v>
      </c>
      <c r="K42" s="50"/>
      <c r="L42" s="49">
        <v>37041</v>
      </c>
      <c r="M42" s="27"/>
      <c r="N42" s="138"/>
    </row>
    <row r="43" spans="1:14" ht="15.75">
      <c r="A43" s="136"/>
      <c r="B43" s="27" t="s">
        <v>28</v>
      </c>
      <c r="C43" s="27"/>
      <c r="D43" s="27"/>
      <c r="E43" s="27"/>
      <c r="F43" s="27"/>
      <c r="G43" s="27"/>
      <c r="H43" s="30"/>
      <c r="I43" s="27">
        <f>L43-J43+1</f>
        <v>92</v>
      </c>
      <c r="J43" s="49">
        <v>37042</v>
      </c>
      <c r="K43" s="50"/>
      <c r="L43" s="49">
        <v>37133</v>
      </c>
      <c r="M43" s="27"/>
      <c r="N43" s="138"/>
    </row>
    <row r="44" spans="1:14" ht="15.75">
      <c r="A44" s="136"/>
      <c r="B44" s="27" t="s">
        <v>29</v>
      </c>
      <c r="C44" s="27"/>
      <c r="D44" s="27"/>
      <c r="E44" s="27"/>
      <c r="F44" s="27"/>
      <c r="G44" s="27"/>
      <c r="H44" s="27"/>
      <c r="I44" s="27"/>
      <c r="J44" s="49"/>
      <c r="K44" s="50"/>
      <c r="L44" s="49" t="s">
        <v>186</v>
      </c>
      <c r="M44" s="27"/>
      <c r="N44" s="138"/>
    </row>
    <row r="45" spans="1:14" ht="15.75">
      <c r="A45" s="136"/>
      <c r="B45" s="27" t="s">
        <v>30</v>
      </c>
      <c r="C45" s="27"/>
      <c r="D45" s="27"/>
      <c r="E45" s="27"/>
      <c r="F45" s="27"/>
      <c r="G45" s="27"/>
      <c r="H45" s="27"/>
      <c r="I45" s="27"/>
      <c r="J45" s="49"/>
      <c r="K45" s="50"/>
      <c r="L45" s="49">
        <v>37125</v>
      </c>
      <c r="M45" s="27"/>
      <c r="N45" s="138"/>
    </row>
    <row r="46" spans="1:14" ht="15.75">
      <c r="A46" s="136"/>
      <c r="B46" s="27"/>
      <c r="C46" s="27"/>
      <c r="D46" s="27"/>
      <c r="E46" s="27"/>
      <c r="F46" s="27"/>
      <c r="G46" s="27"/>
      <c r="H46" s="27"/>
      <c r="I46" s="27"/>
      <c r="J46" s="27"/>
      <c r="K46" s="27"/>
      <c r="L46" s="51"/>
      <c r="M46" s="27"/>
      <c r="N46" s="138"/>
    </row>
    <row r="47" spans="1:14" ht="15.75">
      <c r="A47" s="135"/>
      <c r="B47" s="5"/>
      <c r="C47" s="5"/>
      <c r="D47" s="5"/>
      <c r="E47" s="5"/>
      <c r="F47" s="5"/>
      <c r="G47" s="5"/>
      <c r="H47" s="5"/>
      <c r="I47" s="5"/>
      <c r="J47" s="5"/>
      <c r="K47" s="5"/>
      <c r="L47" s="52"/>
      <c r="M47" s="5"/>
      <c r="N47" s="138"/>
    </row>
    <row r="48" spans="1:14" ht="15.75">
      <c r="A48" s="119"/>
      <c r="B48" s="63" t="s">
        <v>31</v>
      </c>
      <c r="C48" s="16"/>
      <c r="D48" s="10"/>
      <c r="E48" s="10"/>
      <c r="F48" s="10"/>
      <c r="G48" s="10"/>
      <c r="H48" s="10"/>
      <c r="I48" s="10"/>
      <c r="J48" s="10"/>
      <c r="K48" s="10"/>
      <c r="L48" s="53"/>
      <c r="M48" s="10"/>
      <c r="N48" s="138"/>
    </row>
    <row r="49" spans="1:14" ht="15.75">
      <c r="A49" s="119"/>
      <c r="B49" s="16"/>
      <c r="C49" s="16"/>
      <c r="D49" s="10"/>
      <c r="E49" s="10"/>
      <c r="F49" s="10"/>
      <c r="G49" s="10"/>
      <c r="H49" s="10"/>
      <c r="I49" s="10"/>
      <c r="J49" s="10"/>
      <c r="K49" s="10"/>
      <c r="L49" s="53"/>
      <c r="M49" s="10"/>
      <c r="N49" s="138"/>
    </row>
    <row r="50" spans="1:14" ht="63">
      <c r="A50" s="119"/>
      <c r="B50" s="54" t="s">
        <v>32</v>
      </c>
      <c r="C50" s="55" t="s">
        <v>134</v>
      </c>
      <c r="D50" s="55" t="s">
        <v>143</v>
      </c>
      <c r="E50" s="55"/>
      <c r="F50" s="55" t="s">
        <v>153</v>
      </c>
      <c r="G50" s="55"/>
      <c r="H50" s="55" t="s">
        <v>162</v>
      </c>
      <c r="I50" s="55"/>
      <c r="J50" s="55" t="s">
        <v>173</v>
      </c>
      <c r="K50" s="55"/>
      <c r="L50" s="56" t="s">
        <v>187</v>
      </c>
      <c r="M50" s="10"/>
      <c r="N50" s="138"/>
    </row>
    <row r="51" spans="1:14" ht="15.75">
      <c r="A51" s="136"/>
      <c r="B51" s="27" t="s">
        <v>33</v>
      </c>
      <c r="C51" s="57">
        <v>220604</v>
      </c>
      <c r="D51" s="58">
        <v>85239</v>
      </c>
      <c r="E51" s="57"/>
      <c r="F51" s="57">
        <f>6383+3+189+33+1</f>
        <v>6609</v>
      </c>
      <c r="G51" s="57"/>
      <c r="H51" s="57">
        <f>189+3</f>
        <v>192</v>
      </c>
      <c r="I51" s="57"/>
      <c r="J51" s="57">
        <v>0</v>
      </c>
      <c r="K51" s="57"/>
      <c r="L51" s="58">
        <f>D51-F51+H51-J51</f>
        <v>78822</v>
      </c>
      <c r="M51" s="27"/>
      <c r="N51" s="138"/>
    </row>
    <row r="52" spans="1:14" ht="15.75">
      <c r="A52" s="136"/>
      <c r="B52" s="27" t="s">
        <v>34</v>
      </c>
      <c r="C52" s="57">
        <v>5129</v>
      </c>
      <c r="D52" s="58">
        <v>468</v>
      </c>
      <c r="E52" s="57"/>
      <c r="F52" s="57">
        <v>52</v>
      </c>
      <c r="G52" s="57"/>
      <c r="H52" s="57">
        <v>0</v>
      </c>
      <c r="I52" s="57"/>
      <c r="J52" s="57">
        <v>0</v>
      </c>
      <c r="K52" s="57"/>
      <c r="L52" s="58">
        <f>D52-F52</f>
        <v>416</v>
      </c>
      <c r="M52" s="27"/>
      <c r="N52" s="138"/>
    </row>
    <row r="53" spans="1:14" ht="15.75">
      <c r="A53" s="136"/>
      <c r="B53" s="27"/>
      <c r="C53" s="57"/>
      <c r="D53" s="58"/>
      <c r="E53" s="57"/>
      <c r="F53" s="57"/>
      <c r="G53" s="57"/>
      <c r="H53" s="57"/>
      <c r="I53" s="57"/>
      <c r="J53" s="57"/>
      <c r="K53" s="57"/>
      <c r="L53" s="58"/>
      <c r="M53" s="27"/>
      <c r="N53" s="138"/>
    </row>
    <row r="54" spans="1:14" ht="15.75">
      <c r="A54" s="136"/>
      <c r="B54" s="27" t="s">
        <v>35</v>
      </c>
      <c r="C54" s="57">
        <f>SUM(C51:C53)</f>
        <v>225733</v>
      </c>
      <c r="D54" s="59">
        <f>D52+D51</f>
        <v>85707</v>
      </c>
      <c r="E54" s="57"/>
      <c r="F54" s="57">
        <f>SUM(F51:F53)</f>
        <v>6661</v>
      </c>
      <c r="G54" s="57"/>
      <c r="H54" s="57">
        <f>SUM(H51:H53)</f>
        <v>192</v>
      </c>
      <c r="I54" s="57"/>
      <c r="J54" s="57">
        <f>SUM(J51:J53)</f>
        <v>0</v>
      </c>
      <c r="K54" s="57"/>
      <c r="L54" s="59">
        <f>SUM(L51:L53)</f>
        <v>79238</v>
      </c>
      <c r="M54" s="27"/>
      <c r="N54" s="138"/>
    </row>
    <row r="55" spans="1:14" ht="15.75">
      <c r="A55" s="136"/>
      <c r="B55" s="27"/>
      <c r="C55" s="57"/>
      <c r="D55" s="59"/>
      <c r="E55" s="57"/>
      <c r="F55" s="57"/>
      <c r="G55" s="57"/>
      <c r="H55" s="57"/>
      <c r="I55" s="57"/>
      <c r="J55" s="57"/>
      <c r="K55" s="57"/>
      <c r="L55" s="59"/>
      <c r="M55" s="27"/>
      <c r="N55" s="138"/>
    </row>
    <row r="56" spans="1:14" ht="15.75">
      <c r="A56" s="119"/>
      <c r="B56" s="12" t="s">
        <v>36</v>
      </c>
      <c r="C56" s="60"/>
      <c r="D56" s="62"/>
      <c r="E56" s="60"/>
      <c r="F56" s="61"/>
      <c r="G56" s="60"/>
      <c r="H56" s="60"/>
      <c r="I56" s="60"/>
      <c r="J56" s="60"/>
      <c r="K56" s="60"/>
      <c r="L56" s="62"/>
      <c r="M56" s="10"/>
      <c r="N56" s="138"/>
    </row>
    <row r="57" spans="1:14" ht="15.75">
      <c r="A57" s="119"/>
      <c r="B57" s="10"/>
      <c r="C57" s="60"/>
      <c r="D57" s="118"/>
      <c r="E57" s="60"/>
      <c r="F57" s="60"/>
      <c r="G57" s="60"/>
      <c r="H57" s="60"/>
      <c r="I57" s="60"/>
      <c r="J57" s="60"/>
      <c r="K57" s="60"/>
      <c r="L57" s="118"/>
      <c r="M57" s="10"/>
      <c r="N57" s="138"/>
    </row>
    <row r="58" spans="1:14" ht="15.75">
      <c r="A58" s="136"/>
      <c r="B58" s="27" t="s">
        <v>33</v>
      </c>
      <c r="C58" s="57"/>
      <c r="D58" s="59"/>
      <c r="E58" s="57"/>
      <c r="F58" s="57"/>
      <c r="G58" s="57"/>
      <c r="H58" s="57"/>
      <c r="I58" s="57"/>
      <c r="J58" s="57"/>
      <c r="K58" s="57"/>
      <c r="L58" s="59"/>
      <c r="M58" s="27"/>
      <c r="N58" s="138"/>
    </row>
    <row r="59" spans="1:14" ht="15.75">
      <c r="A59" s="136"/>
      <c r="B59" s="27" t="s">
        <v>34</v>
      </c>
      <c r="C59" s="57"/>
      <c r="D59" s="59"/>
      <c r="E59" s="57"/>
      <c r="F59" s="57"/>
      <c r="G59" s="57"/>
      <c r="H59" s="57"/>
      <c r="I59" s="57"/>
      <c r="J59" s="57"/>
      <c r="K59" s="57"/>
      <c r="L59" s="59"/>
      <c r="M59" s="27"/>
      <c r="N59" s="138"/>
    </row>
    <row r="60" spans="1:14" ht="15.75">
      <c r="A60" s="136"/>
      <c r="B60" s="27"/>
      <c r="C60" s="57"/>
      <c r="D60" s="59"/>
      <c r="E60" s="57"/>
      <c r="F60" s="57"/>
      <c r="G60" s="57"/>
      <c r="H60" s="57"/>
      <c r="I60" s="57"/>
      <c r="J60" s="57"/>
      <c r="K60" s="57"/>
      <c r="L60" s="59"/>
      <c r="M60" s="27"/>
      <c r="N60" s="138"/>
    </row>
    <row r="61" spans="1:14" ht="15.75">
      <c r="A61" s="136"/>
      <c r="B61" s="27" t="s">
        <v>35</v>
      </c>
      <c r="C61" s="57"/>
      <c r="D61" s="59"/>
      <c r="E61" s="57"/>
      <c r="F61" s="57"/>
      <c r="G61" s="57"/>
      <c r="H61" s="57"/>
      <c r="I61" s="57"/>
      <c r="J61" s="57"/>
      <c r="K61" s="57"/>
      <c r="L61" s="59"/>
      <c r="M61" s="27"/>
      <c r="N61" s="138"/>
    </row>
    <row r="62" spans="1:14" ht="15.75">
      <c r="A62" s="136"/>
      <c r="B62" s="27"/>
      <c r="C62" s="57"/>
      <c r="D62" s="59"/>
      <c r="E62" s="57"/>
      <c r="F62" s="57"/>
      <c r="G62" s="57"/>
      <c r="H62" s="57"/>
      <c r="I62" s="57"/>
      <c r="J62" s="57"/>
      <c r="K62" s="57"/>
      <c r="L62" s="59"/>
      <c r="M62" s="27"/>
      <c r="N62" s="138"/>
    </row>
    <row r="63" spans="1:14" ht="15.75">
      <c r="A63" s="136"/>
      <c r="B63" s="27" t="s">
        <v>37</v>
      </c>
      <c r="C63" s="57">
        <v>-1743</v>
      </c>
      <c r="D63" s="57">
        <v>-1743</v>
      </c>
      <c r="E63" s="57"/>
      <c r="F63" s="57"/>
      <c r="G63" s="57"/>
      <c r="H63" s="57"/>
      <c r="I63" s="57"/>
      <c r="J63" s="57"/>
      <c r="K63" s="57"/>
      <c r="L63" s="57">
        <v>-1743</v>
      </c>
      <c r="M63" s="27"/>
      <c r="N63" s="138"/>
    </row>
    <row r="64" spans="1:14" ht="15.75">
      <c r="A64" s="136"/>
      <c r="B64" s="27" t="s">
        <v>38</v>
      </c>
      <c r="C64" s="57">
        <v>0</v>
      </c>
      <c r="D64" s="59">
        <v>-2257</v>
      </c>
      <c r="E64" s="57"/>
      <c r="F64" s="57"/>
      <c r="G64" s="57"/>
      <c r="H64" s="57"/>
      <c r="I64" s="57"/>
      <c r="J64" s="57"/>
      <c r="K64" s="57"/>
      <c r="L64" s="59">
        <v>-2257</v>
      </c>
      <c r="M64" s="27"/>
      <c r="N64" s="138"/>
    </row>
    <row r="65" spans="1:14" ht="15.75">
      <c r="A65" s="136"/>
      <c r="B65" s="27" t="s">
        <v>198</v>
      </c>
      <c r="C65" s="57">
        <v>0</v>
      </c>
      <c r="D65" s="59">
        <v>51</v>
      </c>
      <c r="E65" s="57"/>
      <c r="F65" s="57"/>
      <c r="G65" s="57"/>
      <c r="H65" s="57"/>
      <c r="I65" s="57"/>
      <c r="J65" s="57"/>
      <c r="K65" s="57"/>
      <c r="L65" s="59">
        <v>33</v>
      </c>
      <c r="M65" s="27"/>
      <c r="N65" s="138"/>
    </row>
    <row r="66" spans="1:14" ht="15.75">
      <c r="A66" s="136"/>
      <c r="B66" s="27" t="s">
        <v>15</v>
      </c>
      <c r="C66" s="59">
        <f>SUM(C54:C65)</f>
        <v>223990</v>
      </c>
      <c r="D66" s="59">
        <f>SUM(D54:D65)</f>
        <v>81758</v>
      </c>
      <c r="E66" s="57"/>
      <c r="F66" s="57"/>
      <c r="G66" s="57"/>
      <c r="H66" s="57"/>
      <c r="I66" s="57"/>
      <c r="J66" s="57"/>
      <c r="K66" s="57"/>
      <c r="L66" s="59">
        <f>SUM(L54:L65)</f>
        <v>75271</v>
      </c>
      <c r="M66" s="27"/>
      <c r="N66" s="138"/>
    </row>
    <row r="67" spans="1:14" ht="15.75">
      <c r="A67" s="136"/>
      <c r="B67" s="27"/>
      <c r="C67" s="57"/>
      <c r="D67" s="57"/>
      <c r="E67" s="57"/>
      <c r="F67" s="57"/>
      <c r="G67" s="57"/>
      <c r="H67" s="57"/>
      <c r="I67" s="57"/>
      <c r="J67" s="57"/>
      <c r="K67" s="57"/>
      <c r="L67" s="59"/>
      <c r="M67" s="27"/>
      <c r="N67" s="138"/>
    </row>
    <row r="68" spans="1:14" ht="15.75">
      <c r="A68" s="119"/>
      <c r="B68" s="10"/>
      <c r="C68" s="10"/>
      <c r="D68" s="10"/>
      <c r="E68" s="10"/>
      <c r="F68" s="10"/>
      <c r="G68" s="10"/>
      <c r="H68" s="10"/>
      <c r="I68" s="10"/>
      <c r="J68" s="10"/>
      <c r="K68" s="10"/>
      <c r="L68" s="10"/>
      <c r="M68" s="10"/>
      <c r="N68" s="138"/>
    </row>
    <row r="69" spans="1:14" ht="15.75">
      <c r="A69" s="119"/>
      <c r="B69" s="63" t="s">
        <v>40</v>
      </c>
      <c r="C69" s="16"/>
      <c r="D69" s="10"/>
      <c r="E69" s="10"/>
      <c r="F69" s="10"/>
      <c r="G69" s="10"/>
      <c r="H69" s="10"/>
      <c r="I69" s="22"/>
      <c r="J69" s="20" t="s">
        <v>174</v>
      </c>
      <c r="K69" s="20"/>
      <c r="L69" s="20" t="s">
        <v>188</v>
      </c>
      <c r="M69" s="17"/>
      <c r="N69" s="138"/>
    </row>
    <row r="70" spans="1:14" ht="15.75">
      <c r="A70" s="136"/>
      <c r="B70" s="27" t="s">
        <v>41</v>
      </c>
      <c r="C70" s="27"/>
      <c r="D70" s="27"/>
      <c r="E70" s="27"/>
      <c r="F70" s="27"/>
      <c r="G70" s="27"/>
      <c r="H70" s="27"/>
      <c r="I70" s="27"/>
      <c r="J70" s="57">
        <v>0</v>
      </c>
      <c r="K70" s="27"/>
      <c r="L70" s="58">
        <v>0</v>
      </c>
      <c r="M70" s="27"/>
      <c r="N70" s="138"/>
    </row>
    <row r="71" spans="1:14" ht="15.75">
      <c r="A71" s="136"/>
      <c r="B71" s="27" t="s">
        <v>42</v>
      </c>
      <c r="C71" s="45" t="s">
        <v>204</v>
      </c>
      <c r="D71" s="64">
        <f>L45</f>
        <v>37125</v>
      </c>
      <c r="E71" s="27"/>
      <c r="F71" s="27"/>
      <c r="G71" s="27"/>
      <c r="H71" s="27"/>
      <c r="I71" s="27"/>
      <c r="J71" s="57">
        <f>6609+51-33</f>
        <v>6627</v>
      </c>
      <c r="K71" s="27"/>
      <c r="L71" s="58"/>
      <c r="M71" s="27"/>
      <c r="N71" s="138"/>
    </row>
    <row r="72" spans="1:14" ht="15.75">
      <c r="A72" s="136"/>
      <c r="B72" s="27" t="s">
        <v>43</v>
      </c>
      <c r="C72" s="27"/>
      <c r="D72" s="27"/>
      <c r="E72" s="27"/>
      <c r="F72" s="27"/>
      <c r="G72" s="27"/>
      <c r="H72" s="27"/>
      <c r="I72" s="27"/>
      <c r="J72" s="57"/>
      <c r="K72" s="27"/>
      <c r="L72" s="58">
        <f>1823-2+735+93+148-549+35+10</f>
        <v>2293</v>
      </c>
      <c r="M72" s="27"/>
      <c r="N72" s="138"/>
    </row>
    <row r="73" spans="1:14" ht="15.75">
      <c r="A73" s="136"/>
      <c r="B73" s="27" t="s">
        <v>44</v>
      </c>
      <c r="C73" s="27"/>
      <c r="D73" s="27"/>
      <c r="E73" s="27"/>
      <c r="F73" s="27"/>
      <c r="G73" s="27"/>
      <c r="H73" s="27"/>
      <c r="I73" s="27"/>
      <c r="J73" s="57"/>
      <c r="K73" s="27"/>
      <c r="L73" s="58"/>
      <c r="M73" s="27"/>
      <c r="N73" s="138"/>
    </row>
    <row r="74" spans="1:14" ht="15.75">
      <c r="A74" s="136"/>
      <c r="B74" s="27" t="s">
        <v>45</v>
      </c>
      <c r="C74" s="27"/>
      <c r="D74" s="27"/>
      <c r="E74" s="27"/>
      <c r="F74" s="27"/>
      <c r="G74" s="27"/>
      <c r="H74" s="27"/>
      <c r="I74" s="27"/>
      <c r="J74" s="59">
        <f>SUM(J70:J73)</f>
        <v>6627</v>
      </c>
      <c r="K74" s="27"/>
      <c r="L74" s="59">
        <f>SUM(L70:L73)</f>
        <v>2293</v>
      </c>
      <c r="M74" s="27"/>
      <c r="N74" s="138"/>
    </row>
    <row r="75" spans="1:14" ht="15.75">
      <c r="A75" s="136"/>
      <c r="B75" s="27" t="s">
        <v>46</v>
      </c>
      <c r="C75" s="27"/>
      <c r="D75" s="27"/>
      <c r="E75" s="27"/>
      <c r="F75" s="27"/>
      <c r="G75" s="27"/>
      <c r="H75" s="27"/>
      <c r="I75" s="27"/>
      <c r="J75" s="57">
        <f>-L75</f>
        <v>52</v>
      </c>
      <c r="K75" s="27"/>
      <c r="L75" s="58">
        <v>-52</v>
      </c>
      <c r="M75" s="27"/>
      <c r="N75" s="138"/>
    </row>
    <row r="76" spans="1:14" ht="15.75">
      <c r="A76" s="136"/>
      <c r="B76" s="27" t="s">
        <v>47</v>
      </c>
      <c r="C76" s="27"/>
      <c r="D76" s="27"/>
      <c r="E76" s="27"/>
      <c r="F76" s="27"/>
      <c r="G76" s="27"/>
      <c r="H76" s="27"/>
      <c r="I76" s="27"/>
      <c r="J76" s="57">
        <f>J74+J75</f>
        <v>6679</v>
      </c>
      <c r="K76" s="27"/>
      <c r="L76" s="59">
        <f>L74+L75</f>
        <v>2241</v>
      </c>
      <c r="M76" s="27"/>
      <c r="N76" s="138"/>
    </row>
    <row r="77" spans="1:14" ht="15.75">
      <c r="A77" s="136"/>
      <c r="B77" s="65" t="s">
        <v>48</v>
      </c>
      <c r="C77" s="66"/>
      <c r="D77" s="27"/>
      <c r="E77" s="27"/>
      <c r="F77" s="27"/>
      <c r="G77" s="27"/>
      <c r="H77" s="27"/>
      <c r="I77" s="27"/>
      <c r="J77" s="57"/>
      <c r="K77" s="27"/>
      <c r="L77" s="58"/>
      <c r="M77" s="27"/>
      <c r="N77" s="138"/>
    </row>
    <row r="78" spans="1:14" ht="15.75">
      <c r="A78" s="26">
        <v>1</v>
      </c>
      <c r="B78" s="27" t="s">
        <v>49</v>
      </c>
      <c r="C78" s="27"/>
      <c r="D78" s="27"/>
      <c r="E78" s="27"/>
      <c r="F78" s="27"/>
      <c r="G78" s="27"/>
      <c r="H78" s="27"/>
      <c r="I78" s="27"/>
      <c r="J78" s="27"/>
      <c r="K78" s="27"/>
      <c r="L78" s="58"/>
      <c r="M78" s="27"/>
      <c r="N78" s="138"/>
    </row>
    <row r="79" spans="1:14" ht="15.75">
      <c r="A79" s="26">
        <v>2</v>
      </c>
      <c r="B79" s="27" t="s">
        <v>50</v>
      </c>
      <c r="C79" s="27"/>
      <c r="D79" s="27"/>
      <c r="E79" s="27"/>
      <c r="F79" s="27"/>
      <c r="G79" s="27"/>
      <c r="H79" s="27"/>
      <c r="I79" s="27"/>
      <c r="J79" s="27"/>
      <c r="K79" s="27"/>
      <c r="L79" s="58">
        <v>-5</v>
      </c>
      <c r="M79" s="27"/>
      <c r="N79" s="138"/>
    </row>
    <row r="80" spans="1:14" ht="15.75">
      <c r="A80" s="26">
        <v>3</v>
      </c>
      <c r="B80" s="27" t="s">
        <v>51</v>
      </c>
      <c r="C80" s="27"/>
      <c r="D80" s="27"/>
      <c r="E80" s="27"/>
      <c r="F80" s="27"/>
      <c r="G80" s="27"/>
      <c r="H80" s="27"/>
      <c r="I80" s="27"/>
      <c r="J80" s="27"/>
      <c r="K80" s="27"/>
      <c r="L80" s="58">
        <v>-95</v>
      </c>
      <c r="M80" s="27"/>
      <c r="N80" s="138"/>
    </row>
    <row r="81" spans="1:14" ht="15.75">
      <c r="A81" s="26">
        <v>4</v>
      </c>
      <c r="B81" s="27" t="s">
        <v>52</v>
      </c>
      <c r="C81" s="27"/>
      <c r="D81" s="27"/>
      <c r="E81" s="27"/>
      <c r="F81" s="27"/>
      <c r="G81" s="27"/>
      <c r="H81" s="27"/>
      <c r="I81" s="27"/>
      <c r="J81" s="27"/>
      <c r="K81" s="27"/>
      <c r="L81" s="58">
        <v>-8</v>
      </c>
      <c r="M81" s="27"/>
      <c r="N81" s="138"/>
    </row>
    <row r="82" spans="1:14" ht="15.75">
      <c r="A82" s="26">
        <v>5</v>
      </c>
      <c r="B82" s="27" t="s">
        <v>53</v>
      </c>
      <c r="C82" s="27"/>
      <c r="D82" s="27"/>
      <c r="E82" s="27"/>
      <c r="F82" s="27"/>
      <c r="G82" s="27"/>
      <c r="H82" s="27"/>
      <c r="I82" s="27"/>
      <c r="J82" s="27"/>
      <c r="K82" s="27"/>
      <c r="L82" s="58">
        <v>-830</v>
      </c>
      <c r="M82" s="27"/>
      <c r="N82" s="138"/>
    </row>
    <row r="83" spans="1:14" ht="15.75">
      <c r="A83" s="26">
        <v>6</v>
      </c>
      <c r="B83" s="27" t="s">
        <v>54</v>
      </c>
      <c r="C83" s="27"/>
      <c r="D83" s="27"/>
      <c r="E83" s="27"/>
      <c r="F83" s="27"/>
      <c r="G83" s="27"/>
      <c r="H83" s="27"/>
      <c r="I83" s="27"/>
      <c r="J83" s="27"/>
      <c r="K83" s="27"/>
      <c r="L83" s="58">
        <v>-3</v>
      </c>
      <c r="M83" s="27"/>
      <c r="N83" s="138"/>
    </row>
    <row r="84" spans="1:14" ht="15.75">
      <c r="A84" s="26">
        <v>7</v>
      </c>
      <c r="B84" s="27" t="s">
        <v>55</v>
      </c>
      <c r="C84" s="27"/>
      <c r="D84" s="27"/>
      <c r="E84" s="27"/>
      <c r="F84" s="27"/>
      <c r="G84" s="27"/>
      <c r="H84" s="27"/>
      <c r="I84" s="27"/>
      <c r="J84" s="27"/>
      <c r="K84" s="27"/>
      <c r="L84" s="58">
        <v>-174</v>
      </c>
      <c r="M84" s="27"/>
      <c r="N84" s="138"/>
    </row>
    <row r="85" spans="1:14" ht="15.75">
      <c r="A85" s="26">
        <v>8</v>
      </c>
      <c r="B85" s="27" t="s">
        <v>56</v>
      </c>
      <c r="C85" s="27"/>
      <c r="D85" s="27"/>
      <c r="E85" s="27"/>
      <c r="F85" s="27"/>
      <c r="G85" s="27"/>
      <c r="H85" s="27"/>
      <c r="I85" s="27"/>
      <c r="J85" s="27"/>
      <c r="K85" s="27"/>
      <c r="L85" s="58">
        <v>-124</v>
      </c>
      <c r="M85" s="27"/>
      <c r="N85" s="138"/>
    </row>
    <row r="86" spans="1:14" ht="15.75">
      <c r="A86" s="26">
        <v>9</v>
      </c>
      <c r="B86" s="27" t="s">
        <v>57</v>
      </c>
      <c r="C86" s="27"/>
      <c r="D86" s="27"/>
      <c r="E86" s="27"/>
      <c r="F86" s="27"/>
      <c r="G86" s="27"/>
      <c r="H86" s="27"/>
      <c r="I86" s="27"/>
      <c r="J86" s="27"/>
      <c r="K86" s="27"/>
      <c r="L86" s="58">
        <v>0</v>
      </c>
      <c r="M86" s="27"/>
      <c r="N86" s="138"/>
    </row>
    <row r="87" spans="1:14" ht="15.75">
      <c r="A87" s="26">
        <v>10</v>
      </c>
      <c r="B87" s="27" t="s">
        <v>58</v>
      </c>
      <c r="C87" s="27"/>
      <c r="D87" s="27"/>
      <c r="E87" s="27"/>
      <c r="F87" s="27"/>
      <c r="G87" s="27"/>
      <c r="H87" s="27"/>
      <c r="I87" s="27"/>
      <c r="J87" s="27"/>
      <c r="K87" s="27"/>
      <c r="L87" s="58">
        <v>-33</v>
      </c>
      <c r="M87" s="27"/>
      <c r="N87" s="138"/>
    </row>
    <row r="88" spans="1:14" ht="15.75">
      <c r="A88" s="26">
        <v>11</v>
      </c>
      <c r="B88" s="27" t="s">
        <v>59</v>
      </c>
      <c r="C88" s="27"/>
      <c r="D88" s="27"/>
      <c r="E88" s="27"/>
      <c r="F88" s="27"/>
      <c r="G88" s="27"/>
      <c r="H88" s="27"/>
      <c r="I88" s="27"/>
      <c r="J88" s="27"/>
      <c r="K88" s="27"/>
      <c r="L88" s="58">
        <v>0</v>
      </c>
      <c r="M88" s="27"/>
      <c r="N88" s="138"/>
    </row>
    <row r="89" spans="1:14" ht="15.75">
      <c r="A89" s="26">
        <v>12</v>
      </c>
      <c r="B89" s="27" t="s">
        <v>60</v>
      </c>
      <c r="C89" s="27"/>
      <c r="D89" s="27"/>
      <c r="E89" s="27"/>
      <c r="F89" s="27"/>
      <c r="G89" s="27"/>
      <c r="H89" s="27"/>
      <c r="I89" s="27"/>
      <c r="J89" s="27"/>
      <c r="K89" s="27"/>
      <c r="L89" s="58">
        <f>SUM(L76:L87)*-1</f>
        <v>-969</v>
      </c>
      <c r="M89" s="27"/>
      <c r="N89" s="138"/>
    </row>
    <row r="90" spans="1:14" ht="15.75">
      <c r="A90" s="136"/>
      <c r="B90" s="65" t="s">
        <v>61</v>
      </c>
      <c r="C90" s="66"/>
      <c r="D90" s="27"/>
      <c r="E90" s="27"/>
      <c r="F90" s="27"/>
      <c r="G90" s="27"/>
      <c r="H90" s="27"/>
      <c r="I90" s="27"/>
      <c r="J90" s="27"/>
      <c r="K90" s="27"/>
      <c r="L90" s="68"/>
      <c r="M90" s="27"/>
      <c r="N90" s="138"/>
    </row>
    <row r="91" spans="1:14" ht="15.75">
      <c r="A91" s="136"/>
      <c r="B91" s="27" t="s">
        <v>62</v>
      </c>
      <c r="C91" s="66"/>
      <c r="D91" s="27"/>
      <c r="E91" s="27"/>
      <c r="F91" s="27"/>
      <c r="G91" s="27"/>
      <c r="H91" s="27"/>
      <c r="I91" s="27"/>
      <c r="J91" s="57">
        <f>-J135</f>
        <v>0</v>
      </c>
      <c r="K91" s="57"/>
      <c r="L91" s="58"/>
      <c r="M91" s="27"/>
      <c r="N91" s="138"/>
    </row>
    <row r="92" spans="1:14" ht="15.75">
      <c r="A92" s="136"/>
      <c r="B92" s="27" t="s">
        <v>63</v>
      </c>
      <c r="C92" s="27"/>
      <c r="D92" s="27"/>
      <c r="E92" s="27"/>
      <c r="F92" s="27"/>
      <c r="G92" s="27"/>
      <c r="H92" s="27"/>
      <c r="I92" s="27"/>
      <c r="J92" s="57">
        <f>-189-3</f>
        <v>-192</v>
      </c>
      <c r="K92" s="57"/>
      <c r="L92" s="58"/>
      <c r="M92" s="27"/>
      <c r="N92" s="138"/>
    </row>
    <row r="93" spans="1:14" ht="15.75">
      <c r="A93" s="136"/>
      <c r="B93" s="27" t="s">
        <v>64</v>
      </c>
      <c r="C93" s="27"/>
      <c r="D93" s="27"/>
      <c r="E93" s="27"/>
      <c r="F93" s="27"/>
      <c r="G93" s="27"/>
      <c r="H93" s="27"/>
      <c r="I93" s="27"/>
      <c r="J93" s="57">
        <v>0</v>
      </c>
      <c r="K93" s="57"/>
      <c r="L93" s="58"/>
      <c r="M93" s="27"/>
      <c r="N93" s="138"/>
    </row>
    <row r="94" spans="1:14" ht="15.75">
      <c r="A94" s="136"/>
      <c r="B94" s="27" t="s">
        <v>65</v>
      </c>
      <c r="C94" s="27"/>
      <c r="D94" s="27"/>
      <c r="E94" s="27"/>
      <c r="F94" s="27"/>
      <c r="G94" s="27"/>
      <c r="H94" s="27"/>
      <c r="I94" s="27"/>
      <c r="J94" s="57">
        <v>-4853</v>
      </c>
      <c r="K94" s="57"/>
      <c r="L94" s="58"/>
      <c r="M94" s="27"/>
      <c r="N94" s="138"/>
    </row>
    <row r="95" spans="1:14" ht="15.75">
      <c r="A95" s="136"/>
      <c r="B95" s="27" t="s">
        <v>66</v>
      </c>
      <c r="C95" s="27"/>
      <c r="D95" s="27"/>
      <c r="E95" s="27"/>
      <c r="F95" s="27"/>
      <c r="G95" s="27"/>
      <c r="H95" s="27"/>
      <c r="I95" s="27"/>
      <c r="J95" s="57">
        <v>-980</v>
      </c>
      <c r="K95" s="57"/>
      <c r="L95" s="58"/>
      <c r="M95" s="27"/>
      <c r="N95" s="138"/>
    </row>
    <row r="96" spans="1:14" ht="15.75">
      <c r="A96" s="136"/>
      <c r="B96" s="27" t="s">
        <v>201</v>
      </c>
      <c r="C96" s="27"/>
      <c r="D96" s="27"/>
      <c r="E96" s="27"/>
      <c r="F96" s="27"/>
      <c r="G96" s="27"/>
      <c r="H96" s="27"/>
      <c r="I96" s="27"/>
      <c r="J96" s="57">
        <v>-654</v>
      </c>
      <c r="K96" s="57"/>
      <c r="L96" s="58"/>
      <c r="M96" s="27"/>
      <c r="N96" s="138"/>
    </row>
    <row r="97" spans="1:14" ht="15.75">
      <c r="A97" s="136"/>
      <c r="B97" s="27" t="s">
        <v>67</v>
      </c>
      <c r="C97" s="27"/>
      <c r="D97" s="27"/>
      <c r="E97" s="27"/>
      <c r="F97" s="27"/>
      <c r="G97" s="27"/>
      <c r="H97" s="27"/>
      <c r="I97" s="27"/>
      <c r="J97" s="57">
        <f>SUM(J77:J96)</f>
        <v>-6679</v>
      </c>
      <c r="K97" s="57"/>
      <c r="L97" s="57">
        <f>SUM(L77:L95)</f>
        <v>-2241</v>
      </c>
      <c r="M97" s="27"/>
      <c r="N97" s="138"/>
    </row>
    <row r="98" spans="1:14" ht="15.75">
      <c r="A98" s="136"/>
      <c r="B98" s="27" t="s">
        <v>68</v>
      </c>
      <c r="C98" s="27"/>
      <c r="D98" s="27"/>
      <c r="E98" s="27"/>
      <c r="F98" s="27"/>
      <c r="G98" s="27"/>
      <c r="H98" s="27"/>
      <c r="I98" s="27"/>
      <c r="J98" s="57">
        <f>J76+J97</f>
        <v>0</v>
      </c>
      <c r="K98" s="57"/>
      <c r="L98" s="57">
        <f>L76+L97</f>
        <v>0</v>
      </c>
      <c r="M98" s="27"/>
      <c r="N98" s="138"/>
    </row>
    <row r="99" spans="1:14" ht="15.75">
      <c r="A99" s="136"/>
      <c r="B99" s="27"/>
      <c r="C99" s="27"/>
      <c r="D99" s="27"/>
      <c r="E99" s="27"/>
      <c r="F99" s="27"/>
      <c r="G99" s="27"/>
      <c r="H99" s="27"/>
      <c r="I99" s="27"/>
      <c r="J99" s="57"/>
      <c r="K99" s="57"/>
      <c r="L99" s="57"/>
      <c r="M99" s="27"/>
      <c r="N99" s="138"/>
    </row>
    <row r="100" spans="1:14" ht="15.75">
      <c r="A100" s="119"/>
      <c r="B100" s="15"/>
      <c r="C100" s="10"/>
      <c r="D100" s="10"/>
      <c r="E100" s="10"/>
      <c r="F100" s="10"/>
      <c r="G100" s="10"/>
      <c r="H100" s="10"/>
      <c r="I100" s="10"/>
      <c r="J100" s="60"/>
      <c r="K100" s="60"/>
      <c r="L100" s="60"/>
      <c r="M100" s="10"/>
      <c r="N100" s="138"/>
    </row>
    <row r="101" spans="1:14" ht="15.75">
      <c r="A101" s="119"/>
      <c r="B101" s="10"/>
      <c r="C101" s="10"/>
      <c r="D101" s="10"/>
      <c r="E101" s="10"/>
      <c r="F101" s="10"/>
      <c r="G101" s="10"/>
      <c r="H101" s="10"/>
      <c r="I101" s="10"/>
      <c r="J101" s="60"/>
      <c r="K101" s="60"/>
      <c r="L101" s="60"/>
      <c r="M101" s="10"/>
      <c r="N101" s="138"/>
    </row>
    <row r="102" spans="1:14" ht="15.75">
      <c r="A102" s="119"/>
      <c r="B102" s="10"/>
      <c r="C102" s="10"/>
      <c r="D102" s="10"/>
      <c r="E102" s="10"/>
      <c r="F102" s="10"/>
      <c r="G102" s="10"/>
      <c r="H102" s="10"/>
      <c r="I102" s="10"/>
      <c r="J102" s="10"/>
      <c r="K102" s="10"/>
      <c r="L102" s="53"/>
      <c r="M102" s="10"/>
      <c r="N102" s="138"/>
    </row>
    <row r="103" spans="1:14" ht="15.75">
      <c r="A103" s="119"/>
      <c r="B103" s="10"/>
      <c r="C103" s="9"/>
      <c r="D103" s="10"/>
      <c r="E103" s="10"/>
      <c r="F103" s="10"/>
      <c r="G103" s="10"/>
      <c r="H103" s="10"/>
      <c r="I103" s="10"/>
      <c r="J103" s="10"/>
      <c r="K103" s="10"/>
      <c r="L103" s="53"/>
      <c r="M103" s="10"/>
      <c r="N103" s="138"/>
    </row>
    <row r="104" spans="1:14" ht="15.75">
      <c r="A104" s="135"/>
      <c r="B104" s="83" t="s">
        <v>69</v>
      </c>
      <c r="C104" s="5"/>
      <c r="D104" s="5"/>
      <c r="E104" s="5"/>
      <c r="F104" s="5"/>
      <c r="G104" s="5"/>
      <c r="H104" s="5"/>
      <c r="I104" s="5"/>
      <c r="J104" s="5"/>
      <c r="K104" s="5"/>
      <c r="L104" s="52"/>
      <c r="M104" s="70"/>
      <c r="N104" s="138"/>
    </row>
    <row r="105" spans="1:14" ht="15.75">
      <c r="A105" s="119"/>
      <c r="B105" s="10"/>
      <c r="C105" s="10"/>
      <c r="D105" s="10"/>
      <c r="E105" s="10"/>
      <c r="F105" s="10"/>
      <c r="G105" s="10"/>
      <c r="H105" s="10"/>
      <c r="I105" s="10"/>
      <c r="J105" s="10"/>
      <c r="K105" s="10"/>
      <c r="L105" s="53"/>
      <c r="M105" s="10"/>
      <c r="N105" s="138"/>
    </row>
    <row r="106" spans="1:14" ht="15.75">
      <c r="A106" s="119"/>
      <c r="B106" s="73" t="s">
        <v>70</v>
      </c>
      <c r="C106" s="16"/>
      <c r="D106" s="10"/>
      <c r="E106" s="10"/>
      <c r="F106" s="10"/>
      <c r="G106" s="10"/>
      <c r="H106" s="10"/>
      <c r="I106" s="10"/>
      <c r="J106" s="10"/>
      <c r="K106" s="10"/>
      <c r="L106" s="53"/>
      <c r="M106" s="10"/>
      <c r="N106" s="138"/>
    </row>
    <row r="107" spans="1:14" ht="15.75">
      <c r="A107" s="136"/>
      <c r="B107" s="27" t="s">
        <v>71</v>
      </c>
      <c r="C107" s="27"/>
      <c r="D107" s="27"/>
      <c r="E107" s="27"/>
      <c r="F107" s="27"/>
      <c r="G107" s="27"/>
      <c r="H107" s="27"/>
      <c r="I107" s="27"/>
      <c r="J107" s="27"/>
      <c r="K107" s="27"/>
      <c r="L107" s="58">
        <v>4515</v>
      </c>
      <c r="M107" s="27"/>
      <c r="N107" s="138"/>
    </row>
    <row r="108" spans="1:14" ht="15.75">
      <c r="A108" s="136"/>
      <c r="B108" s="27" t="s">
        <v>72</v>
      </c>
      <c r="C108" s="27"/>
      <c r="D108" s="27"/>
      <c r="E108" s="27"/>
      <c r="F108" s="27"/>
      <c r="G108" s="27"/>
      <c r="H108" s="27"/>
      <c r="I108" s="27"/>
      <c r="J108" s="27"/>
      <c r="K108" s="27"/>
      <c r="L108" s="58">
        <v>4515</v>
      </c>
      <c r="M108" s="27"/>
      <c r="N108" s="138"/>
    </row>
    <row r="109" spans="1:14" ht="15.75">
      <c r="A109" s="136"/>
      <c r="B109" s="27" t="s">
        <v>73</v>
      </c>
      <c r="C109" s="27"/>
      <c r="D109" s="27"/>
      <c r="E109" s="27"/>
      <c r="F109" s="27"/>
      <c r="G109" s="27"/>
      <c r="H109" s="27"/>
      <c r="I109" s="27"/>
      <c r="J109" s="27"/>
      <c r="K109" s="27"/>
      <c r="L109" s="58"/>
      <c r="M109" s="27"/>
      <c r="N109" s="138"/>
    </row>
    <row r="110" spans="1:14" ht="15.75">
      <c r="A110" s="136"/>
      <c r="B110" s="27" t="s">
        <v>74</v>
      </c>
      <c r="C110" s="27"/>
      <c r="D110" s="27"/>
      <c r="E110" s="27"/>
      <c r="F110" s="27"/>
      <c r="G110" s="27"/>
      <c r="H110" s="27"/>
      <c r="I110" s="27"/>
      <c r="J110" s="27"/>
      <c r="K110" s="27"/>
      <c r="L110" s="58">
        <v>0</v>
      </c>
      <c r="M110" s="27"/>
      <c r="N110" s="138"/>
    </row>
    <row r="111" spans="1:14" ht="15.75">
      <c r="A111" s="136"/>
      <c r="B111" s="27" t="s">
        <v>75</v>
      </c>
      <c r="C111" s="27"/>
      <c r="D111" s="27"/>
      <c r="E111" s="27"/>
      <c r="F111" s="27"/>
      <c r="G111" s="27"/>
      <c r="H111" s="27"/>
      <c r="I111" s="27"/>
      <c r="J111" s="27"/>
      <c r="K111" s="27"/>
      <c r="L111" s="58"/>
      <c r="M111" s="27"/>
      <c r="N111" s="138"/>
    </row>
    <row r="112" spans="1:14" ht="15.75">
      <c r="A112" s="136"/>
      <c r="B112" s="27" t="s">
        <v>53</v>
      </c>
      <c r="C112" s="27"/>
      <c r="D112" s="27"/>
      <c r="E112" s="27"/>
      <c r="F112" s="27"/>
      <c r="G112" s="27"/>
      <c r="H112" s="27"/>
      <c r="I112" s="27"/>
      <c r="J112" s="27"/>
      <c r="K112" s="27"/>
      <c r="L112" s="58"/>
      <c r="M112" s="27"/>
      <c r="N112" s="138"/>
    </row>
    <row r="113" spans="1:14" ht="15.75">
      <c r="A113" s="136"/>
      <c r="B113" s="27" t="s">
        <v>55</v>
      </c>
      <c r="C113" s="27"/>
      <c r="D113" s="27"/>
      <c r="E113" s="27"/>
      <c r="F113" s="27"/>
      <c r="G113" s="27"/>
      <c r="H113" s="27"/>
      <c r="I113" s="27"/>
      <c r="J113" s="27"/>
      <c r="K113" s="27"/>
      <c r="L113" s="58"/>
      <c r="M113" s="27"/>
      <c r="N113" s="138"/>
    </row>
    <row r="114" spans="1:14" ht="15.75">
      <c r="A114" s="136"/>
      <c r="B114" s="27" t="s">
        <v>76</v>
      </c>
      <c r="C114" s="27"/>
      <c r="D114" s="27"/>
      <c r="E114" s="27"/>
      <c r="F114" s="27"/>
      <c r="G114" s="27"/>
      <c r="H114" s="27"/>
      <c r="I114" s="27"/>
      <c r="J114" s="27"/>
      <c r="K114" s="27"/>
      <c r="L114" s="58">
        <f>L108-L110</f>
        <v>4515</v>
      </c>
      <c r="M114" s="27"/>
      <c r="N114" s="138"/>
    </row>
    <row r="115" spans="1:14" ht="15.75">
      <c r="A115" s="136"/>
      <c r="B115" s="27"/>
      <c r="C115" s="27"/>
      <c r="D115" s="27"/>
      <c r="E115" s="27"/>
      <c r="F115" s="27"/>
      <c r="G115" s="27"/>
      <c r="H115" s="27"/>
      <c r="I115" s="27"/>
      <c r="J115" s="27"/>
      <c r="K115" s="27"/>
      <c r="L115" s="72"/>
      <c r="M115" s="27"/>
      <c r="N115" s="138"/>
    </row>
    <row r="116" spans="1:14" ht="15.75">
      <c r="A116" s="135"/>
      <c r="B116" s="5"/>
      <c r="C116" s="5"/>
      <c r="D116" s="5"/>
      <c r="E116" s="5"/>
      <c r="F116" s="5"/>
      <c r="G116" s="5"/>
      <c r="H116" s="5"/>
      <c r="I116" s="5"/>
      <c r="J116" s="5"/>
      <c r="K116" s="5"/>
      <c r="L116" s="52"/>
      <c r="M116" s="5"/>
      <c r="N116" s="138"/>
    </row>
    <row r="117" spans="1:14" ht="15.75">
      <c r="A117" s="119"/>
      <c r="B117" s="73" t="s">
        <v>77</v>
      </c>
      <c r="C117" s="16"/>
      <c r="D117" s="10"/>
      <c r="E117" s="10"/>
      <c r="F117" s="10"/>
      <c r="G117" s="10"/>
      <c r="H117" s="10"/>
      <c r="I117" s="10"/>
      <c r="J117" s="10"/>
      <c r="K117" s="10"/>
      <c r="L117" s="74"/>
      <c r="M117" s="10"/>
      <c r="N117" s="138"/>
    </row>
    <row r="118" spans="1:14" ht="15.75">
      <c r="A118" s="119"/>
      <c r="B118" s="16"/>
      <c r="C118" s="16"/>
      <c r="D118" s="10"/>
      <c r="E118" s="10"/>
      <c r="F118" s="10"/>
      <c r="G118" s="10"/>
      <c r="H118" s="10"/>
      <c r="I118" s="10"/>
      <c r="J118" s="10"/>
      <c r="K118" s="10"/>
      <c r="L118" s="74"/>
      <c r="M118" s="10"/>
      <c r="N118" s="138"/>
    </row>
    <row r="119" spans="1:14" ht="15.75">
      <c r="A119" s="136"/>
      <c r="B119" s="27" t="s">
        <v>78</v>
      </c>
      <c r="C119" s="27"/>
      <c r="D119" s="27"/>
      <c r="E119" s="27"/>
      <c r="F119" s="27"/>
      <c r="G119" s="27"/>
      <c r="H119" s="27"/>
      <c r="I119" s="27"/>
      <c r="J119" s="27"/>
      <c r="K119" s="27"/>
      <c r="L119" s="58">
        <v>0</v>
      </c>
      <c r="M119" s="27"/>
      <c r="N119" s="138"/>
    </row>
    <row r="120" spans="1:14" ht="15.75">
      <c r="A120" s="136"/>
      <c r="B120" s="27" t="s">
        <v>79</v>
      </c>
      <c r="C120" s="27"/>
      <c r="D120" s="27"/>
      <c r="E120" s="27"/>
      <c r="F120" s="27"/>
      <c r="G120" s="27"/>
      <c r="H120" s="27"/>
      <c r="I120" s="27"/>
      <c r="J120" s="27"/>
      <c r="K120" s="27"/>
      <c r="L120" s="58">
        <v>-33</v>
      </c>
      <c r="M120" s="27"/>
      <c r="N120" s="138"/>
    </row>
    <row r="121" spans="1:14" ht="15.75">
      <c r="A121" s="136"/>
      <c r="B121" s="27" t="s">
        <v>80</v>
      </c>
      <c r="C121" s="27"/>
      <c r="D121" s="27"/>
      <c r="E121" s="27"/>
      <c r="F121" s="27"/>
      <c r="G121" s="27"/>
      <c r="H121" s="27"/>
      <c r="I121" s="27"/>
      <c r="J121" s="27"/>
      <c r="K121" s="27"/>
      <c r="L121" s="58">
        <f>L120+L119</f>
        <v>-33</v>
      </c>
      <c r="M121" s="27"/>
      <c r="N121" s="138"/>
    </row>
    <row r="122" spans="1:14" ht="15.75">
      <c r="A122" s="136"/>
      <c r="B122" s="27" t="s">
        <v>81</v>
      </c>
      <c r="C122" s="27"/>
      <c r="D122" s="27"/>
      <c r="E122" s="27"/>
      <c r="F122" s="27"/>
      <c r="G122" s="27"/>
      <c r="H122" s="75"/>
      <c r="I122" s="27"/>
      <c r="J122" s="27"/>
      <c r="K122" s="27"/>
      <c r="L122" s="58">
        <f>-L87</f>
        <v>33</v>
      </c>
      <c r="M122" s="27"/>
      <c r="N122" s="138"/>
    </row>
    <row r="123" spans="1:14" ht="15.75">
      <c r="A123" s="136"/>
      <c r="B123" s="27" t="s">
        <v>82</v>
      </c>
      <c r="C123" s="27"/>
      <c r="D123" s="27"/>
      <c r="E123" s="27"/>
      <c r="F123" s="27"/>
      <c r="G123" s="27"/>
      <c r="H123" s="27"/>
      <c r="I123" s="27"/>
      <c r="J123" s="27"/>
      <c r="K123" s="27"/>
      <c r="L123" s="58">
        <f>L121+L122</f>
        <v>0</v>
      </c>
      <c r="M123" s="27"/>
      <c r="N123" s="138"/>
    </row>
    <row r="124" spans="1:14" ht="15.75">
      <c r="A124" s="136"/>
      <c r="B124" s="27"/>
      <c r="C124" s="27"/>
      <c r="D124" s="27"/>
      <c r="E124" s="27"/>
      <c r="F124" s="27"/>
      <c r="G124" s="27"/>
      <c r="H124" s="27"/>
      <c r="I124" s="27"/>
      <c r="J124" s="27"/>
      <c r="K124" s="27"/>
      <c r="L124" s="72"/>
      <c r="M124" s="27"/>
      <c r="N124" s="138"/>
    </row>
    <row r="125" spans="1:14" ht="15.75">
      <c r="A125" s="135"/>
      <c r="B125" s="5"/>
      <c r="C125" s="5"/>
      <c r="D125" s="5"/>
      <c r="E125" s="5"/>
      <c r="F125" s="5"/>
      <c r="G125" s="5"/>
      <c r="H125" s="5"/>
      <c r="I125" s="5"/>
      <c r="J125" s="5"/>
      <c r="K125" s="5"/>
      <c r="L125" s="52"/>
      <c r="M125" s="5"/>
      <c r="N125" s="138"/>
    </row>
    <row r="126" spans="1:14" ht="15.75">
      <c r="A126" s="119"/>
      <c r="B126" s="73" t="s">
        <v>83</v>
      </c>
      <c r="C126" s="16"/>
      <c r="D126" s="10"/>
      <c r="E126" s="10"/>
      <c r="F126" s="10"/>
      <c r="G126" s="10"/>
      <c r="H126" s="10"/>
      <c r="I126" s="10"/>
      <c r="J126" s="10"/>
      <c r="K126" s="10"/>
      <c r="L126" s="53"/>
      <c r="M126" s="10"/>
      <c r="N126" s="138"/>
    </row>
    <row r="127" spans="1:14" ht="15.75">
      <c r="A127" s="119"/>
      <c r="B127" s="76"/>
      <c r="C127" s="16"/>
      <c r="D127" s="10"/>
      <c r="E127" s="10"/>
      <c r="F127" s="10"/>
      <c r="G127" s="10"/>
      <c r="H127" s="10"/>
      <c r="I127" s="10"/>
      <c r="J127" s="10"/>
      <c r="K127" s="10"/>
      <c r="L127" s="53"/>
      <c r="M127" s="10"/>
      <c r="N127" s="138"/>
    </row>
    <row r="128" spans="1:14" ht="15.75">
      <c r="A128" s="136"/>
      <c r="B128" s="27" t="s">
        <v>84</v>
      </c>
      <c r="C128" s="71"/>
      <c r="D128" s="27"/>
      <c r="E128" s="27"/>
      <c r="F128" s="27"/>
      <c r="G128" s="27"/>
      <c r="H128" s="27"/>
      <c r="I128" s="27"/>
      <c r="J128" s="27"/>
      <c r="K128" s="27"/>
      <c r="L128" s="58">
        <f>L54</f>
        <v>79238</v>
      </c>
      <c r="M128" s="27"/>
      <c r="N128" s="138"/>
    </row>
    <row r="129" spans="1:14" ht="15.75">
      <c r="A129" s="136"/>
      <c r="B129" s="27" t="s">
        <v>85</v>
      </c>
      <c r="C129" s="71"/>
      <c r="D129" s="27"/>
      <c r="E129" s="27"/>
      <c r="F129" s="27"/>
      <c r="G129" s="27"/>
      <c r="H129" s="27"/>
      <c r="I129" s="27"/>
      <c r="J129" s="27"/>
      <c r="K129" s="27"/>
      <c r="L129" s="58">
        <f>L66</f>
        <v>75271</v>
      </c>
      <c r="M129" s="27"/>
      <c r="N129" s="138"/>
    </row>
    <row r="130" spans="1:14" ht="15.75">
      <c r="A130" s="136"/>
      <c r="B130" s="27"/>
      <c r="C130" s="27"/>
      <c r="D130" s="27"/>
      <c r="E130" s="27"/>
      <c r="F130" s="27"/>
      <c r="G130" s="27"/>
      <c r="H130" s="27"/>
      <c r="I130" s="27"/>
      <c r="J130" s="27"/>
      <c r="K130" s="27"/>
      <c r="L130" s="72"/>
      <c r="M130" s="27"/>
      <c r="N130" s="138"/>
    </row>
    <row r="131" spans="1:14" ht="15.75">
      <c r="A131" s="135"/>
      <c r="B131" s="5"/>
      <c r="C131" s="5"/>
      <c r="D131" s="5"/>
      <c r="E131" s="5"/>
      <c r="F131" s="5"/>
      <c r="G131" s="5"/>
      <c r="H131" s="5"/>
      <c r="I131" s="5"/>
      <c r="J131" s="5"/>
      <c r="K131" s="5"/>
      <c r="L131" s="52"/>
      <c r="M131" s="5"/>
      <c r="N131" s="138"/>
    </row>
    <row r="132" spans="1:14" ht="15.75">
      <c r="A132" s="119"/>
      <c r="B132" s="73" t="s">
        <v>86</v>
      </c>
      <c r="C132" s="12"/>
      <c r="D132" s="12"/>
      <c r="E132" s="12"/>
      <c r="F132" s="12"/>
      <c r="G132" s="12"/>
      <c r="H132" s="77" t="s">
        <v>163</v>
      </c>
      <c r="I132" s="77"/>
      <c r="J132" s="77" t="s">
        <v>175</v>
      </c>
      <c r="K132" s="12"/>
      <c r="L132" s="78" t="s">
        <v>189</v>
      </c>
      <c r="M132" s="10"/>
      <c r="N132" s="138"/>
    </row>
    <row r="133" spans="1:14" ht="15.75">
      <c r="A133" s="136"/>
      <c r="B133" s="27" t="s">
        <v>87</v>
      </c>
      <c r="C133" s="27"/>
      <c r="D133" s="27"/>
      <c r="E133" s="27"/>
      <c r="F133" s="27"/>
      <c r="G133" s="27"/>
      <c r="H133" s="58">
        <v>40000</v>
      </c>
      <c r="I133" s="27"/>
      <c r="J133" s="45" t="s">
        <v>176</v>
      </c>
      <c r="K133" s="27"/>
      <c r="L133" s="58"/>
      <c r="M133" s="27"/>
      <c r="N133" s="138"/>
    </row>
    <row r="134" spans="1:14" ht="15.75">
      <c r="A134" s="136"/>
      <c r="B134" s="27" t="s">
        <v>88</v>
      </c>
      <c r="C134" s="27"/>
      <c r="D134" s="27"/>
      <c r="E134" s="27"/>
      <c r="F134" s="27"/>
      <c r="G134" s="27"/>
      <c r="H134" s="58">
        <v>2059</v>
      </c>
      <c r="I134" s="27"/>
      <c r="J134" s="58">
        <v>110</v>
      </c>
      <c r="K134" s="27"/>
      <c r="L134" s="58">
        <f>J134+H134</f>
        <v>2169</v>
      </c>
      <c r="M134" s="27"/>
      <c r="N134" s="138"/>
    </row>
    <row r="135" spans="1:14" ht="15.75">
      <c r="A135" s="136"/>
      <c r="B135" s="27" t="s">
        <v>89</v>
      </c>
      <c r="C135" s="27"/>
      <c r="D135" s="27"/>
      <c r="E135" s="27"/>
      <c r="F135" s="27"/>
      <c r="G135" s="27"/>
      <c r="H135" s="58">
        <v>192</v>
      </c>
      <c r="I135" s="27"/>
      <c r="J135" s="27">
        <v>0</v>
      </c>
      <c r="K135" s="27"/>
      <c r="L135" s="58">
        <f>J135+H135</f>
        <v>192</v>
      </c>
      <c r="M135" s="27"/>
      <c r="N135" s="138"/>
    </row>
    <row r="136" spans="1:14" ht="15.75">
      <c r="A136" s="136"/>
      <c r="B136" s="27" t="s">
        <v>90</v>
      </c>
      <c r="C136" s="27"/>
      <c r="D136" s="27"/>
      <c r="E136" s="27"/>
      <c r="F136" s="27"/>
      <c r="G136" s="27"/>
      <c r="H136" s="58">
        <f>H135+H134</f>
        <v>2251</v>
      </c>
      <c r="I136" s="27"/>
      <c r="J136" s="58">
        <f>J135+J134</f>
        <v>110</v>
      </c>
      <c r="K136" s="27"/>
      <c r="L136" s="58">
        <f>J136+H136</f>
        <v>2361</v>
      </c>
      <c r="M136" s="27"/>
      <c r="N136" s="138"/>
    </row>
    <row r="137" spans="1:14" ht="15.75">
      <c r="A137" s="136"/>
      <c r="B137" s="27" t="s">
        <v>91</v>
      </c>
      <c r="C137" s="27"/>
      <c r="D137" s="27"/>
      <c r="E137" s="27"/>
      <c r="F137" s="27"/>
      <c r="G137" s="27"/>
      <c r="H137" s="58">
        <f>H133-H136</f>
        <v>37749</v>
      </c>
      <c r="I137" s="27"/>
      <c r="J137" s="45" t="s">
        <v>176</v>
      </c>
      <c r="K137" s="27"/>
      <c r="L137" s="58"/>
      <c r="M137" s="27"/>
      <c r="N137" s="138"/>
    </row>
    <row r="138" spans="1:14" ht="15.75">
      <c r="A138" s="136"/>
      <c r="B138" s="27"/>
      <c r="C138" s="27"/>
      <c r="D138" s="27"/>
      <c r="E138" s="27"/>
      <c r="F138" s="27"/>
      <c r="G138" s="27"/>
      <c r="H138" s="27"/>
      <c r="I138" s="27"/>
      <c r="J138" s="27"/>
      <c r="K138" s="27"/>
      <c r="L138" s="72"/>
      <c r="M138" s="27"/>
      <c r="N138" s="138"/>
    </row>
    <row r="139" spans="1:14" ht="15.75">
      <c r="A139" s="135"/>
      <c r="B139" s="5"/>
      <c r="C139" s="5"/>
      <c r="D139" s="5"/>
      <c r="E139" s="5"/>
      <c r="F139" s="5"/>
      <c r="G139" s="5"/>
      <c r="H139" s="5"/>
      <c r="I139" s="5"/>
      <c r="J139" s="5"/>
      <c r="K139" s="5"/>
      <c r="L139" s="52"/>
      <c r="M139" s="5"/>
      <c r="N139" s="138"/>
    </row>
    <row r="140" spans="1:14" ht="15.75">
      <c r="A140" s="119"/>
      <c r="B140" s="73" t="s">
        <v>92</v>
      </c>
      <c r="C140" s="16"/>
      <c r="D140" s="10"/>
      <c r="E140" s="10"/>
      <c r="F140" s="10"/>
      <c r="G140" s="10"/>
      <c r="H140" s="10"/>
      <c r="I140" s="10"/>
      <c r="J140" s="10"/>
      <c r="K140" s="10"/>
      <c r="L140" s="79"/>
      <c r="M140" s="10"/>
      <c r="N140" s="138"/>
    </row>
    <row r="141" spans="1:14" ht="15.75">
      <c r="A141" s="136"/>
      <c r="B141" s="27" t="s">
        <v>93</v>
      </c>
      <c r="C141" s="27"/>
      <c r="D141" s="27"/>
      <c r="E141" s="27"/>
      <c r="F141" s="27"/>
      <c r="G141" s="27"/>
      <c r="H141" s="27"/>
      <c r="I141" s="27"/>
      <c r="J141" s="27"/>
      <c r="K141" s="27"/>
      <c r="L141" s="68">
        <f>(L76+L79+L80+L81)/-L82</f>
        <v>2.5698795180722893</v>
      </c>
      <c r="M141" s="27" t="s">
        <v>190</v>
      </c>
      <c r="N141" s="138"/>
    </row>
    <row r="142" spans="1:14" ht="15.75">
      <c r="A142" s="136"/>
      <c r="B142" s="27" t="s">
        <v>94</v>
      </c>
      <c r="C142" s="27"/>
      <c r="D142" s="27"/>
      <c r="E142" s="27"/>
      <c r="F142" s="27"/>
      <c r="G142" s="27"/>
      <c r="H142" s="27"/>
      <c r="I142" s="27"/>
      <c r="J142" s="27"/>
      <c r="K142" s="27"/>
      <c r="L142" s="68">
        <v>1.66</v>
      </c>
      <c r="M142" s="27" t="s">
        <v>190</v>
      </c>
      <c r="N142" s="138"/>
    </row>
    <row r="143" spans="1:14" ht="15.75">
      <c r="A143" s="136"/>
      <c r="B143" s="27" t="s">
        <v>95</v>
      </c>
      <c r="C143" s="27"/>
      <c r="D143" s="27"/>
      <c r="E143" s="27"/>
      <c r="F143" s="27"/>
      <c r="G143" s="27"/>
      <c r="H143" s="27"/>
      <c r="I143" s="27"/>
      <c r="J143" s="27"/>
      <c r="K143" s="27"/>
      <c r="L143" s="68">
        <f>(L76+SUM(L79:L83))/-L84</f>
        <v>7.471264367816092</v>
      </c>
      <c r="M143" s="27" t="s">
        <v>190</v>
      </c>
      <c r="N143" s="138"/>
    </row>
    <row r="144" spans="1:14" ht="15.75">
      <c r="A144" s="136"/>
      <c r="B144" s="27" t="s">
        <v>96</v>
      </c>
      <c r="C144" s="27"/>
      <c r="D144" s="27"/>
      <c r="E144" s="27"/>
      <c r="F144" s="27"/>
      <c r="G144" s="27"/>
      <c r="H144" s="27"/>
      <c r="I144" s="27"/>
      <c r="J144" s="27"/>
      <c r="K144" s="27"/>
      <c r="L144" s="81">
        <v>4.71</v>
      </c>
      <c r="M144" s="27" t="s">
        <v>190</v>
      </c>
      <c r="N144" s="138"/>
    </row>
    <row r="145" spans="1:14" ht="15.75">
      <c r="A145" s="136"/>
      <c r="B145" s="27" t="s">
        <v>97</v>
      </c>
      <c r="C145" s="27"/>
      <c r="D145" s="27"/>
      <c r="E145" s="27"/>
      <c r="F145" s="27"/>
      <c r="G145" s="27"/>
      <c r="H145" s="27"/>
      <c r="I145" s="27"/>
      <c r="J145" s="27"/>
      <c r="K145" s="27"/>
      <c r="L145" s="68">
        <f>(L76+L79+L80+L81+L82+L83+L84)/-L85</f>
        <v>9.080645161290322</v>
      </c>
      <c r="M145" s="27" t="s">
        <v>190</v>
      </c>
      <c r="N145" s="138"/>
    </row>
    <row r="146" spans="1:14" ht="15.75">
      <c r="A146" s="136"/>
      <c r="B146" s="27" t="s">
        <v>98</v>
      </c>
      <c r="C146" s="27"/>
      <c r="D146" s="27"/>
      <c r="E146" s="27"/>
      <c r="F146" s="27"/>
      <c r="G146" s="27"/>
      <c r="H146" s="27"/>
      <c r="I146" s="27"/>
      <c r="J146" s="27"/>
      <c r="K146" s="27"/>
      <c r="L146" s="80">
        <v>5.29</v>
      </c>
      <c r="M146" s="27" t="s">
        <v>190</v>
      </c>
      <c r="N146" s="138"/>
    </row>
    <row r="147" spans="1:14" ht="15.75">
      <c r="A147" s="136"/>
      <c r="B147" s="27"/>
      <c r="C147" s="27"/>
      <c r="D147" s="27"/>
      <c r="E147" s="27"/>
      <c r="F147" s="27"/>
      <c r="G147" s="27"/>
      <c r="H147" s="27"/>
      <c r="I147" s="27"/>
      <c r="J147" s="27"/>
      <c r="K147" s="27"/>
      <c r="L147" s="27"/>
      <c r="M147" s="27"/>
      <c r="N147" s="138"/>
    </row>
    <row r="148" spans="1:14" ht="15">
      <c r="A148" s="119"/>
      <c r="B148" s="15"/>
      <c r="C148" s="15"/>
      <c r="D148" s="15"/>
      <c r="E148" s="15"/>
      <c r="F148" s="15"/>
      <c r="G148" s="15"/>
      <c r="H148" s="15"/>
      <c r="I148" s="15"/>
      <c r="J148" s="15"/>
      <c r="K148" s="15"/>
      <c r="L148" s="15"/>
      <c r="M148" s="15"/>
      <c r="N148" s="138"/>
    </row>
    <row r="149" spans="1:14" ht="15.75">
      <c r="A149" s="135"/>
      <c r="B149" s="83" t="s">
        <v>99</v>
      </c>
      <c r="C149" s="84"/>
      <c r="D149" s="84"/>
      <c r="E149" s="84"/>
      <c r="F149" s="84"/>
      <c r="G149" s="85"/>
      <c r="H149" s="85"/>
      <c r="I149" s="85"/>
      <c r="J149" s="85">
        <v>37134</v>
      </c>
      <c r="K149" s="86"/>
      <c r="L149" s="5"/>
      <c r="M149" s="5"/>
      <c r="N149" s="138"/>
    </row>
    <row r="150" spans="1:14" ht="15.75">
      <c r="A150" s="119"/>
      <c r="B150" s="89"/>
      <c r="C150" s="90"/>
      <c r="D150" s="90"/>
      <c r="E150" s="90"/>
      <c r="F150" s="90"/>
      <c r="G150" s="91"/>
      <c r="H150" s="91"/>
      <c r="I150" s="91"/>
      <c r="J150" s="91"/>
      <c r="K150" s="10"/>
      <c r="L150" s="10"/>
      <c r="M150" s="10"/>
      <c r="N150" s="138"/>
    </row>
    <row r="151" spans="1:14" ht="15.75">
      <c r="A151" s="136"/>
      <c r="B151" s="93" t="s">
        <v>100</v>
      </c>
      <c r="C151" s="94"/>
      <c r="D151" s="94"/>
      <c r="E151" s="94"/>
      <c r="F151" s="94"/>
      <c r="G151" s="75"/>
      <c r="H151" s="75"/>
      <c r="I151" s="75"/>
      <c r="J151" s="95">
        <v>0.0981</v>
      </c>
      <c r="K151" s="27"/>
      <c r="L151" s="27"/>
      <c r="M151" s="27"/>
      <c r="N151" s="138"/>
    </row>
    <row r="152" spans="1:14" ht="15.75">
      <c r="A152" s="136"/>
      <c r="B152" s="93" t="s">
        <v>101</v>
      </c>
      <c r="C152" s="94"/>
      <c r="D152" s="94"/>
      <c r="E152" s="94"/>
      <c r="F152" s="94"/>
      <c r="G152" s="75"/>
      <c r="H152" s="75"/>
      <c r="I152" s="75"/>
      <c r="J152" s="44">
        <f>6.96640642439395/100</f>
        <v>0.0696640642439395</v>
      </c>
      <c r="K152" s="27"/>
      <c r="L152" s="27"/>
      <c r="M152" s="27"/>
      <c r="N152" s="138"/>
    </row>
    <row r="153" spans="1:14" ht="15.75">
      <c r="A153" s="136"/>
      <c r="B153" s="93" t="s">
        <v>102</v>
      </c>
      <c r="C153" s="94"/>
      <c r="D153" s="94"/>
      <c r="E153" s="94"/>
      <c r="F153" s="94"/>
      <c r="G153" s="75"/>
      <c r="H153" s="75"/>
      <c r="I153" s="75"/>
      <c r="J153" s="95">
        <f>J151-J152</f>
        <v>0.0284359357560605</v>
      </c>
      <c r="K153" s="27"/>
      <c r="L153" s="27"/>
      <c r="M153" s="27"/>
      <c r="N153" s="138"/>
    </row>
    <row r="154" spans="1:14" ht="15.75">
      <c r="A154" s="136"/>
      <c r="B154" s="93" t="s">
        <v>103</v>
      </c>
      <c r="C154" s="94"/>
      <c r="D154" s="94"/>
      <c r="E154" s="94"/>
      <c r="F154" s="94"/>
      <c r="G154" s="75"/>
      <c r="H154" s="75"/>
      <c r="I154" s="75"/>
      <c r="J154" s="95">
        <v>0.0829</v>
      </c>
      <c r="K154" s="27"/>
      <c r="L154" s="27"/>
      <c r="M154" s="27"/>
      <c r="N154" s="138"/>
    </row>
    <row r="155" spans="1:14" ht="15.75">
      <c r="A155" s="136"/>
      <c r="B155" s="93" t="s">
        <v>104</v>
      </c>
      <c r="C155" s="94"/>
      <c r="D155" s="94"/>
      <c r="E155" s="94"/>
      <c r="F155" s="94"/>
      <c r="G155" s="75"/>
      <c r="H155" s="75"/>
      <c r="I155" s="75"/>
      <c r="J155" s="95">
        <f>L30</f>
        <v>0.05473451116492668</v>
      </c>
      <c r="K155" s="27"/>
      <c r="L155" s="27"/>
      <c r="M155" s="27"/>
      <c r="N155" s="138"/>
    </row>
    <row r="156" spans="1:14" ht="15.75">
      <c r="A156" s="136"/>
      <c r="B156" s="93" t="s">
        <v>105</v>
      </c>
      <c r="C156" s="94"/>
      <c r="D156" s="94"/>
      <c r="E156" s="94"/>
      <c r="F156" s="94"/>
      <c r="G156" s="75"/>
      <c r="H156" s="75"/>
      <c r="I156" s="75"/>
      <c r="J156" s="95">
        <f>J154-J155</f>
        <v>0.02816548883507332</v>
      </c>
      <c r="K156" s="27"/>
      <c r="L156" s="27"/>
      <c r="M156" s="27"/>
      <c r="N156" s="138"/>
    </row>
    <row r="157" spans="1:14" ht="15.75">
      <c r="A157" s="136"/>
      <c r="B157" s="93" t="s">
        <v>106</v>
      </c>
      <c r="C157" s="94"/>
      <c r="D157" s="94"/>
      <c r="E157" s="94"/>
      <c r="F157" s="94"/>
      <c r="G157" s="75"/>
      <c r="H157" s="75"/>
      <c r="I157" s="75"/>
      <c r="J157" s="95" t="s">
        <v>177</v>
      </c>
      <c r="K157" s="27"/>
      <c r="L157" s="27"/>
      <c r="M157" s="27"/>
      <c r="N157" s="138"/>
    </row>
    <row r="158" spans="1:14" ht="15.75">
      <c r="A158" s="136"/>
      <c r="B158" s="93" t="s">
        <v>107</v>
      </c>
      <c r="C158" s="94"/>
      <c r="D158" s="94"/>
      <c r="E158" s="94"/>
      <c r="F158" s="94"/>
      <c r="G158" s="75"/>
      <c r="H158" s="75"/>
      <c r="I158" s="75"/>
      <c r="J158" s="95" t="s">
        <v>178</v>
      </c>
      <c r="K158" s="27"/>
      <c r="L158" s="27"/>
      <c r="M158" s="27"/>
      <c r="N158" s="138"/>
    </row>
    <row r="159" spans="1:14" ht="15.75">
      <c r="A159" s="136"/>
      <c r="B159" s="93" t="s">
        <v>108</v>
      </c>
      <c r="C159" s="94"/>
      <c r="D159" s="94"/>
      <c r="E159" s="94"/>
      <c r="F159" s="94"/>
      <c r="G159" s="75"/>
      <c r="H159" s="75"/>
      <c r="I159" s="75"/>
      <c r="J159" s="95" t="s">
        <v>213</v>
      </c>
      <c r="K159" s="27"/>
      <c r="L159" s="27"/>
      <c r="M159" s="27"/>
      <c r="N159" s="138"/>
    </row>
    <row r="160" spans="1:14" ht="15.75">
      <c r="A160" s="136"/>
      <c r="B160" s="93" t="s">
        <v>211</v>
      </c>
      <c r="C160" s="94"/>
      <c r="D160" s="94"/>
      <c r="E160" s="94"/>
      <c r="F160" s="94"/>
      <c r="G160" s="75"/>
      <c r="H160" s="133"/>
      <c r="I160" s="75"/>
      <c r="J160" s="95">
        <v>0.0614</v>
      </c>
      <c r="K160" s="27"/>
      <c r="L160" s="27"/>
      <c r="M160" s="27"/>
      <c r="N160" s="138"/>
    </row>
    <row r="161" spans="1:14" ht="15.75">
      <c r="A161" s="136"/>
      <c r="B161" s="93" t="s">
        <v>212</v>
      </c>
      <c r="C161" s="94"/>
      <c r="D161" s="94"/>
      <c r="E161" s="94"/>
      <c r="F161" s="94"/>
      <c r="G161" s="75"/>
      <c r="H161" s="133"/>
      <c r="I161" s="75"/>
      <c r="J161" s="95">
        <v>0.2006</v>
      </c>
      <c r="K161" s="27"/>
      <c r="L161" s="27"/>
      <c r="M161" s="27"/>
      <c r="N161" s="138"/>
    </row>
    <row r="162" spans="1:14" ht="15.75">
      <c r="A162" s="136"/>
      <c r="B162" s="93"/>
      <c r="C162" s="93"/>
      <c r="D162" s="93"/>
      <c r="E162" s="93"/>
      <c r="F162" s="93"/>
      <c r="G162" s="27"/>
      <c r="H162" s="27"/>
      <c r="I162" s="27"/>
      <c r="J162" s="72"/>
      <c r="K162" s="27"/>
      <c r="L162" s="97"/>
      <c r="M162" s="27"/>
      <c r="N162" s="138"/>
    </row>
    <row r="163" spans="1:14" ht="15.75">
      <c r="A163" s="119"/>
      <c r="B163" s="17" t="s">
        <v>110</v>
      </c>
      <c r="C163" s="20"/>
      <c r="D163" s="99"/>
      <c r="E163" s="20"/>
      <c r="F163" s="99"/>
      <c r="G163" s="20"/>
      <c r="H163" s="99"/>
      <c r="I163" s="20" t="s">
        <v>164</v>
      </c>
      <c r="J163" s="99" t="s">
        <v>180</v>
      </c>
      <c r="K163" s="18"/>
      <c r="L163" s="18"/>
      <c r="M163" s="10"/>
      <c r="N163" s="138"/>
    </row>
    <row r="164" spans="1:14" ht="15.75">
      <c r="A164" s="136"/>
      <c r="B164" s="93" t="s">
        <v>111</v>
      </c>
      <c r="C164" s="59"/>
      <c r="D164" s="59"/>
      <c r="E164" s="59"/>
      <c r="F164" s="27"/>
      <c r="G164" s="27"/>
      <c r="H164" s="27"/>
      <c r="I164" s="27">
        <v>94</v>
      </c>
      <c r="J164" s="58">
        <v>5684</v>
      </c>
      <c r="K164" s="27"/>
      <c r="L164" s="97"/>
      <c r="M164" s="102"/>
      <c r="N164" s="138"/>
    </row>
    <row r="165" spans="1:14" ht="15.75">
      <c r="A165" s="136"/>
      <c r="B165" s="93" t="s">
        <v>112</v>
      </c>
      <c r="C165" s="59"/>
      <c r="D165" s="59"/>
      <c r="E165" s="59"/>
      <c r="F165" s="27"/>
      <c r="G165" s="27"/>
      <c r="H165" s="27"/>
      <c r="I165" s="27">
        <v>2</v>
      </c>
      <c r="J165" s="58">
        <v>95</v>
      </c>
      <c r="K165" s="27"/>
      <c r="L165" s="97"/>
      <c r="M165" s="102"/>
      <c r="N165" s="138"/>
    </row>
    <row r="166" spans="1:14" ht="15.75">
      <c r="A166" s="136"/>
      <c r="B166" s="103" t="s">
        <v>113</v>
      </c>
      <c r="C166" s="59"/>
      <c r="D166" s="59"/>
      <c r="E166" s="59"/>
      <c r="F166" s="27"/>
      <c r="G166" s="27"/>
      <c r="H166" s="27"/>
      <c r="I166" s="27"/>
      <c r="J166" s="58">
        <v>0</v>
      </c>
      <c r="K166" s="27"/>
      <c r="L166" s="97"/>
      <c r="M166" s="102"/>
      <c r="N166" s="138"/>
    </row>
    <row r="167" spans="1:14" ht="15.75">
      <c r="A167" s="136"/>
      <c r="B167" s="103" t="s">
        <v>114</v>
      </c>
      <c r="C167" s="59"/>
      <c r="D167" s="59"/>
      <c r="E167" s="59"/>
      <c r="F167" s="27"/>
      <c r="G167" s="27"/>
      <c r="H167" s="27"/>
      <c r="I167" s="27"/>
      <c r="J167" s="68" t="s">
        <v>139</v>
      </c>
      <c r="K167" s="27"/>
      <c r="L167" s="97"/>
      <c r="M167" s="102"/>
      <c r="N167" s="138"/>
    </row>
    <row r="168" spans="1:14" ht="15.75">
      <c r="A168" s="136"/>
      <c r="B168" s="103" t="s">
        <v>115</v>
      </c>
      <c r="C168" s="59"/>
      <c r="D168" s="93"/>
      <c r="E168" s="93"/>
      <c r="F168" s="93"/>
      <c r="G168" s="27"/>
      <c r="H168" s="27"/>
      <c r="I168" s="27"/>
      <c r="J168" s="68"/>
      <c r="K168" s="27"/>
      <c r="L168" s="97"/>
      <c r="M168" s="105"/>
      <c r="N168" s="138"/>
    </row>
    <row r="169" spans="1:14" ht="15.75">
      <c r="A169" s="136"/>
      <c r="B169" s="93" t="s">
        <v>116</v>
      </c>
      <c r="C169" s="59"/>
      <c r="D169" s="59"/>
      <c r="E169" s="59"/>
      <c r="F169" s="59"/>
      <c r="G169" s="27"/>
      <c r="H169" s="27"/>
      <c r="I169" s="27">
        <f>107-105</f>
        <v>2</v>
      </c>
      <c r="J169" s="58">
        <v>33</v>
      </c>
      <c r="K169" s="27"/>
      <c r="L169" s="97"/>
      <c r="M169" s="105"/>
      <c r="N169" s="138"/>
    </row>
    <row r="170" spans="1:14" ht="15.75">
      <c r="A170" s="136"/>
      <c r="B170" s="93" t="s">
        <v>117</v>
      </c>
      <c r="C170" s="59"/>
      <c r="D170" s="59"/>
      <c r="E170" s="59"/>
      <c r="F170" s="59"/>
      <c r="G170" s="27"/>
      <c r="H170" s="27"/>
      <c r="I170" s="58">
        <v>107</v>
      </c>
      <c r="J170" s="58">
        <v>1804</v>
      </c>
      <c r="K170" s="27"/>
      <c r="L170" s="97"/>
      <c r="M170" s="105"/>
      <c r="N170" s="138"/>
    </row>
    <row r="171" spans="1:14" ht="15.75">
      <c r="A171" s="136"/>
      <c r="B171" s="93" t="s">
        <v>208</v>
      </c>
      <c r="C171" s="59"/>
      <c r="D171" s="59"/>
      <c r="E171" s="59"/>
      <c r="F171" s="59"/>
      <c r="G171" s="27"/>
      <c r="H171" s="27"/>
      <c r="I171" s="58"/>
      <c r="J171" s="58">
        <v>97</v>
      </c>
      <c r="K171" s="27"/>
      <c r="L171" s="97"/>
      <c r="M171" s="105"/>
      <c r="N171" s="138"/>
    </row>
    <row r="172" spans="1:14" ht="15.75">
      <c r="A172" s="136"/>
      <c r="B172" s="103" t="s">
        <v>118</v>
      </c>
      <c r="C172" s="59"/>
      <c r="D172" s="93"/>
      <c r="E172" s="93"/>
      <c r="F172" s="93"/>
      <c r="G172" s="27"/>
      <c r="H172" s="27"/>
      <c r="I172" s="27"/>
      <c r="J172" s="58"/>
      <c r="K172" s="27"/>
      <c r="L172" s="97"/>
      <c r="M172" s="105"/>
      <c r="N172" s="138"/>
    </row>
    <row r="173" spans="1:14" ht="15.75">
      <c r="A173" s="136"/>
      <c r="B173" s="93" t="s">
        <v>119</v>
      </c>
      <c r="C173" s="59"/>
      <c r="D173" s="93"/>
      <c r="E173" s="93"/>
      <c r="F173" s="93"/>
      <c r="G173" s="27"/>
      <c r="H173" s="27"/>
      <c r="I173" s="27">
        <v>3</v>
      </c>
      <c r="J173" s="58">
        <v>138</v>
      </c>
      <c r="K173" s="27"/>
      <c r="L173" s="97"/>
      <c r="M173" s="105"/>
      <c r="N173" s="138"/>
    </row>
    <row r="174" spans="1:14" ht="15.75">
      <c r="A174" s="136"/>
      <c r="B174" s="93" t="s">
        <v>120</v>
      </c>
      <c r="C174" s="59"/>
      <c r="D174" s="106"/>
      <c r="E174" s="106"/>
      <c r="F174" s="107"/>
      <c r="G174" s="27"/>
      <c r="H174" s="27"/>
      <c r="I174" s="27"/>
      <c r="J174" s="68">
        <v>11.96</v>
      </c>
      <c r="K174" s="27"/>
      <c r="L174" s="97"/>
      <c r="M174" s="105"/>
      <c r="N174" s="138"/>
    </row>
    <row r="175" spans="1:14" ht="15.75">
      <c r="A175" s="136"/>
      <c r="B175" s="93" t="s">
        <v>197</v>
      </c>
      <c r="C175" s="59"/>
      <c r="D175" s="106"/>
      <c r="E175" s="106"/>
      <c r="F175" s="107"/>
      <c r="G175" s="27"/>
      <c r="H175" s="27"/>
      <c r="I175" s="27"/>
      <c r="J175" s="68">
        <v>14.33</v>
      </c>
      <c r="K175" s="27"/>
      <c r="L175" s="97"/>
      <c r="M175" s="105"/>
      <c r="N175" s="138"/>
    </row>
    <row r="176" spans="1:14" ht="15.75">
      <c r="A176" s="136"/>
      <c r="B176" s="93" t="s">
        <v>122</v>
      </c>
      <c r="C176" s="59"/>
      <c r="D176" s="108"/>
      <c r="E176" s="106"/>
      <c r="F176" s="107"/>
      <c r="G176" s="27"/>
      <c r="H176" s="27"/>
      <c r="I176" s="27"/>
      <c r="J176" s="109">
        <v>1.0222</v>
      </c>
      <c r="K176" s="27"/>
      <c r="L176" s="97"/>
      <c r="M176" s="105"/>
      <c r="N176" s="138"/>
    </row>
    <row r="177" spans="1:14" ht="15.75">
      <c r="A177" s="136"/>
      <c r="B177" s="93"/>
      <c r="C177" s="59"/>
      <c r="D177" s="108"/>
      <c r="E177" s="106"/>
      <c r="F177" s="107"/>
      <c r="G177" s="27"/>
      <c r="H177" s="27"/>
      <c r="I177" s="27"/>
      <c r="J177" s="109"/>
      <c r="K177" s="27"/>
      <c r="L177" s="97"/>
      <c r="M177" s="105"/>
      <c r="N177" s="138"/>
    </row>
    <row r="178" spans="1:14" ht="15.75">
      <c r="A178" s="119"/>
      <c r="B178" s="17" t="s">
        <v>123</v>
      </c>
      <c r="C178" s="20"/>
      <c r="D178" s="99"/>
      <c r="E178" s="20"/>
      <c r="F178" s="99"/>
      <c r="G178" s="20"/>
      <c r="H178" s="99" t="s">
        <v>164</v>
      </c>
      <c r="I178" s="20" t="s">
        <v>165</v>
      </c>
      <c r="J178" s="99" t="s">
        <v>181</v>
      </c>
      <c r="K178" s="20" t="s">
        <v>165</v>
      </c>
      <c r="L178" s="18"/>
      <c r="M178" s="112"/>
      <c r="N178" s="138"/>
    </row>
    <row r="179" spans="1:14" ht="15.75">
      <c r="A179" s="136"/>
      <c r="B179" s="59" t="s">
        <v>124</v>
      </c>
      <c r="C179" s="113"/>
      <c r="D179" s="59"/>
      <c r="E179" s="113"/>
      <c r="F179" s="27"/>
      <c r="G179" s="113"/>
      <c r="H179" s="59">
        <v>1540</v>
      </c>
      <c r="I179" s="113">
        <f>H179/H184</f>
        <v>0.853185595567867</v>
      </c>
      <c r="J179" s="58">
        <v>65153</v>
      </c>
      <c r="K179" s="113">
        <f>J179/J184</f>
        <v>0.8222443776975693</v>
      </c>
      <c r="L179" s="97"/>
      <c r="M179" s="105"/>
      <c r="N179" s="138"/>
    </row>
    <row r="180" spans="1:14" ht="15.75">
      <c r="A180" s="136"/>
      <c r="B180" s="59" t="s">
        <v>125</v>
      </c>
      <c r="C180" s="113"/>
      <c r="D180" s="59"/>
      <c r="E180" s="113"/>
      <c r="F180" s="27"/>
      <c r="G180" s="115"/>
      <c r="H180" s="59">
        <v>35</v>
      </c>
      <c r="I180" s="113">
        <f>H180/H184</f>
        <v>0.019390581717451522</v>
      </c>
      <c r="J180" s="58">
        <v>1342</v>
      </c>
      <c r="K180" s="113">
        <f>J180/J184</f>
        <v>0.01693631843307504</v>
      </c>
      <c r="L180" s="97"/>
      <c r="M180" s="105"/>
      <c r="N180" s="138"/>
    </row>
    <row r="181" spans="1:14" ht="15.75">
      <c r="A181" s="136"/>
      <c r="B181" s="59" t="s">
        <v>126</v>
      </c>
      <c r="C181" s="113"/>
      <c r="D181" s="59"/>
      <c r="E181" s="113"/>
      <c r="F181" s="27"/>
      <c r="G181" s="115"/>
      <c r="H181" s="59">
        <v>20</v>
      </c>
      <c r="I181" s="113">
        <f>H181/H184</f>
        <v>0.0110803324099723</v>
      </c>
      <c r="J181" s="58">
        <v>995</v>
      </c>
      <c r="K181" s="113">
        <f>J181/J184</f>
        <v>0.012557106438829855</v>
      </c>
      <c r="L181" s="97"/>
      <c r="M181" s="105"/>
      <c r="N181" s="138"/>
    </row>
    <row r="182" spans="1:14" ht="15.75">
      <c r="A182" s="136"/>
      <c r="B182" s="59" t="s">
        <v>127</v>
      </c>
      <c r="C182" s="113"/>
      <c r="D182" s="59"/>
      <c r="E182" s="113"/>
      <c r="F182" s="27"/>
      <c r="G182" s="115"/>
      <c r="H182" s="59">
        <f>17+18+15+160</f>
        <v>210</v>
      </c>
      <c r="I182" s="113">
        <f>H182/H184</f>
        <v>0.11634349030470914</v>
      </c>
      <c r="J182" s="58">
        <f>880+1079+655+9134</f>
        <v>11748</v>
      </c>
      <c r="K182" s="113">
        <f>J182/J184</f>
        <v>0.14826219743052577</v>
      </c>
      <c r="L182" s="97"/>
      <c r="M182" s="105"/>
      <c r="N182" s="138"/>
    </row>
    <row r="183" spans="1:14" ht="15.75">
      <c r="A183" s="136"/>
      <c r="B183" s="59"/>
      <c r="C183" s="116"/>
      <c r="D183" s="102"/>
      <c r="E183" s="116"/>
      <c r="F183" s="27"/>
      <c r="G183" s="116"/>
      <c r="H183" s="102"/>
      <c r="I183" s="116"/>
      <c r="J183" s="58"/>
      <c r="K183" s="113"/>
      <c r="L183" s="97"/>
      <c r="M183" s="105"/>
      <c r="N183" s="138"/>
    </row>
    <row r="184" spans="1:14" ht="15.75">
      <c r="A184" s="136"/>
      <c r="B184" s="27" t="s">
        <v>189</v>
      </c>
      <c r="C184" s="27"/>
      <c r="D184" s="27"/>
      <c r="E184" s="27"/>
      <c r="F184" s="27"/>
      <c r="G184" s="27"/>
      <c r="H184" s="57">
        <f>SUM(H179:H182)</f>
        <v>1805</v>
      </c>
      <c r="I184" s="114">
        <f>SUM(I179:I182)</f>
        <v>1</v>
      </c>
      <c r="J184" s="58">
        <f>SUM(J179:J183)</f>
        <v>79238</v>
      </c>
      <c r="K184" s="114">
        <f>SUM(K179:K183)</f>
        <v>1</v>
      </c>
      <c r="L184" s="97"/>
      <c r="M184" s="27"/>
      <c r="N184" s="138"/>
    </row>
    <row r="185" spans="1:14" ht="15.75">
      <c r="A185" s="136"/>
      <c r="B185" s="27"/>
      <c r="C185" s="27"/>
      <c r="D185" s="27"/>
      <c r="E185" s="27"/>
      <c r="F185" s="27"/>
      <c r="G185" s="27"/>
      <c r="H185" s="57"/>
      <c r="I185" s="114"/>
      <c r="J185" s="58"/>
      <c r="K185" s="114"/>
      <c r="L185" s="97"/>
      <c r="M185" s="27"/>
      <c r="N185" s="138"/>
    </row>
    <row r="186" spans="1:14" ht="15.75">
      <c r="A186" s="119"/>
      <c r="B186" s="10"/>
      <c r="C186" s="10"/>
      <c r="D186" s="10"/>
      <c r="E186" s="10"/>
      <c r="F186" s="10"/>
      <c r="G186" s="10"/>
      <c r="H186" s="60"/>
      <c r="I186" s="117"/>
      <c r="J186" s="118"/>
      <c r="K186" s="117"/>
      <c r="L186" s="79"/>
      <c r="M186" s="10"/>
      <c r="N186" s="138"/>
    </row>
    <row r="187" spans="1:14" ht="15.75">
      <c r="A187" s="119"/>
      <c r="B187" s="17" t="s">
        <v>129</v>
      </c>
      <c r="C187" s="120"/>
      <c r="D187" s="20" t="s">
        <v>144</v>
      </c>
      <c r="E187" s="18"/>
      <c r="F187" s="17" t="s">
        <v>154</v>
      </c>
      <c r="G187" s="121"/>
      <c r="H187" s="121"/>
      <c r="I187" s="121"/>
      <c r="J187" s="121"/>
      <c r="K187" s="15"/>
      <c r="L187" s="15"/>
      <c r="M187" s="15"/>
      <c r="N187" s="138"/>
    </row>
    <row r="188" spans="1:14" ht="15.75">
      <c r="A188" s="119"/>
      <c r="B188" s="15"/>
      <c r="C188" s="15"/>
      <c r="D188" s="10"/>
      <c r="E188" s="10"/>
      <c r="F188" s="10"/>
      <c r="G188" s="15"/>
      <c r="H188" s="15"/>
      <c r="I188" s="15"/>
      <c r="J188" s="15"/>
      <c r="K188" s="15"/>
      <c r="L188" s="15"/>
      <c r="M188" s="15"/>
      <c r="N188" s="138"/>
    </row>
    <row r="189" spans="1:14" ht="15.75">
      <c r="A189" s="119"/>
      <c r="B189" s="16" t="s">
        <v>130</v>
      </c>
      <c r="C189" s="124"/>
      <c r="D189" s="125" t="s">
        <v>145</v>
      </c>
      <c r="E189" s="16"/>
      <c r="F189" s="16" t="s">
        <v>155</v>
      </c>
      <c r="G189" s="124"/>
      <c r="H189" s="124"/>
      <c r="I189" s="124"/>
      <c r="J189" s="124"/>
      <c r="K189" s="15"/>
      <c r="L189" s="15"/>
      <c r="M189" s="15"/>
      <c r="N189" s="138"/>
    </row>
    <row r="190" spans="1:14" ht="15.75">
      <c r="A190" s="119"/>
      <c r="B190" s="16" t="s">
        <v>131</v>
      </c>
      <c r="C190" s="124"/>
      <c r="D190" s="125" t="s">
        <v>146</v>
      </c>
      <c r="E190" s="16"/>
      <c r="F190" s="16" t="s">
        <v>156</v>
      </c>
      <c r="G190" s="124"/>
      <c r="H190" s="124"/>
      <c r="I190" s="124"/>
      <c r="J190" s="124"/>
      <c r="K190" s="15"/>
      <c r="L190" s="15"/>
      <c r="M190" s="15"/>
      <c r="N190" s="138"/>
    </row>
    <row r="191" spans="1:13" ht="15">
      <c r="A191" s="141"/>
      <c r="B191" s="141"/>
      <c r="C191" s="141"/>
      <c r="D191" s="141"/>
      <c r="E191" s="141"/>
      <c r="F191" s="141"/>
      <c r="G191" s="141"/>
      <c r="H191" s="141"/>
      <c r="I191" s="141"/>
      <c r="J191" s="141"/>
      <c r="K191" s="141"/>
      <c r="L191" s="141"/>
      <c r="M191" s="141"/>
    </row>
  </sheetData>
  <printOptions/>
  <pageMargins left="0.5" right="0.5" top="0.3" bottom="0.3423611111111111" header="0" footer="0"/>
  <pageSetup orientation="landscape" paperSize="9" scale="63"/>
  <headerFooter alignWithMargins="0">
    <oddFooter>&amp;LFFP1 INVESTOR REPORT QTR END AUGUST 2001</oddFooter>
  </headerFooter>
</worksheet>
</file>

<file path=xl/worksheets/sheet11.xml><?xml version="1.0" encoding="utf-8"?>
<worksheet xmlns="http://schemas.openxmlformats.org/spreadsheetml/2006/main" xmlns:r="http://schemas.openxmlformats.org/officeDocument/2006/relationships">
  <dimension ref="A1:N191"/>
  <sheetViews>
    <sheetView showOutlineSymbols="0" zoomScale="70" zoomScaleNormal="70" workbookViewId="0" topLeftCell="C1">
      <selection activeCell="K18" sqref="K18"/>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9.6640625" style="1" customWidth="1"/>
    <col min="12" max="12" width="13.6640625" style="1" customWidth="1"/>
    <col min="13" max="13" width="18.88671875" style="1" customWidth="1"/>
    <col min="14" max="16384" width="9.6640625" style="1" customWidth="1"/>
  </cols>
  <sheetData>
    <row r="1" spans="1:14" ht="20.25">
      <c r="A1" s="135"/>
      <c r="B1" s="3" t="s">
        <v>0</v>
      </c>
      <c r="C1" s="4"/>
      <c r="D1" s="5"/>
      <c r="E1" s="5"/>
      <c r="F1" s="5"/>
      <c r="G1" s="5"/>
      <c r="H1" s="5"/>
      <c r="I1" s="5"/>
      <c r="J1" s="5"/>
      <c r="K1" s="5"/>
      <c r="L1" s="5"/>
      <c r="M1" s="5"/>
      <c r="N1" s="138"/>
    </row>
    <row r="2" spans="1:14" ht="15.75">
      <c r="A2" s="119"/>
      <c r="B2" s="9"/>
      <c r="C2" s="9"/>
      <c r="D2" s="10"/>
      <c r="E2" s="10"/>
      <c r="F2" s="10"/>
      <c r="G2" s="10"/>
      <c r="H2" s="10"/>
      <c r="I2" s="10"/>
      <c r="J2" s="10"/>
      <c r="K2" s="10"/>
      <c r="L2" s="10"/>
      <c r="M2" s="10"/>
      <c r="N2" s="138"/>
    </row>
    <row r="3" spans="1:14" ht="15.75">
      <c r="A3" s="119"/>
      <c r="B3" s="12" t="s">
        <v>1</v>
      </c>
      <c r="C3" s="10"/>
      <c r="D3" s="10"/>
      <c r="E3" s="10"/>
      <c r="F3" s="10"/>
      <c r="G3" s="10"/>
      <c r="H3" s="10"/>
      <c r="I3" s="10"/>
      <c r="J3" s="10"/>
      <c r="K3" s="10"/>
      <c r="L3" s="10"/>
      <c r="M3" s="10"/>
      <c r="N3" s="138"/>
    </row>
    <row r="4" spans="1:14" ht="15.75">
      <c r="A4" s="119"/>
      <c r="B4" s="9"/>
      <c r="C4" s="9"/>
      <c r="D4" s="10"/>
      <c r="E4" s="10"/>
      <c r="F4" s="10"/>
      <c r="G4" s="10"/>
      <c r="H4" s="10"/>
      <c r="I4" s="10"/>
      <c r="J4" s="10"/>
      <c r="K4" s="10"/>
      <c r="L4" s="10"/>
      <c r="M4" s="10"/>
      <c r="N4" s="138"/>
    </row>
    <row r="5" spans="1:14" ht="15.75">
      <c r="A5" s="119"/>
      <c r="B5" s="13" t="s">
        <v>2</v>
      </c>
      <c r="C5" s="14"/>
      <c r="D5" s="10"/>
      <c r="E5" s="10"/>
      <c r="F5" s="10"/>
      <c r="G5" s="10"/>
      <c r="H5" s="10"/>
      <c r="I5" s="10"/>
      <c r="J5" s="10"/>
      <c r="K5" s="10"/>
      <c r="L5" s="10"/>
      <c r="M5" s="10"/>
      <c r="N5" s="138"/>
    </row>
    <row r="6" spans="1:14" ht="15.75">
      <c r="A6" s="119"/>
      <c r="B6" s="13" t="s">
        <v>3</v>
      </c>
      <c r="C6" s="14"/>
      <c r="D6" s="10"/>
      <c r="E6" s="10"/>
      <c r="F6" s="10"/>
      <c r="G6" s="10"/>
      <c r="H6" s="10"/>
      <c r="I6" s="10"/>
      <c r="J6" s="10"/>
      <c r="K6" s="10"/>
      <c r="L6" s="10"/>
      <c r="M6" s="10"/>
      <c r="N6" s="138"/>
    </row>
    <row r="7" spans="1:14" ht="15.75">
      <c r="A7" s="119"/>
      <c r="B7" s="13" t="s">
        <v>4</v>
      </c>
      <c r="C7" s="14"/>
      <c r="D7" s="10"/>
      <c r="E7" s="10"/>
      <c r="F7" s="10"/>
      <c r="G7" s="10"/>
      <c r="H7" s="10"/>
      <c r="I7" s="10"/>
      <c r="J7" s="10"/>
      <c r="K7" s="10"/>
      <c r="L7" s="10"/>
      <c r="M7" s="10"/>
      <c r="N7" s="138"/>
    </row>
    <row r="8" spans="1:14" ht="15.75">
      <c r="A8" s="119"/>
      <c r="B8" s="15"/>
      <c r="C8" s="14"/>
      <c r="D8" s="10"/>
      <c r="E8" s="10"/>
      <c r="F8" s="10"/>
      <c r="G8" s="10"/>
      <c r="H8" s="10"/>
      <c r="I8" s="10"/>
      <c r="J8" s="10"/>
      <c r="K8" s="10"/>
      <c r="L8" s="10"/>
      <c r="M8" s="10"/>
      <c r="N8" s="138"/>
    </row>
    <row r="9" spans="1:14" ht="15.75">
      <c r="A9" s="119"/>
      <c r="B9" s="14"/>
      <c r="C9" s="14"/>
      <c r="D9" s="16"/>
      <c r="E9" s="16"/>
      <c r="F9" s="10"/>
      <c r="G9" s="10"/>
      <c r="H9" s="10"/>
      <c r="I9" s="10"/>
      <c r="J9" s="10"/>
      <c r="K9" s="10"/>
      <c r="L9" s="10"/>
      <c r="M9" s="10"/>
      <c r="N9" s="138"/>
    </row>
    <row r="10" spans="1:14" ht="15.75">
      <c r="A10" s="119"/>
      <c r="B10" s="17" t="s">
        <v>5</v>
      </c>
      <c r="C10" s="16"/>
      <c r="D10" s="10"/>
      <c r="E10" s="10"/>
      <c r="F10" s="10"/>
      <c r="G10" s="10"/>
      <c r="H10" s="10"/>
      <c r="I10" s="10"/>
      <c r="J10" s="10"/>
      <c r="K10" s="10"/>
      <c r="L10" s="10"/>
      <c r="M10" s="10"/>
      <c r="N10" s="138"/>
    </row>
    <row r="11" spans="1:14" ht="15.75">
      <c r="A11" s="119"/>
      <c r="B11" s="16"/>
      <c r="C11" s="16"/>
      <c r="D11" s="10"/>
      <c r="E11" s="10"/>
      <c r="F11" s="10"/>
      <c r="G11" s="10"/>
      <c r="H11" s="10"/>
      <c r="I11" s="10"/>
      <c r="J11" s="10"/>
      <c r="K11" s="10"/>
      <c r="L11" s="10"/>
      <c r="M11" s="10"/>
      <c r="N11" s="138"/>
    </row>
    <row r="12" spans="1:14" ht="15.75">
      <c r="A12" s="135"/>
      <c r="B12" s="5"/>
      <c r="C12" s="5"/>
      <c r="D12" s="5"/>
      <c r="E12" s="5"/>
      <c r="F12" s="5"/>
      <c r="G12" s="5"/>
      <c r="H12" s="5"/>
      <c r="I12" s="5"/>
      <c r="J12" s="5"/>
      <c r="K12" s="5"/>
      <c r="L12" s="5"/>
      <c r="M12" s="5"/>
      <c r="N12" s="138"/>
    </row>
    <row r="13" spans="1:14" ht="15.75">
      <c r="A13" s="119"/>
      <c r="B13" s="17" t="s">
        <v>6</v>
      </c>
      <c r="C13" s="17"/>
      <c r="D13" s="18"/>
      <c r="E13" s="18"/>
      <c r="F13" s="18"/>
      <c r="G13" s="18"/>
      <c r="H13" s="18"/>
      <c r="I13" s="18"/>
      <c r="J13" s="18"/>
      <c r="K13" s="18"/>
      <c r="L13" s="19" t="s">
        <v>183</v>
      </c>
      <c r="M13" s="10"/>
      <c r="N13" s="138"/>
    </row>
    <row r="14" spans="1:14" ht="15.75">
      <c r="A14" s="8"/>
      <c r="B14" s="17" t="s">
        <v>206</v>
      </c>
      <c r="C14" s="17"/>
      <c r="D14" s="18"/>
      <c r="E14" s="18"/>
      <c r="F14" s="18"/>
      <c r="G14" s="18"/>
      <c r="H14" s="20" t="s">
        <v>209</v>
      </c>
      <c r="I14" s="142">
        <v>0.59</v>
      </c>
      <c r="J14" s="20" t="s">
        <v>210</v>
      </c>
      <c r="K14" s="142">
        <v>0.41</v>
      </c>
      <c r="L14" s="19"/>
      <c r="M14" s="18"/>
      <c r="N14" s="138"/>
    </row>
    <row r="15" spans="1:14" ht="15.75">
      <c r="A15" s="8"/>
      <c r="B15" s="17" t="s">
        <v>207</v>
      </c>
      <c r="C15" s="17"/>
      <c r="D15" s="18"/>
      <c r="E15" s="18"/>
      <c r="F15" s="18"/>
      <c r="G15" s="18"/>
      <c r="H15" s="20" t="s">
        <v>209</v>
      </c>
      <c r="I15" s="142">
        <v>0.47</v>
      </c>
      <c r="J15" s="20" t="s">
        <v>210</v>
      </c>
      <c r="K15" s="142">
        <v>0.53</v>
      </c>
      <c r="L15" s="19"/>
      <c r="M15" s="18"/>
      <c r="N15" s="138"/>
    </row>
    <row r="16" spans="1:14" ht="15.75">
      <c r="A16" s="119"/>
      <c r="B16" s="17" t="s">
        <v>7</v>
      </c>
      <c r="C16" s="17"/>
      <c r="D16" s="18"/>
      <c r="E16" s="18"/>
      <c r="F16" s="18"/>
      <c r="G16" s="18"/>
      <c r="H16" s="18"/>
      <c r="I16" s="18"/>
      <c r="J16" s="18"/>
      <c r="K16" s="18"/>
      <c r="L16" s="20" t="s">
        <v>184</v>
      </c>
      <c r="M16" s="10"/>
      <c r="N16" s="138"/>
    </row>
    <row r="17" spans="1:14" ht="15.75">
      <c r="A17" s="119"/>
      <c r="B17" s="17" t="s">
        <v>8</v>
      </c>
      <c r="C17" s="17"/>
      <c r="D17" s="18"/>
      <c r="E17" s="18"/>
      <c r="F17" s="18"/>
      <c r="G17" s="18"/>
      <c r="H17" s="18"/>
      <c r="I17" s="18"/>
      <c r="J17" s="18"/>
      <c r="K17" s="18"/>
      <c r="L17" s="21">
        <v>37256</v>
      </c>
      <c r="M17" s="10"/>
      <c r="N17" s="138"/>
    </row>
    <row r="18" spans="1:14" ht="15.75">
      <c r="A18" s="119"/>
      <c r="B18" s="10"/>
      <c r="C18" s="10"/>
      <c r="D18" s="10"/>
      <c r="E18" s="10"/>
      <c r="F18" s="10"/>
      <c r="G18" s="10"/>
      <c r="H18" s="10"/>
      <c r="I18" s="10"/>
      <c r="J18" s="10"/>
      <c r="K18" s="10"/>
      <c r="L18" s="22"/>
      <c r="M18" s="10"/>
      <c r="N18" s="138"/>
    </row>
    <row r="19" spans="1:14" ht="15.75">
      <c r="A19" s="119"/>
      <c r="B19" s="10" t="s">
        <v>9</v>
      </c>
      <c r="C19" s="10"/>
      <c r="D19" s="10"/>
      <c r="E19" s="10"/>
      <c r="F19" s="10"/>
      <c r="G19" s="10"/>
      <c r="H19" s="10"/>
      <c r="I19" s="10"/>
      <c r="J19" s="22" t="s">
        <v>166</v>
      </c>
      <c r="K19" s="10"/>
      <c r="L19" s="15"/>
      <c r="M19" s="10"/>
      <c r="N19" s="138"/>
    </row>
    <row r="20" spans="1:14" ht="15.75">
      <c r="A20" s="119"/>
      <c r="B20" s="10"/>
      <c r="C20" s="10"/>
      <c r="D20" s="10"/>
      <c r="E20" s="10"/>
      <c r="F20" s="10"/>
      <c r="G20" s="10"/>
      <c r="H20" s="10"/>
      <c r="I20" s="10"/>
      <c r="J20" s="10"/>
      <c r="K20" s="10"/>
      <c r="L20" s="23"/>
      <c r="M20" s="10"/>
      <c r="N20" s="138"/>
    </row>
    <row r="21" spans="1:14" ht="15.75">
      <c r="A21" s="119"/>
      <c r="B21" s="10"/>
      <c r="C21" s="24" t="s">
        <v>202</v>
      </c>
      <c r="D21" s="25" t="s">
        <v>135</v>
      </c>
      <c r="E21" s="25"/>
      <c r="F21" s="25" t="s">
        <v>147</v>
      </c>
      <c r="G21" s="25"/>
      <c r="H21" s="25" t="s">
        <v>157</v>
      </c>
      <c r="I21" s="25"/>
      <c r="J21" s="25" t="s">
        <v>167</v>
      </c>
      <c r="K21" s="15"/>
      <c r="L21" s="15"/>
      <c r="M21" s="10"/>
      <c r="N21" s="138"/>
    </row>
    <row r="22" spans="1:14" ht="15.75">
      <c r="A22" s="136"/>
      <c r="B22" s="27" t="s">
        <v>10</v>
      </c>
      <c r="C22" s="28" t="s">
        <v>203</v>
      </c>
      <c r="D22" s="29" t="s">
        <v>136</v>
      </c>
      <c r="E22" s="29"/>
      <c r="F22" s="29" t="s">
        <v>136</v>
      </c>
      <c r="G22" s="29"/>
      <c r="H22" s="29" t="s">
        <v>158</v>
      </c>
      <c r="I22" s="29"/>
      <c r="J22" s="29" t="s">
        <v>168</v>
      </c>
      <c r="K22" s="30"/>
      <c r="L22" s="30"/>
      <c r="M22" s="27"/>
      <c r="N22" s="138"/>
    </row>
    <row r="23" spans="1:14" ht="15.75">
      <c r="A23" s="136"/>
      <c r="B23" s="31" t="s">
        <v>11</v>
      </c>
      <c r="C23" s="31"/>
      <c r="D23" s="32" t="s">
        <v>136</v>
      </c>
      <c r="E23" s="32"/>
      <c r="F23" s="32" t="s">
        <v>136</v>
      </c>
      <c r="G23" s="32"/>
      <c r="H23" s="32" t="s">
        <v>158</v>
      </c>
      <c r="I23" s="32"/>
      <c r="J23" s="32" t="s">
        <v>168</v>
      </c>
      <c r="K23" s="130"/>
      <c r="L23" s="130"/>
      <c r="M23" s="27"/>
      <c r="N23" s="138"/>
    </row>
    <row r="24" spans="1:14" ht="15.75">
      <c r="A24" s="136"/>
      <c r="B24" s="27" t="s">
        <v>12</v>
      </c>
      <c r="C24" s="27"/>
      <c r="D24" s="33" t="s">
        <v>137</v>
      </c>
      <c r="E24" s="29"/>
      <c r="F24" s="33" t="s">
        <v>148</v>
      </c>
      <c r="G24" s="29"/>
      <c r="H24" s="33" t="s">
        <v>159</v>
      </c>
      <c r="I24" s="29"/>
      <c r="J24" s="33" t="s">
        <v>169</v>
      </c>
      <c r="K24" s="30"/>
      <c r="L24" s="30"/>
      <c r="M24" s="27"/>
      <c r="N24" s="138"/>
    </row>
    <row r="25" spans="1:14" ht="15.75">
      <c r="A25" s="136"/>
      <c r="B25" s="27"/>
      <c r="C25" s="27"/>
      <c r="D25" s="27"/>
      <c r="E25" s="29"/>
      <c r="F25" s="29"/>
      <c r="G25" s="29"/>
      <c r="H25" s="29"/>
      <c r="I25" s="29"/>
      <c r="J25" s="29"/>
      <c r="K25" s="30"/>
      <c r="L25" s="30"/>
      <c r="M25" s="27"/>
      <c r="N25" s="138"/>
    </row>
    <row r="26" spans="1:14" ht="15.75">
      <c r="A26" s="136"/>
      <c r="B26" s="27" t="s">
        <v>13</v>
      </c>
      <c r="C26" s="27"/>
      <c r="D26" s="34">
        <v>67000</v>
      </c>
      <c r="E26" s="35"/>
      <c r="F26" s="34">
        <v>128780</v>
      </c>
      <c r="G26" s="34"/>
      <c r="H26" s="34">
        <v>16920</v>
      </c>
      <c r="I26" s="34"/>
      <c r="J26" s="34">
        <v>11290</v>
      </c>
      <c r="K26" s="36"/>
      <c r="L26" s="34">
        <f>J26+H26+F26+D26</f>
        <v>223990</v>
      </c>
      <c r="M26" s="37"/>
      <c r="N26" s="138"/>
    </row>
    <row r="27" spans="1:14" ht="15.75">
      <c r="A27" s="136"/>
      <c r="B27" s="27" t="s">
        <v>14</v>
      </c>
      <c r="C27" s="93">
        <v>0.466221</v>
      </c>
      <c r="D27" s="34">
        <v>0</v>
      </c>
      <c r="E27" s="35"/>
      <c r="F27" s="34">
        <f>120780*C27</f>
        <v>56310.172379999996</v>
      </c>
      <c r="G27" s="34"/>
      <c r="H27" s="34">
        <f>16920*C30</f>
        <v>11370.39228</v>
      </c>
      <c r="I27" s="34"/>
      <c r="J27" s="34">
        <f>11290*C33</f>
        <v>7590.255709999999</v>
      </c>
      <c r="K27" s="36"/>
      <c r="L27" s="34">
        <f>J27+H27+F27+D27</f>
        <v>75270.82037</v>
      </c>
      <c r="M27" s="37"/>
      <c r="N27" s="138"/>
    </row>
    <row r="28" spans="1:14" ht="15.75">
      <c r="A28" s="137"/>
      <c r="B28" s="31" t="s">
        <v>15</v>
      </c>
      <c r="C28" s="93">
        <v>0.432066</v>
      </c>
      <c r="D28" s="40">
        <v>0</v>
      </c>
      <c r="E28" s="41"/>
      <c r="F28" s="40">
        <f>120780*C28</f>
        <v>52184.93148</v>
      </c>
      <c r="G28" s="40"/>
      <c r="H28" s="40">
        <f>16920*C31</f>
        <v>10536.96384</v>
      </c>
      <c r="I28" s="40"/>
      <c r="J28" s="40">
        <f>11290*C34</f>
        <v>7034.62965</v>
      </c>
      <c r="K28" s="42"/>
      <c r="L28" s="40">
        <f>J28+H28+F28+D28</f>
        <v>69756.52497</v>
      </c>
      <c r="M28" s="31"/>
      <c r="N28" s="138"/>
    </row>
    <row r="29" spans="1:14" ht="15.75">
      <c r="A29" s="136"/>
      <c r="B29" s="27" t="s">
        <v>16</v>
      </c>
      <c r="C29" s="27"/>
      <c r="D29" s="33" t="s">
        <v>138</v>
      </c>
      <c r="E29" s="27"/>
      <c r="F29" s="33" t="s">
        <v>149</v>
      </c>
      <c r="G29" s="33"/>
      <c r="H29" s="33" t="s">
        <v>160</v>
      </c>
      <c r="I29" s="33"/>
      <c r="J29" s="33" t="s">
        <v>170</v>
      </c>
      <c r="K29" s="30"/>
      <c r="L29" s="30"/>
      <c r="M29" s="27"/>
      <c r="N29" s="138"/>
    </row>
    <row r="30" spans="1:14" ht="15.75">
      <c r="A30" s="136"/>
      <c r="B30" s="27" t="s">
        <v>17</v>
      </c>
      <c r="C30" s="139">
        <v>0.672009</v>
      </c>
      <c r="D30" s="33" t="s">
        <v>139</v>
      </c>
      <c r="E30" s="27"/>
      <c r="F30" s="43">
        <v>0.0506375</v>
      </c>
      <c r="G30" s="44"/>
      <c r="H30" s="43">
        <v>0.0528375</v>
      </c>
      <c r="I30" s="44"/>
      <c r="J30" s="43">
        <v>0.0562375</v>
      </c>
      <c r="K30" s="30"/>
      <c r="L30" s="44">
        <f>SUMPRODUCT(D30:J30,D27:J27)/L27</f>
        <v>0.051534531474615244</v>
      </c>
      <c r="M30" s="27"/>
      <c r="N30" s="138"/>
    </row>
    <row r="31" spans="1:14" ht="15.75">
      <c r="A31" s="136"/>
      <c r="B31" s="27" t="s">
        <v>18</v>
      </c>
      <c r="C31" s="139">
        <v>0.622752</v>
      </c>
      <c r="D31" s="33" t="s">
        <v>139</v>
      </c>
      <c r="E31" s="27"/>
      <c r="F31" s="43">
        <v>0.0538375</v>
      </c>
      <c r="G31" s="44"/>
      <c r="H31" s="43">
        <v>0.0560375</v>
      </c>
      <c r="I31" s="44"/>
      <c r="J31" s="43">
        <v>0.0594375</v>
      </c>
      <c r="K31" s="30"/>
      <c r="L31" s="30"/>
      <c r="M31" s="27"/>
      <c r="N31" s="138"/>
    </row>
    <row r="32" spans="1:14" ht="15.75">
      <c r="A32" s="136"/>
      <c r="B32" s="27" t="s">
        <v>19</v>
      </c>
      <c r="C32" s="140"/>
      <c r="D32" s="33" t="s">
        <v>140</v>
      </c>
      <c r="E32" s="27"/>
      <c r="F32" s="33" t="s">
        <v>150</v>
      </c>
      <c r="G32" s="33"/>
      <c r="H32" s="33" t="s">
        <v>150</v>
      </c>
      <c r="I32" s="33"/>
      <c r="J32" s="33" t="s">
        <v>150</v>
      </c>
      <c r="K32" s="30"/>
      <c r="L32" s="30"/>
      <c r="M32" s="27"/>
      <c r="N32" s="138"/>
    </row>
    <row r="33" spans="1:14" ht="15.75">
      <c r="A33" s="136"/>
      <c r="B33" s="27" t="s">
        <v>20</v>
      </c>
      <c r="C33" s="139">
        <v>0.672299</v>
      </c>
      <c r="D33" s="33" t="s">
        <v>141</v>
      </c>
      <c r="E33" s="27"/>
      <c r="F33" s="33" t="s">
        <v>151</v>
      </c>
      <c r="G33" s="33"/>
      <c r="H33" s="33" t="s">
        <v>151</v>
      </c>
      <c r="I33" s="33"/>
      <c r="J33" s="33" t="s">
        <v>151</v>
      </c>
      <c r="K33" s="30"/>
      <c r="L33" s="30"/>
      <c r="M33" s="27"/>
      <c r="N33" s="138"/>
    </row>
    <row r="34" spans="1:14" ht="15.75">
      <c r="A34" s="136"/>
      <c r="B34" s="27" t="s">
        <v>21</v>
      </c>
      <c r="C34" s="139">
        <v>0.623085</v>
      </c>
      <c r="D34" s="33" t="s">
        <v>142</v>
      </c>
      <c r="E34" s="27"/>
      <c r="F34" s="33" t="s">
        <v>152</v>
      </c>
      <c r="G34" s="33"/>
      <c r="H34" s="33" t="s">
        <v>161</v>
      </c>
      <c r="I34" s="33"/>
      <c r="J34" s="33" t="s">
        <v>171</v>
      </c>
      <c r="K34" s="30"/>
      <c r="L34" s="30"/>
      <c r="M34" s="27"/>
      <c r="N34" s="138"/>
    </row>
    <row r="35" spans="1:14" ht="15.75">
      <c r="A35" s="136"/>
      <c r="B35" s="27"/>
      <c r="C35" s="27"/>
      <c r="D35" s="45"/>
      <c r="E35" s="45"/>
      <c r="F35" s="27"/>
      <c r="G35" s="45"/>
      <c r="H35" s="45"/>
      <c r="I35" s="45"/>
      <c r="J35" s="45"/>
      <c r="K35" s="45"/>
      <c r="L35" s="45"/>
      <c r="M35" s="27"/>
      <c r="N35" s="138"/>
    </row>
    <row r="36" spans="1:14" ht="15.75">
      <c r="A36" s="136"/>
      <c r="B36" s="27" t="s">
        <v>22</v>
      </c>
      <c r="C36" s="27"/>
      <c r="D36" s="27"/>
      <c r="E36" s="27"/>
      <c r="F36" s="27"/>
      <c r="G36" s="27"/>
      <c r="H36" s="27"/>
      <c r="I36" s="27"/>
      <c r="J36" s="27"/>
      <c r="K36" s="27"/>
      <c r="L36" s="44">
        <f>(H26+J26)/(D26+F26)</f>
        <v>0.14409030544488713</v>
      </c>
      <c r="M36" s="27"/>
      <c r="N36" s="138"/>
    </row>
    <row r="37" spans="1:14" ht="15.75">
      <c r="A37" s="136"/>
      <c r="B37" s="27" t="s">
        <v>23</v>
      </c>
      <c r="C37" s="27"/>
      <c r="D37" s="27"/>
      <c r="E37" s="27"/>
      <c r="F37" s="27"/>
      <c r="G37" s="27"/>
      <c r="H37" s="27"/>
      <c r="I37" s="27"/>
      <c r="J37" s="27"/>
      <c r="K37" s="27"/>
      <c r="L37" s="44">
        <f>(H28+J28)/(D28+F28)</f>
        <v>0.336717764911397</v>
      </c>
      <c r="M37" s="27"/>
      <c r="N37" s="138"/>
    </row>
    <row r="38" spans="1:14" ht="15.75">
      <c r="A38" s="136"/>
      <c r="B38" s="27" t="s">
        <v>24</v>
      </c>
      <c r="C38" s="27"/>
      <c r="D38" s="27"/>
      <c r="E38" s="27"/>
      <c r="F38" s="27"/>
      <c r="G38" s="27"/>
      <c r="H38" s="27"/>
      <c r="I38" s="27"/>
      <c r="J38" s="33" t="s">
        <v>172</v>
      </c>
      <c r="K38" s="33" t="s">
        <v>182</v>
      </c>
      <c r="L38" s="34">
        <v>83785000</v>
      </c>
      <c r="M38" s="27"/>
      <c r="N38" s="138"/>
    </row>
    <row r="39" spans="1:14" ht="15.75">
      <c r="A39" s="136"/>
      <c r="B39" s="27"/>
      <c r="C39" s="27"/>
      <c r="D39" s="27"/>
      <c r="E39" s="27"/>
      <c r="F39" s="27"/>
      <c r="G39" s="27"/>
      <c r="H39" s="27"/>
      <c r="I39" s="27"/>
      <c r="J39" s="27"/>
      <c r="K39" s="27"/>
      <c r="L39" s="46"/>
      <c r="M39" s="27"/>
      <c r="N39" s="138"/>
    </row>
    <row r="40" spans="1:14" ht="15.75">
      <c r="A40" s="136"/>
      <c r="B40" s="27" t="s">
        <v>25</v>
      </c>
      <c r="C40" s="27"/>
      <c r="D40" s="27"/>
      <c r="E40" s="27"/>
      <c r="F40" s="27"/>
      <c r="G40" s="27"/>
      <c r="H40" s="27"/>
      <c r="I40" s="27"/>
      <c r="J40" s="33"/>
      <c r="K40" s="33"/>
      <c r="L40" s="33" t="s">
        <v>185</v>
      </c>
      <c r="M40" s="27"/>
      <c r="N40" s="138"/>
    </row>
    <row r="41" spans="1:14" ht="15.75">
      <c r="A41" s="136"/>
      <c r="B41" s="31" t="s">
        <v>26</v>
      </c>
      <c r="C41" s="31"/>
      <c r="D41" s="31"/>
      <c r="E41" s="31"/>
      <c r="F41" s="31"/>
      <c r="G41" s="31"/>
      <c r="H41" s="31"/>
      <c r="I41" s="31"/>
      <c r="J41" s="47"/>
      <c r="K41" s="47"/>
      <c r="L41" s="48">
        <v>37225</v>
      </c>
      <c r="M41" s="31"/>
      <c r="N41" s="138"/>
    </row>
    <row r="42" spans="1:14" ht="15.75">
      <c r="A42" s="136"/>
      <c r="B42" s="27" t="s">
        <v>27</v>
      </c>
      <c r="C42" s="27"/>
      <c r="D42" s="27"/>
      <c r="E42" s="27"/>
      <c r="F42" s="27"/>
      <c r="G42" s="27"/>
      <c r="H42" s="30"/>
      <c r="I42" s="27">
        <f>L42-J42+1</f>
        <v>92</v>
      </c>
      <c r="J42" s="49">
        <v>37042</v>
      </c>
      <c r="K42" s="50"/>
      <c r="L42" s="49">
        <v>37133</v>
      </c>
      <c r="M42" s="27"/>
      <c r="N42" s="138"/>
    </row>
    <row r="43" spans="1:14" ht="15.75">
      <c r="A43" s="136"/>
      <c r="B43" s="27" t="s">
        <v>28</v>
      </c>
      <c r="C43" s="27"/>
      <c r="D43" s="27"/>
      <c r="E43" s="27"/>
      <c r="F43" s="27"/>
      <c r="G43" s="27"/>
      <c r="H43" s="30"/>
      <c r="I43" s="27">
        <f>L43-J43+1</f>
        <v>91</v>
      </c>
      <c r="J43" s="49">
        <v>37134</v>
      </c>
      <c r="K43" s="50"/>
      <c r="L43" s="49">
        <v>37224</v>
      </c>
      <c r="M43" s="27"/>
      <c r="N43" s="138"/>
    </row>
    <row r="44" spans="1:14" ht="15.75">
      <c r="A44" s="136"/>
      <c r="B44" s="27" t="s">
        <v>29</v>
      </c>
      <c r="C44" s="27"/>
      <c r="D44" s="27"/>
      <c r="E44" s="27"/>
      <c r="F44" s="27"/>
      <c r="G44" s="27"/>
      <c r="H44" s="27"/>
      <c r="I44" s="27"/>
      <c r="J44" s="49"/>
      <c r="K44" s="50"/>
      <c r="L44" s="49" t="s">
        <v>186</v>
      </c>
      <c r="M44" s="27"/>
      <c r="N44" s="138"/>
    </row>
    <row r="45" spans="1:14" ht="15.75">
      <c r="A45" s="136"/>
      <c r="B45" s="27" t="s">
        <v>30</v>
      </c>
      <c r="C45" s="27"/>
      <c r="D45" s="27"/>
      <c r="E45" s="27"/>
      <c r="F45" s="27"/>
      <c r="G45" s="27"/>
      <c r="H45" s="27"/>
      <c r="I45" s="27"/>
      <c r="J45" s="49"/>
      <c r="K45" s="50"/>
      <c r="L45" s="49">
        <v>37216</v>
      </c>
      <c r="M45" s="27"/>
      <c r="N45" s="138"/>
    </row>
    <row r="46" spans="1:14" ht="15.75">
      <c r="A46" s="136"/>
      <c r="B46" s="27"/>
      <c r="C46" s="27"/>
      <c r="D46" s="27"/>
      <c r="E46" s="27"/>
      <c r="F46" s="27"/>
      <c r="G46" s="27"/>
      <c r="H46" s="27"/>
      <c r="I46" s="27"/>
      <c r="J46" s="27"/>
      <c r="K46" s="27"/>
      <c r="L46" s="51"/>
      <c r="M46" s="27"/>
      <c r="N46" s="138"/>
    </row>
    <row r="47" spans="1:14" ht="15.75">
      <c r="A47" s="135"/>
      <c r="B47" s="5"/>
      <c r="C47" s="5"/>
      <c r="D47" s="5"/>
      <c r="E47" s="5"/>
      <c r="F47" s="5"/>
      <c r="G47" s="5"/>
      <c r="H47" s="5"/>
      <c r="I47" s="5"/>
      <c r="J47" s="5"/>
      <c r="K47" s="5"/>
      <c r="L47" s="52"/>
      <c r="M47" s="5"/>
      <c r="N47" s="138"/>
    </row>
    <row r="48" spans="1:14" ht="15.75">
      <c r="A48" s="119"/>
      <c r="B48" s="63" t="s">
        <v>31</v>
      </c>
      <c r="C48" s="16"/>
      <c r="D48" s="10"/>
      <c r="E48" s="10"/>
      <c r="F48" s="10"/>
      <c r="G48" s="10"/>
      <c r="H48" s="10"/>
      <c r="I48" s="10"/>
      <c r="J48" s="10"/>
      <c r="K48" s="10"/>
      <c r="L48" s="53"/>
      <c r="M48" s="10"/>
      <c r="N48" s="138"/>
    </row>
    <row r="49" spans="1:14" ht="15.75">
      <c r="A49" s="119"/>
      <c r="B49" s="16"/>
      <c r="C49" s="16"/>
      <c r="D49" s="10"/>
      <c r="E49" s="10"/>
      <c r="F49" s="10"/>
      <c r="G49" s="10"/>
      <c r="H49" s="10"/>
      <c r="I49" s="10"/>
      <c r="J49" s="10"/>
      <c r="K49" s="10"/>
      <c r="L49" s="53"/>
      <c r="M49" s="10"/>
      <c r="N49" s="138"/>
    </row>
    <row r="50" spans="1:14" ht="63">
      <c r="A50" s="119"/>
      <c r="B50" s="54" t="s">
        <v>32</v>
      </c>
      <c r="C50" s="55" t="s">
        <v>134</v>
      </c>
      <c r="D50" s="55" t="s">
        <v>143</v>
      </c>
      <c r="E50" s="55"/>
      <c r="F50" s="55" t="s">
        <v>153</v>
      </c>
      <c r="G50" s="55"/>
      <c r="H50" s="55" t="s">
        <v>162</v>
      </c>
      <c r="I50" s="55"/>
      <c r="J50" s="55" t="s">
        <v>173</v>
      </c>
      <c r="K50" s="55"/>
      <c r="L50" s="56" t="s">
        <v>187</v>
      </c>
      <c r="M50" s="10"/>
      <c r="N50" s="138"/>
    </row>
    <row r="51" spans="1:14" ht="15.75">
      <c r="A51" s="136"/>
      <c r="B51" s="27" t="s">
        <v>33</v>
      </c>
      <c r="C51" s="57">
        <v>220604</v>
      </c>
      <c r="D51" s="58">
        <v>78822</v>
      </c>
      <c r="E51" s="57"/>
      <c r="F51" s="57">
        <f>5455+188+104</f>
        <v>5747</v>
      </c>
      <c r="G51" s="57"/>
      <c r="H51" s="57">
        <v>188</v>
      </c>
      <c r="I51" s="57"/>
      <c r="J51" s="57">
        <v>0</v>
      </c>
      <c r="K51" s="57"/>
      <c r="L51" s="58">
        <f>D51-F51+H51-J51</f>
        <v>73263</v>
      </c>
      <c r="M51" s="27"/>
      <c r="N51" s="138"/>
    </row>
    <row r="52" spans="1:14" ht="15.75">
      <c r="A52" s="136"/>
      <c r="B52" s="27" t="s">
        <v>34</v>
      </c>
      <c r="C52" s="57">
        <v>5129</v>
      </c>
      <c r="D52" s="58">
        <v>416</v>
      </c>
      <c r="E52" s="57"/>
      <c r="F52" s="57">
        <v>26</v>
      </c>
      <c r="G52" s="57"/>
      <c r="H52" s="57">
        <v>0</v>
      </c>
      <c r="I52" s="57"/>
      <c r="J52" s="57">
        <v>0</v>
      </c>
      <c r="K52" s="57"/>
      <c r="L52" s="58">
        <f>D52-F52</f>
        <v>390</v>
      </c>
      <c r="M52" s="27"/>
      <c r="N52" s="138"/>
    </row>
    <row r="53" spans="1:14" ht="15.75">
      <c r="A53" s="136"/>
      <c r="B53" s="27"/>
      <c r="C53" s="57"/>
      <c r="D53" s="58"/>
      <c r="E53" s="57"/>
      <c r="F53" s="57"/>
      <c r="G53" s="57"/>
      <c r="H53" s="57"/>
      <c r="I53" s="57"/>
      <c r="J53" s="57"/>
      <c r="K53" s="57"/>
      <c r="L53" s="58"/>
      <c r="M53" s="27"/>
      <c r="N53" s="138"/>
    </row>
    <row r="54" spans="1:14" ht="15.75">
      <c r="A54" s="136"/>
      <c r="B54" s="27" t="s">
        <v>35</v>
      </c>
      <c r="C54" s="57">
        <f>SUM(C51:C53)</f>
        <v>225733</v>
      </c>
      <c r="D54" s="59">
        <f>D52+D51</f>
        <v>79238</v>
      </c>
      <c r="E54" s="57"/>
      <c r="F54" s="57">
        <f>SUM(F51:F53)</f>
        <v>5773</v>
      </c>
      <c r="G54" s="57"/>
      <c r="H54" s="57">
        <f>SUM(H51:H53)</f>
        <v>188</v>
      </c>
      <c r="I54" s="57"/>
      <c r="J54" s="57">
        <f>SUM(J51:J53)</f>
        <v>0</v>
      </c>
      <c r="K54" s="57"/>
      <c r="L54" s="59">
        <f>SUM(L51:L53)</f>
        <v>73653</v>
      </c>
      <c r="M54" s="27"/>
      <c r="N54" s="138"/>
    </row>
    <row r="55" spans="1:14" ht="15.75">
      <c r="A55" s="136"/>
      <c r="B55" s="27"/>
      <c r="C55" s="57"/>
      <c r="D55" s="59"/>
      <c r="E55" s="57"/>
      <c r="F55" s="57"/>
      <c r="G55" s="57"/>
      <c r="H55" s="57"/>
      <c r="I55" s="57"/>
      <c r="J55" s="57"/>
      <c r="K55" s="57"/>
      <c r="L55" s="59"/>
      <c r="M55" s="27"/>
      <c r="N55" s="138"/>
    </row>
    <row r="56" spans="1:14" ht="15.75">
      <c r="A56" s="119"/>
      <c r="B56" s="12" t="s">
        <v>36</v>
      </c>
      <c r="C56" s="60"/>
      <c r="D56" s="62"/>
      <c r="E56" s="60"/>
      <c r="F56" s="61"/>
      <c r="G56" s="60"/>
      <c r="H56" s="60"/>
      <c r="I56" s="60"/>
      <c r="J56" s="60"/>
      <c r="K56" s="60"/>
      <c r="L56" s="62"/>
      <c r="M56" s="10"/>
      <c r="N56" s="138"/>
    </row>
    <row r="57" spans="1:14" ht="15.75">
      <c r="A57" s="119"/>
      <c r="B57" s="10"/>
      <c r="C57" s="60"/>
      <c r="D57" s="118"/>
      <c r="E57" s="60"/>
      <c r="F57" s="60"/>
      <c r="G57" s="60"/>
      <c r="H57" s="60"/>
      <c r="I57" s="60"/>
      <c r="J57" s="60"/>
      <c r="K57" s="60"/>
      <c r="L57" s="118"/>
      <c r="M57" s="10"/>
      <c r="N57" s="138"/>
    </row>
    <row r="58" spans="1:14" ht="15.75">
      <c r="A58" s="136"/>
      <c r="B58" s="27" t="s">
        <v>33</v>
      </c>
      <c r="C58" s="57"/>
      <c r="D58" s="59"/>
      <c r="E58" s="57"/>
      <c r="F58" s="57"/>
      <c r="G58" s="57"/>
      <c r="H58" s="57"/>
      <c r="I58" s="57"/>
      <c r="J58" s="57"/>
      <c r="K58" s="57"/>
      <c r="L58" s="59"/>
      <c r="M58" s="27"/>
      <c r="N58" s="138"/>
    </row>
    <row r="59" spans="1:14" ht="15.75">
      <c r="A59" s="136"/>
      <c r="B59" s="27" t="s">
        <v>34</v>
      </c>
      <c r="C59" s="57"/>
      <c r="D59" s="59"/>
      <c r="E59" s="57"/>
      <c r="F59" s="57"/>
      <c r="G59" s="57"/>
      <c r="H59" s="57"/>
      <c r="I59" s="57"/>
      <c r="J59" s="57"/>
      <c r="K59" s="57"/>
      <c r="L59" s="59"/>
      <c r="M59" s="27"/>
      <c r="N59" s="138"/>
    </row>
    <row r="60" spans="1:14" ht="15.75">
      <c r="A60" s="136"/>
      <c r="B60" s="27"/>
      <c r="C60" s="57"/>
      <c r="D60" s="59"/>
      <c r="E60" s="57"/>
      <c r="F60" s="57"/>
      <c r="G60" s="57"/>
      <c r="H60" s="57"/>
      <c r="I60" s="57"/>
      <c r="J60" s="57"/>
      <c r="K60" s="57"/>
      <c r="L60" s="59"/>
      <c r="M60" s="27"/>
      <c r="N60" s="138"/>
    </row>
    <row r="61" spans="1:14" ht="15.75">
      <c r="A61" s="136"/>
      <c r="B61" s="27" t="s">
        <v>35</v>
      </c>
      <c r="C61" s="57"/>
      <c r="D61" s="59"/>
      <c r="E61" s="57"/>
      <c r="F61" s="57"/>
      <c r="G61" s="57"/>
      <c r="H61" s="57"/>
      <c r="I61" s="57"/>
      <c r="J61" s="57"/>
      <c r="K61" s="57"/>
      <c r="L61" s="59"/>
      <c r="M61" s="27"/>
      <c r="N61" s="138"/>
    </row>
    <row r="62" spans="1:14" ht="15.75">
      <c r="A62" s="136"/>
      <c r="B62" s="27"/>
      <c r="C62" s="57"/>
      <c r="D62" s="59"/>
      <c r="E62" s="57"/>
      <c r="F62" s="57"/>
      <c r="G62" s="57"/>
      <c r="H62" s="57"/>
      <c r="I62" s="57"/>
      <c r="J62" s="57"/>
      <c r="K62" s="57"/>
      <c r="L62" s="59"/>
      <c r="M62" s="27"/>
      <c r="N62" s="138"/>
    </row>
    <row r="63" spans="1:14" ht="15.75">
      <c r="A63" s="136"/>
      <c r="B63" s="27" t="s">
        <v>37</v>
      </c>
      <c r="C63" s="57">
        <v>-1743</v>
      </c>
      <c r="D63" s="57">
        <v>-1743</v>
      </c>
      <c r="E63" s="57"/>
      <c r="F63" s="57"/>
      <c r="G63" s="57"/>
      <c r="H63" s="57"/>
      <c r="I63" s="57"/>
      <c r="J63" s="57"/>
      <c r="K63" s="57"/>
      <c r="L63" s="57">
        <v>-1743</v>
      </c>
      <c r="M63" s="27"/>
      <c r="N63" s="138"/>
    </row>
    <row r="64" spans="1:14" ht="15.75">
      <c r="A64" s="136"/>
      <c r="B64" s="27" t="s">
        <v>38</v>
      </c>
      <c r="C64" s="57">
        <v>0</v>
      </c>
      <c r="D64" s="59">
        <v>-2257</v>
      </c>
      <c r="E64" s="57"/>
      <c r="F64" s="57"/>
      <c r="G64" s="57"/>
      <c r="H64" s="57"/>
      <c r="I64" s="57"/>
      <c r="J64" s="57"/>
      <c r="K64" s="57"/>
      <c r="L64" s="59">
        <v>-2257</v>
      </c>
      <c r="M64" s="27"/>
      <c r="N64" s="138"/>
    </row>
    <row r="65" spans="1:14" ht="15.75">
      <c r="A65" s="136"/>
      <c r="B65" s="27" t="s">
        <v>198</v>
      </c>
      <c r="C65" s="57">
        <v>0</v>
      </c>
      <c r="D65" s="59">
        <v>33</v>
      </c>
      <c r="E65" s="57"/>
      <c r="F65" s="57"/>
      <c r="G65" s="57"/>
      <c r="H65" s="57"/>
      <c r="I65" s="57"/>
      <c r="J65" s="57"/>
      <c r="K65" s="57"/>
      <c r="L65" s="59">
        <v>104</v>
      </c>
      <c r="M65" s="27"/>
      <c r="N65" s="138"/>
    </row>
    <row r="66" spans="1:14" ht="15.75">
      <c r="A66" s="136"/>
      <c r="B66" s="27" t="s">
        <v>15</v>
      </c>
      <c r="C66" s="59">
        <f>SUM(C54:C65)</f>
        <v>223990</v>
      </c>
      <c r="D66" s="59">
        <f>SUM(D54:D65)</f>
        <v>75271</v>
      </c>
      <c r="E66" s="57"/>
      <c r="F66" s="57"/>
      <c r="G66" s="57"/>
      <c r="H66" s="57"/>
      <c r="I66" s="57"/>
      <c r="J66" s="57"/>
      <c r="K66" s="57"/>
      <c r="L66" s="59">
        <f>SUM(L54:L65)</f>
        <v>69757</v>
      </c>
      <c r="M66" s="27"/>
      <c r="N66" s="138"/>
    </row>
    <row r="67" spans="1:14" ht="15.75">
      <c r="A67" s="136"/>
      <c r="B67" s="27"/>
      <c r="C67" s="57"/>
      <c r="D67" s="57"/>
      <c r="E67" s="57"/>
      <c r="F67" s="57"/>
      <c r="G67" s="57"/>
      <c r="H67" s="57"/>
      <c r="I67" s="57"/>
      <c r="J67" s="57"/>
      <c r="K67" s="57"/>
      <c r="L67" s="59"/>
      <c r="M67" s="27"/>
      <c r="N67" s="138"/>
    </row>
    <row r="68" spans="1:14" ht="15.75">
      <c r="A68" s="119"/>
      <c r="B68" s="10"/>
      <c r="C68" s="10"/>
      <c r="D68" s="10"/>
      <c r="E68" s="10"/>
      <c r="F68" s="10"/>
      <c r="G68" s="10"/>
      <c r="H68" s="10"/>
      <c r="I68" s="10"/>
      <c r="J68" s="10"/>
      <c r="K68" s="10"/>
      <c r="L68" s="10"/>
      <c r="M68" s="10"/>
      <c r="N68" s="138"/>
    </row>
    <row r="69" spans="1:14" ht="15.75">
      <c r="A69" s="119"/>
      <c r="B69" s="63" t="s">
        <v>40</v>
      </c>
      <c r="C69" s="16"/>
      <c r="D69" s="10"/>
      <c r="E69" s="10"/>
      <c r="F69" s="10"/>
      <c r="G69" s="10"/>
      <c r="H69" s="10"/>
      <c r="I69" s="22"/>
      <c r="J69" s="20" t="s">
        <v>174</v>
      </c>
      <c r="K69" s="20"/>
      <c r="L69" s="20" t="s">
        <v>188</v>
      </c>
      <c r="M69" s="17"/>
      <c r="N69" s="138"/>
    </row>
    <row r="70" spans="1:14" ht="15.75">
      <c r="A70" s="136"/>
      <c r="B70" s="27" t="s">
        <v>41</v>
      </c>
      <c r="C70" s="27"/>
      <c r="D70" s="27"/>
      <c r="E70" s="27"/>
      <c r="F70" s="27"/>
      <c r="G70" s="27"/>
      <c r="H70" s="27"/>
      <c r="I70" s="27"/>
      <c r="J70" s="57">
        <v>0</v>
      </c>
      <c r="K70" s="27"/>
      <c r="L70" s="58">
        <v>0</v>
      </c>
      <c r="M70" s="27"/>
      <c r="N70" s="138"/>
    </row>
    <row r="71" spans="1:14" ht="15.75">
      <c r="A71" s="136"/>
      <c r="B71" s="27" t="s">
        <v>42</v>
      </c>
      <c r="C71" s="45" t="s">
        <v>204</v>
      </c>
      <c r="D71" s="64">
        <f>L45</f>
        <v>37216</v>
      </c>
      <c r="E71" s="27"/>
      <c r="F71" s="27"/>
      <c r="G71" s="27"/>
      <c r="H71" s="27"/>
      <c r="I71" s="27"/>
      <c r="J71" s="57">
        <f>5747+33-104</f>
        <v>5676</v>
      </c>
      <c r="K71" s="27"/>
      <c r="L71" s="58"/>
      <c r="M71" s="27"/>
      <c r="N71" s="138"/>
    </row>
    <row r="72" spans="1:14" ht="15.75">
      <c r="A72" s="136"/>
      <c r="B72" s="27" t="s">
        <v>43</v>
      </c>
      <c r="C72" s="27"/>
      <c r="D72" s="27"/>
      <c r="E72" s="27"/>
      <c r="F72" s="27"/>
      <c r="G72" s="27"/>
      <c r="H72" s="27"/>
      <c r="I72" s="27"/>
      <c r="J72" s="57"/>
      <c r="K72" s="27"/>
      <c r="L72" s="58">
        <f>1611-11+570+39+78-578-21-5+3</f>
        <v>1686</v>
      </c>
      <c r="M72" s="27"/>
      <c r="N72" s="138"/>
    </row>
    <row r="73" spans="1:14" ht="15.75">
      <c r="A73" s="136"/>
      <c r="B73" s="27" t="s">
        <v>44</v>
      </c>
      <c r="C73" s="27"/>
      <c r="D73" s="27"/>
      <c r="E73" s="27"/>
      <c r="F73" s="27"/>
      <c r="G73" s="27"/>
      <c r="H73" s="27"/>
      <c r="I73" s="27"/>
      <c r="J73" s="57"/>
      <c r="K73" s="27"/>
      <c r="L73" s="58"/>
      <c r="M73" s="27"/>
      <c r="N73" s="138"/>
    </row>
    <row r="74" spans="1:14" ht="15.75">
      <c r="A74" s="136"/>
      <c r="B74" s="27" t="s">
        <v>45</v>
      </c>
      <c r="C74" s="27"/>
      <c r="D74" s="27"/>
      <c r="E74" s="27"/>
      <c r="F74" s="27"/>
      <c r="G74" s="27"/>
      <c r="H74" s="27"/>
      <c r="I74" s="27"/>
      <c r="J74" s="59">
        <f>SUM(J70:J73)</f>
        <v>5676</v>
      </c>
      <c r="K74" s="27"/>
      <c r="L74" s="59">
        <f>SUM(L70:L73)</f>
        <v>1686</v>
      </c>
      <c r="M74" s="27"/>
      <c r="N74" s="138"/>
    </row>
    <row r="75" spans="1:14" ht="15.75">
      <c r="A75" s="136"/>
      <c r="B75" s="27" t="s">
        <v>46</v>
      </c>
      <c r="C75" s="27"/>
      <c r="D75" s="27"/>
      <c r="E75" s="27"/>
      <c r="F75" s="27"/>
      <c r="G75" s="27"/>
      <c r="H75" s="27"/>
      <c r="I75" s="27"/>
      <c r="J75" s="57">
        <f>-L75</f>
        <v>26</v>
      </c>
      <c r="K75" s="27"/>
      <c r="L75" s="58">
        <v>-26</v>
      </c>
      <c r="M75" s="27"/>
      <c r="N75" s="138"/>
    </row>
    <row r="76" spans="1:14" ht="15.75">
      <c r="A76" s="136"/>
      <c r="B76" s="27" t="s">
        <v>47</v>
      </c>
      <c r="C76" s="27"/>
      <c r="D76" s="27"/>
      <c r="E76" s="27"/>
      <c r="F76" s="27"/>
      <c r="G76" s="27"/>
      <c r="H76" s="27"/>
      <c r="I76" s="27"/>
      <c r="J76" s="57">
        <f>J74+J75</f>
        <v>5702</v>
      </c>
      <c r="K76" s="27"/>
      <c r="L76" s="59">
        <f>L74+L75</f>
        <v>1660</v>
      </c>
      <c r="M76" s="27"/>
      <c r="N76" s="138"/>
    </row>
    <row r="77" spans="1:14" ht="15.75">
      <c r="A77" s="136"/>
      <c r="B77" s="65" t="s">
        <v>48</v>
      </c>
      <c r="C77" s="66"/>
      <c r="D77" s="27"/>
      <c r="E77" s="27"/>
      <c r="F77" s="27"/>
      <c r="G77" s="27"/>
      <c r="H77" s="27"/>
      <c r="I77" s="27"/>
      <c r="J77" s="57"/>
      <c r="K77" s="27"/>
      <c r="L77" s="58"/>
      <c r="M77" s="27"/>
      <c r="N77" s="138"/>
    </row>
    <row r="78" spans="1:14" ht="15.75">
      <c r="A78" s="26">
        <v>1</v>
      </c>
      <c r="B78" s="27" t="s">
        <v>49</v>
      </c>
      <c r="C78" s="27"/>
      <c r="D78" s="27"/>
      <c r="E78" s="27"/>
      <c r="F78" s="27"/>
      <c r="G78" s="27"/>
      <c r="H78" s="27"/>
      <c r="I78" s="27"/>
      <c r="J78" s="27"/>
      <c r="K78" s="27"/>
      <c r="L78" s="58"/>
      <c r="M78" s="27"/>
      <c r="N78" s="138"/>
    </row>
    <row r="79" spans="1:14" ht="15.75">
      <c r="A79" s="26">
        <v>2</v>
      </c>
      <c r="B79" s="27" t="s">
        <v>50</v>
      </c>
      <c r="C79" s="27"/>
      <c r="D79" s="27"/>
      <c r="E79" s="27"/>
      <c r="F79" s="27"/>
      <c r="G79" s="27"/>
      <c r="H79" s="27"/>
      <c r="I79" s="27"/>
      <c r="J79" s="27"/>
      <c r="K79" s="27"/>
      <c r="L79" s="58">
        <v>-5</v>
      </c>
      <c r="M79" s="27"/>
      <c r="N79" s="138"/>
    </row>
    <row r="80" spans="1:14" ht="15.75">
      <c r="A80" s="26">
        <v>3</v>
      </c>
      <c r="B80" s="27" t="s">
        <v>51</v>
      </c>
      <c r="C80" s="27"/>
      <c r="D80" s="27"/>
      <c r="E80" s="27"/>
      <c r="F80" s="27"/>
      <c r="G80" s="27"/>
      <c r="H80" s="27"/>
      <c r="I80" s="27"/>
      <c r="J80" s="27"/>
      <c r="K80" s="27"/>
      <c r="L80" s="58">
        <f>-83-4</f>
        <v>-87</v>
      </c>
      <c r="M80" s="27"/>
      <c r="N80" s="138"/>
    </row>
    <row r="81" spans="1:14" ht="15.75">
      <c r="A81" s="26">
        <v>4</v>
      </c>
      <c r="B81" s="27" t="s">
        <v>52</v>
      </c>
      <c r="C81" s="27"/>
      <c r="D81" s="27"/>
      <c r="E81" s="27"/>
      <c r="F81" s="27"/>
      <c r="G81" s="27"/>
      <c r="H81" s="27"/>
      <c r="I81" s="27"/>
      <c r="J81" s="27"/>
      <c r="K81" s="27"/>
      <c r="L81" s="58">
        <v>-9</v>
      </c>
      <c r="M81" s="27"/>
      <c r="N81" s="138"/>
    </row>
    <row r="82" spans="1:14" ht="15.75">
      <c r="A82" s="26">
        <v>5</v>
      </c>
      <c r="B82" s="27" t="s">
        <v>53</v>
      </c>
      <c r="C82" s="27"/>
      <c r="D82" s="27"/>
      <c r="E82" s="27"/>
      <c r="F82" s="27"/>
      <c r="G82" s="27"/>
      <c r="H82" s="27"/>
      <c r="I82" s="27"/>
      <c r="J82" s="27"/>
      <c r="K82" s="27"/>
      <c r="L82" s="58">
        <v>-711</v>
      </c>
      <c r="M82" s="27"/>
      <c r="N82" s="138"/>
    </row>
    <row r="83" spans="1:14" ht="15.75">
      <c r="A83" s="26">
        <v>6</v>
      </c>
      <c r="B83" s="27" t="s">
        <v>54</v>
      </c>
      <c r="C83" s="27"/>
      <c r="D83" s="27"/>
      <c r="E83" s="27"/>
      <c r="F83" s="27"/>
      <c r="G83" s="27"/>
      <c r="H83" s="27"/>
      <c r="I83" s="27"/>
      <c r="J83" s="27"/>
      <c r="K83" s="27"/>
      <c r="L83" s="58">
        <v>-3</v>
      </c>
      <c r="M83" s="27"/>
      <c r="N83" s="138"/>
    </row>
    <row r="84" spans="1:14" ht="15.75">
      <c r="A84" s="26">
        <v>7</v>
      </c>
      <c r="B84" s="27" t="s">
        <v>55</v>
      </c>
      <c r="C84" s="27"/>
      <c r="D84" s="27"/>
      <c r="E84" s="27"/>
      <c r="F84" s="27"/>
      <c r="G84" s="27"/>
      <c r="H84" s="27"/>
      <c r="I84" s="27"/>
      <c r="J84" s="27"/>
      <c r="K84" s="27"/>
      <c r="L84" s="58">
        <v>-150</v>
      </c>
      <c r="M84" s="27"/>
      <c r="N84" s="138"/>
    </row>
    <row r="85" spans="1:14" ht="15.75">
      <c r="A85" s="26">
        <v>8</v>
      </c>
      <c r="B85" s="27" t="s">
        <v>56</v>
      </c>
      <c r="C85" s="27"/>
      <c r="D85" s="27"/>
      <c r="E85" s="27"/>
      <c r="F85" s="27"/>
      <c r="G85" s="27"/>
      <c r="H85" s="27"/>
      <c r="I85" s="27"/>
      <c r="J85" s="27"/>
      <c r="K85" s="27"/>
      <c r="L85" s="58">
        <v>-106</v>
      </c>
      <c r="M85" s="27"/>
      <c r="N85" s="138"/>
    </row>
    <row r="86" spans="1:14" ht="15.75">
      <c r="A86" s="26">
        <v>9</v>
      </c>
      <c r="B86" s="27" t="s">
        <v>57</v>
      </c>
      <c r="C86" s="27"/>
      <c r="D86" s="27"/>
      <c r="E86" s="27"/>
      <c r="F86" s="27"/>
      <c r="G86" s="27"/>
      <c r="H86" s="27"/>
      <c r="I86" s="27"/>
      <c r="J86" s="27"/>
      <c r="K86" s="27"/>
      <c r="L86" s="58">
        <v>0</v>
      </c>
      <c r="M86" s="27"/>
      <c r="N86" s="138"/>
    </row>
    <row r="87" spans="1:14" ht="15.75">
      <c r="A87" s="26">
        <v>10</v>
      </c>
      <c r="B87" s="27" t="s">
        <v>58</v>
      </c>
      <c r="C87" s="27"/>
      <c r="D87" s="27"/>
      <c r="E87" s="27"/>
      <c r="F87" s="27"/>
      <c r="G87" s="27"/>
      <c r="H87" s="27"/>
      <c r="I87" s="27"/>
      <c r="J87" s="27"/>
      <c r="K87" s="27"/>
      <c r="L87" s="58">
        <v>-104</v>
      </c>
      <c r="M87" s="27"/>
      <c r="N87" s="138"/>
    </row>
    <row r="88" spans="1:14" ht="15.75">
      <c r="A88" s="26">
        <v>11</v>
      </c>
      <c r="B88" s="27" t="s">
        <v>59</v>
      </c>
      <c r="C88" s="27"/>
      <c r="D88" s="27"/>
      <c r="E88" s="27"/>
      <c r="F88" s="27"/>
      <c r="G88" s="27"/>
      <c r="H88" s="27"/>
      <c r="I88" s="27"/>
      <c r="J88" s="27"/>
      <c r="K88" s="27"/>
      <c r="L88" s="58">
        <v>0</v>
      </c>
      <c r="M88" s="27"/>
      <c r="N88" s="138"/>
    </row>
    <row r="89" spans="1:14" ht="15.75">
      <c r="A89" s="26">
        <v>12</v>
      </c>
      <c r="B89" s="27" t="s">
        <v>60</v>
      </c>
      <c r="C89" s="27"/>
      <c r="D89" s="27"/>
      <c r="E89" s="27"/>
      <c r="F89" s="27"/>
      <c r="G89" s="27"/>
      <c r="H89" s="27"/>
      <c r="I89" s="27"/>
      <c r="J89" s="27"/>
      <c r="K89" s="27"/>
      <c r="L89" s="58">
        <f>SUM(L76:L87)*-1</f>
        <v>-485</v>
      </c>
      <c r="M89" s="27"/>
      <c r="N89" s="138"/>
    </row>
    <row r="90" spans="1:14" ht="15.75">
      <c r="A90" s="136"/>
      <c r="B90" s="65" t="s">
        <v>61</v>
      </c>
      <c r="C90" s="66"/>
      <c r="D90" s="27"/>
      <c r="E90" s="27"/>
      <c r="F90" s="27"/>
      <c r="G90" s="27"/>
      <c r="H90" s="27"/>
      <c r="I90" s="27"/>
      <c r="J90" s="27"/>
      <c r="K90" s="27"/>
      <c r="L90" s="68"/>
      <c r="M90" s="27"/>
      <c r="N90" s="138"/>
    </row>
    <row r="91" spans="1:14" ht="15.75">
      <c r="A91" s="136"/>
      <c r="B91" s="27" t="s">
        <v>62</v>
      </c>
      <c r="C91" s="66"/>
      <c r="D91" s="27"/>
      <c r="E91" s="27"/>
      <c r="F91" s="27"/>
      <c r="G91" s="27"/>
      <c r="H91" s="27"/>
      <c r="I91" s="27"/>
      <c r="J91" s="57">
        <f>-J135</f>
        <v>0</v>
      </c>
      <c r="K91" s="57"/>
      <c r="L91" s="58"/>
      <c r="M91" s="27"/>
      <c r="N91" s="138"/>
    </row>
    <row r="92" spans="1:14" ht="15.75">
      <c r="A92" s="136"/>
      <c r="B92" s="27" t="s">
        <v>63</v>
      </c>
      <c r="C92" s="27"/>
      <c r="D92" s="27"/>
      <c r="E92" s="27"/>
      <c r="F92" s="27"/>
      <c r="G92" s="27"/>
      <c r="H92" s="27"/>
      <c r="I92" s="27"/>
      <c r="J92" s="57">
        <v>-188</v>
      </c>
      <c r="K92" s="57"/>
      <c r="L92" s="58"/>
      <c r="M92" s="27"/>
      <c r="N92" s="138"/>
    </row>
    <row r="93" spans="1:14" ht="15.75">
      <c r="A93" s="136"/>
      <c r="B93" s="27" t="s">
        <v>64</v>
      </c>
      <c r="C93" s="27"/>
      <c r="D93" s="27"/>
      <c r="E93" s="27"/>
      <c r="F93" s="27"/>
      <c r="G93" s="27"/>
      <c r="H93" s="27"/>
      <c r="I93" s="27"/>
      <c r="J93" s="57">
        <v>0</v>
      </c>
      <c r="K93" s="57"/>
      <c r="L93" s="58"/>
      <c r="M93" s="27"/>
      <c r="N93" s="138"/>
    </row>
    <row r="94" spans="1:14" ht="15.75">
      <c r="A94" s="136"/>
      <c r="B94" s="27" t="s">
        <v>65</v>
      </c>
      <c r="C94" s="27"/>
      <c r="D94" s="27"/>
      <c r="E94" s="27"/>
      <c r="F94" s="27"/>
      <c r="G94" s="27"/>
      <c r="H94" s="27"/>
      <c r="I94" s="27"/>
      <c r="J94" s="57">
        <v>-4125</v>
      </c>
      <c r="K94" s="57"/>
      <c r="L94" s="58"/>
      <c r="M94" s="27"/>
      <c r="N94" s="138"/>
    </row>
    <row r="95" spans="1:14" ht="15.75">
      <c r="A95" s="136"/>
      <c r="B95" s="27" t="s">
        <v>66</v>
      </c>
      <c r="C95" s="27"/>
      <c r="D95" s="27"/>
      <c r="E95" s="27"/>
      <c r="F95" s="27"/>
      <c r="G95" s="27"/>
      <c r="H95" s="27"/>
      <c r="I95" s="27"/>
      <c r="J95" s="57">
        <v>-833</v>
      </c>
      <c r="K95" s="57"/>
      <c r="L95" s="58"/>
      <c r="M95" s="27"/>
      <c r="N95" s="138"/>
    </row>
    <row r="96" spans="1:14" ht="15.75">
      <c r="A96" s="136"/>
      <c r="B96" s="27" t="s">
        <v>201</v>
      </c>
      <c r="C96" s="27"/>
      <c r="D96" s="27"/>
      <c r="E96" s="27"/>
      <c r="F96" s="27"/>
      <c r="G96" s="27"/>
      <c r="H96" s="27"/>
      <c r="I96" s="27"/>
      <c r="J96" s="57">
        <v>-556</v>
      </c>
      <c r="K96" s="57"/>
      <c r="L96" s="58"/>
      <c r="M96" s="27"/>
      <c r="N96" s="138"/>
    </row>
    <row r="97" spans="1:14" ht="15.75">
      <c r="A97" s="136"/>
      <c r="B97" s="27" t="s">
        <v>67</v>
      </c>
      <c r="C97" s="27"/>
      <c r="D97" s="27"/>
      <c r="E97" s="27"/>
      <c r="F97" s="27"/>
      <c r="G97" s="27"/>
      <c r="H97" s="27"/>
      <c r="I97" s="27"/>
      <c r="J97" s="57">
        <f>SUM(J77:J96)</f>
        <v>-5702</v>
      </c>
      <c r="K97" s="57"/>
      <c r="L97" s="57">
        <f>SUM(L77:L95)</f>
        <v>-1660</v>
      </c>
      <c r="M97" s="27"/>
      <c r="N97" s="138"/>
    </row>
    <row r="98" spans="1:14" ht="15.75">
      <c r="A98" s="136"/>
      <c r="B98" s="27" t="s">
        <v>68</v>
      </c>
      <c r="C98" s="27"/>
      <c r="D98" s="27"/>
      <c r="E98" s="27"/>
      <c r="F98" s="27"/>
      <c r="G98" s="27"/>
      <c r="H98" s="27"/>
      <c r="I98" s="27"/>
      <c r="J98" s="57">
        <f>J76+J97</f>
        <v>0</v>
      </c>
      <c r="K98" s="57"/>
      <c r="L98" s="57">
        <f>L76+L97</f>
        <v>0</v>
      </c>
      <c r="M98" s="27"/>
      <c r="N98" s="138"/>
    </row>
    <row r="99" spans="1:14" ht="15.75">
      <c r="A99" s="136"/>
      <c r="B99" s="27"/>
      <c r="C99" s="27"/>
      <c r="D99" s="27"/>
      <c r="E99" s="27"/>
      <c r="F99" s="27"/>
      <c r="G99" s="27"/>
      <c r="H99" s="27"/>
      <c r="I99" s="27"/>
      <c r="J99" s="57"/>
      <c r="K99" s="57"/>
      <c r="L99" s="57"/>
      <c r="M99" s="27"/>
      <c r="N99" s="138"/>
    </row>
    <row r="100" spans="1:14" ht="15.75">
      <c r="A100" s="119"/>
      <c r="B100" s="15"/>
      <c r="C100" s="10"/>
      <c r="D100" s="10"/>
      <c r="E100" s="10"/>
      <c r="F100" s="10"/>
      <c r="G100" s="10"/>
      <c r="H100" s="10"/>
      <c r="I100" s="10"/>
      <c r="J100" s="60"/>
      <c r="K100" s="60"/>
      <c r="L100" s="60"/>
      <c r="M100" s="10"/>
      <c r="N100" s="138"/>
    </row>
    <row r="101" spans="1:14" ht="15.75">
      <c r="A101" s="119"/>
      <c r="B101" s="10"/>
      <c r="C101" s="10"/>
      <c r="D101" s="10"/>
      <c r="E101" s="10"/>
      <c r="F101" s="10"/>
      <c r="G101" s="10"/>
      <c r="H101" s="10"/>
      <c r="I101" s="10"/>
      <c r="J101" s="60"/>
      <c r="K101" s="60"/>
      <c r="L101" s="60"/>
      <c r="M101" s="10"/>
      <c r="N101" s="138"/>
    </row>
    <row r="102" spans="1:14" ht="15.75">
      <c r="A102" s="119"/>
      <c r="B102" s="10"/>
      <c r="C102" s="10"/>
      <c r="D102" s="10"/>
      <c r="E102" s="10"/>
      <c r="F102" s="10"/>
      <c r="G102" s="10"/>
      <c r="H102" s="10"/>
      <c r="I102" s="10"/>
      <c r="J102" s="10"/>
      <c r="K102" s="10"/>
      <c r="L102" s="53"/>
      <c r="M102" s="10"/>
      <c r="N102" s="138"/>
    </row>
    <row r="103" spans="1:14" ht="15.75">
      <c r="A103" s="119"/>
      <c r="B103" s="10"/>
      <c r="C103" s="9"/>
      <c r="D103" s="10"/>
      <c r="E103" s="10"/>
      <c r="F103" s="10"/>
      <c r="G103" s="10"/>
      <c r="H103" s="10"/>
      <c r="I103" s="10"/>
      <c r="J103" s="10"/>
      <c r="K103" s="10"/>
      <c r="L103" s="53"/>
      <c r="M103" s="10"/>
      <c r="N103" s="138"/>
    </row>
    <row r="104" spans="1:14" ht="15.75">
      <c r="A104" s="135"/>
      <c r="B104" s="83" t="s">
        <v>69</v>
      </c>
      <c r="C104" s="5"/>
      <c r="D104" s="5"/>
      <c r="E104" s="5"/>
      <c r="F104" s="5"/>
      <c r="G104" s="5"/>
      <c r="H104" s="5"/>
      <c r="I104" s="5"/>
      <c r="J104" s="5"/>
      <c r="K104" s="5"/>
      <c r="L104" s="52"/>
      <c r="M104" s="70"/>
      <c r="N104" s="138"/>
    </row>
    <row r="105" spans="1:14" ht="15.75">
      <c r="A105" s="119"/>
      <c r="B105" s="10"/>
      <c r="C105" s="10"/>
      <c r="D105" s="10"/>
      <c r="E105" s="10"/>
      <c r="F105" s="10"/>
      <c r="G105" s="10"/>
      <c r="H105" s="10"/>
      <c r="I105" s="10"/>
      <c r="J105" s="10"/>
      <c r="K105" s="10"/>
      <c r="L105" s="53"/>
      <c r="M105" s="10"/>
      <c r="N105" s="138"/>
    </row>
    <row r="106" spans="1:14" ht="15.75">
      <c r="A106" s="119"/>
      <c r="B106" s="73" t="s">
        <v>70</v>
      </c>
      <c r="C106" s="16"/>
      <c r="D106" s="10"/>
      <c r="E106" s="10"/>
      <c r="F106" s="10"/>
      <c r="G106" s="10"/>
      <c r="H106" s="10"/>
      <c r="I106" s="10"/>
      <c r="J106" s="10"/>
      <c r="K106" s="10"/>
      <c r="L106" s="53"/>
      <c r="M106" s="10"/>
      <c r="N106" s="138"/>
    </row>
    <row r="107" spans="1:14" ht="15.75">
      <c r="A107" s="136"/>
      <c r="B107" s="27" t="s">
        <v>71</v>
      </c>
      <c r="C107" s="27"/>
      <c r="D107" s="27"/>
      <c r="E107" s="27"/>
      <c r="F107" s="27"/>
      <c r="G107" s="27"/>
      <c r="H107" s="27"/>
      <c r="I107" s="27"/>
      <c r="J107" s="27"/>
      <c r="K107" s="27"/>
      <c r="L107" s="58">
        <v>4515</v>
      </c>
      <c r="M107" s="27"/>
      <c r="N107" s="138"/>
    </row>
    <row r="108" spans="1:14" ht="15.75">
      <c r="A108" s="136"/>
      <c r="B108" s="27" t="s">
        <v>72</v>
      </c>
      <c r="C108" s="27"/>
      <c r="D108" s="27"/>
      <c r="E108" s="27"/>
      <c r="F108" s="27"/>
      <c r="G108" s="27"/>
      <c r="H108" s="27"/>
      <c r="I108" s="27"/>
      <c r="J108" s="27"/>
      <c r="K108" s="27"/>
      <c r="L108" s="58">
        <v>4515</v>
      </c>
      <c r="M108" s="27"/>
      <c r="N108" s="138"/>
    </row>
    <row r="109" spans="1:14" ht="15.75">
      <c r="A109" s="136"/>
      <c r="B109" s="27" t="s">
        <v>73</v>
      </c>
      <c r="C109" s="27"/>
      <c r="D109" s="27"/>
      <c r="E109" s="27"/>
      <c r="F109" s="27"/>
      <c r="G109" s="27"/>
      <c r="H109" s="27"/>
      <c r="I109" s="27"/>
      <c r="J109" s="27"/>
      <c r="K109" s="27"/>
      <c r="L109" s="58"/>
      <c r="M109" s="27"/>
      <c r="N109" s="138"/>
    </row>
    <row r="110" spans="1:14" ht="15.75">
      <c r="A110" s="136"/>
      <c r="B110" s="27" t="s">
        <v>74</v>
      </c>
      <c r="C110" s="27"/>
      <c r="D110" s="27"/>
      <c r="E110" s="27"/>
      <c r="F110" s="27"/>
      <c r="G110" s="27"/>
      <c r="H110" s="27"/>
      <c r="I110" s="27"/>
      <c r="J110" s="27"/>
      <c r="K110" s="27"/>
      <c r="L110" s="58">
        <v>0</v>
      </c>
      <c r="M110" s="27"/>
      <c r="N110" s="138"/>
    </row>
    <row r="111" spans="1:14" ht="15.75">
      <c r="A111" s="136"/>
      <c r="B111" s="27" t="s">
        <v>75</v>
      </c>
      <c r="C111" s="27"/>
      <c r="D111" s="27"/>
      <c r="E111" s="27"/>
      <c r="F111" s="27"/>
      <c r="G111" s="27"/>
      <c r="H111" s="27"/>
      <c r="I111" s="27"/>
      <c r="J111" s="27"/>
      <c r="K111" s="27"/>
      <c r="L111" s="58"/>
      <c r="M111" s="27"/>
      <c r="N111" s="138"/>
    </row>
    <row r="112" spans="1:14" ht="15.75">
      <c r="A112" s="136"/>
      <c r="B112" s="27" t="s">
        <v>53</v>
      </c>
      <c r="C112" s="27"/>
      <c r="D112" s="27"/>
      <c r="E112" s="27"/>
      <c r="F112" s="27"/>
      <c r="G112" s="27"/>
      <c r="H112" s="27"/>
      <c r="I112" s="27"/>
      <c r="J112" s="27"/>
      <c r="K112" s="27"/>
      <c r="L112" s="58"/>
      <c r="M112" s="27"/>
      <c r="N112" s="138"/>
    </row>
    <row r="113" spans="1:14" ht="15.75">
      <c r="A113" s="136"/>
      <c r="B113" s="27" t="s">
        <v>55</v>
      </c>
      <c r="C113" s="27"/>
      <c r="D113" s="27"/>
      <c r="E113" s="27"/>
      <c r="F113" s="27"/>
      <c r="G113" s="27"/>
      <c r="H113" s="27"/>
      <c r="I113" s="27"/>
      <c r="J113" s="27"/>
      <c r="K113" s="27"/>
      <c r="L113" s="58"/>
      <c r="M113" s="27"/>
      <c r="N113" s="138"/>
    </row>
    <row r="114" spans="1:14" ht="15.75">
      <c r="A114" s="136"/>
      <c r="B114" s="27" t="s">
        <v>76</v>
      </c>
      <c r="C114" s="27"/>
      <c r="D114" s="27"/>
      <c r="E114" s="27"/>
      <c r="F114" s="27"/>
      <c r="G114" s="27"/>
      <c r="H114" s="27"/>
      <c r="I114" s="27"/>
      <c r="J114" s="27"/>
      <c r="K114" s="27"/>
      <c r="L114" s="58">
        <f>L108-L110</f>
        <v>4515</v>
      </c>
      <c r="M114" s="27"/>
      <c r="N114" s="138"/>
    </row>
    <row r="115" spans="1:14" ht="15.75">
      <c r="A115" s="136"/>
      <c r="B115" s="27"/>
      <c r="C115" s="27"/>
      <c r="D115" s="27"/>
      <c r="E115" s="27"/>
      <c r="F115" s="27"/>
      <c r="G115" s="27"/>
      <c r="H115" s="27"/>
      <c r="I115" s="27"/>
      <c r="J115" s="27"/>
      <c r="K115" s="27"/>
      <c r="L115" s="72"/>
      <c r="M115" s="27"/>
      <c r="N115" s="138"/>
    </row>
    <row r="116" spans="1:14" ht="15.75">
      <c r="A116" s="135"/>
      <c r="B116" s="5"/>
      <c r="C116" s="5"/>
      <c r="D116" s="5"/>
      <c r="E116" s="5"/>
      <c r="F116" s="5"/>
      <c r="G116" s="5"/>
      <c r="H116" s="5"/>
      <c r="I116" s="5"/>
      <c r="J116" s="5"/>
      <c r="K116" s="5"/>
      <c r="L116" s="52"/>
      <c r="M116" s="5"/>
      <c r="N116" s="138"/>
    </row>
    <row r="117" spans="1:14" ht="15.75">
      <c r="A117" s="119"/>
      <c r="B117" s="73" t="s">
        <v>77</v>
      </c>
      <c r="C117" s="16"/>
      <c r="D117" s="10"/>
      <c r="E117" s="10"/>
      <c r="F117" s="10"/>
      <c r="G117" s="10"/>
      <c r="H117" s="10"/>
      <c r="I117" s="10"/>
      <c r="J117" s="10"/>
      <c r="K117" s="10"/>
      <c r="L117" s="74"/>
      <c r="M117" s="10"/>
      <c r="N117" s="138"/>
    </row>
    <row r="118" spans="1:14" ht="15.75">
      <c r="A118" s="119"/>
      <c r="B118" s="16"/>
      <c r="C118" s="16"/>
      <c r="D118" s="10"/>
      <c r="E118" s="10"/>
      <c r="F118" s="10"/>
      <c r="G118" s="10"/>
      <c r="H118" s="10"/>
      <c r="I118" s="10"/>
      <c r="J118" s="10"/>
      <c r="K118" s="10"/>
      <c r="L118" s="74"/>
      <c r="M118" s="10"/>
      <c r="N118" s="138"/>
    </row>
    <row r="119" spans="1:14" ht="15.75">
      <c r="A119" s="136"/>
      <c r="B119" s="27" t="s">
        <v>78</v>
      </c>
      <c r="C119" s="27"/>
      <c r="D119" s="27"/>
      <c r="E119" s="27"/>
      <c r="F119" s="27"/>
      <c r="G119" s="27"/>
      <c r="H119" s="27"/>
      <c r="I119" s="27"/>
      <c r="J119" s="27"/>
      <c r="K119" s="27"/>
      <c r="L119" s="58">
        <v>0</v>
      </c>
      <c r="M119" s="27"/>
      <c r="N119" s="138"/>
    </row>
    <row r="120" spans="1:14" ht="15.75">
      <c r="A120" s="136"/>
      <c r="B120" s="27" t="s">
        <v>79</v>
      </c>
      <c r="C120" s="27"/>
      <c r="D120" s="27"/>
      <c r="E120" s="27"/>
      <c r="F120" s="27"/>
      <c r="G120" s="27"/>
      <c r="H120" s="27"/>
      <c r="I120" s="27"/>
      <c r="J120" s="27"/>
      <c r="K120" s="27"/>
      <c r="L120" s="58">
        <v>-104</v>
      </c>
      <c r="M120" s="27"/>
      <c r="N120" s="138"/>
    </row>
    <row r="121" spans="1:14" ht="15.75">
      <c r="A121" s="136"/>
      <c r="B121" s="27" t="s">
        <v>80</v>
      </c>
      <c r="C121" s="27"/>
      <c r="D121" s="27"/>
      <c r="E121" s="27"/>
      <c r="F121" s="27"/>
      <c r="G121" s="27"/>
      <c r="H121" s="27"/>
      <c r="I121" s="27"/>
      <c r="J121" s="27"/>
      <c r="K121" s="27"/>
      <c r="L121" s="58">
        <f>L120+L119</f>
        <v>-104</v>
      </c>
      <c r="M121" s="27"/>
      <c r="N121" s="138"/>
    </row>
    <row r="122" spans="1:14" ht="15.75">
      <c r="A122" s="136"/>
      <c r="B122" s="27" t="s">
        <v>81</v>
      </c>
      <c r="C122" s="27"/>
      <c r="D122" s="27"/>
      <c r="E122" s="27"/>
      <c r="F122" s="27"/>
      <c r="G122" s="27"/>
      <c r="H122" s="75"/>
      <c r="I122" s="27"/>
      <c r="J122" s="27"/>
      <c r="K122" s="27"/>
      <c r="L122" s="58">
        <f>-L87</f>
        <v>104</v>
      </c>
      <c r="M122" s="27"/>
      <c r="N122" s="138"/>
    </row>
    <row r="123" spans="1:14" ht="15.75">
      <c r="A123" s="136"/>
      <c r="B123" s="27" t="s">
        <v>82</v>
      </c>
      <c r="C123" s="27"/>
      <c r="D123" s="27"/>
      <c r="E123" s="27"/>
      <c r="F123" s="27"/>
      <c r="G123" s="27"/>
      <c r="H123" s="27"/>
      <c r="I123" s="27"/>
      <c r="J123" s="27"/>
      <c r="K123" s="27"/>
      <c r="L123" s="58">
        <f>L121+L122</f>
        <v>0</v>
      </c>
      <c r="M123" s="27"/>
      <c r="N123" s="138"/>
    </row>
    <row r="124" spans="1:14" ht="15.75">
      <c r="A124" s="136"/>
      <c r="B124" s="27"/>
      <c r="C124" s="27"/>
      <c r="D124" s="27"/>
      <c r="E124" s="27"/>
      <c r="F124" s="27"/>
      <c r="G124" s="27"/>
      <c r="H124" s="27"/>
      <c r="I124" s="27"/>
      <c r="J124" s="27"/>
      <c r="K124" s="27"/>
      <c r="L124" s="72"/>
      <c r="M124" s="27"/>
      <c r="N124" s="138"/>
    </row>
    <row r="125" spans="1:14" ht="15.75">
      <c r="A125" s="135"/>
      <c r="B125" s="5"/>
      <c r="C125" s="5"/>
      <c r="D125" s="5"/>
      <c r="E125" s="5"/>
      <c r="F125" s="5"/>
      <c r="G125" s="5"/>
      <c r="H125" s="5"/>
      <c r="I125" s="5"/>
      <c r="J125" s="5"/>
      <c r="K125" s="5"/>
      <c r="L125" s="52"/>
      <c r="M125" s="5"/>
      <c r="N125" s="138"/>
    </row>
    <row r="126" spans="1:14" ht="15.75">
      <c r="A126" s="119"/>
      <c r="B126" s="73" t="s">
        <v>83</v>
      </c>
      <c r="C126" s="16"/>
      <c r="D126" s="10"/>
      <c r="E126" s="10"/>
      <c r="F126" s="10"/>
      <c r="G126" s="10"/>
      <c r="H126" s="10"/>
      <c r="I126" s="10"/>
      <c r="J126" s="10"/>
      <c r="K126" s="10"/>
      <c r="L126" s="53"/>
      <c r="M126" s="10"/>
      <c r="N126" s="138"/>
    </row>
    <row r="127" spans="1:14" ht="15.75">
      <c r="A127" s="119"/>
      <c r="B127" s="76"/>
      <c r="C127" s="16"/>
      <c r="D127" s="10"/>
      <c r="E127" s="10"/>
      <c r="F127" s="10"/>
      <c r="G127" s="10"/>
      <c r="H127" s="10"/>
      <c r="I127" s="10"/>
      <c r="J127" s="10"/>
      <c r="K127" s="10"/>
      <c r="L127" s="53"/>
      <c r="M127" s="10"/>
      <c r="N127" s="138"/>
    </row>
    <row r="128" spans="1:14" ht="15.75">
      <c r="A128" s="136"/>
      <c r="B128" s="27" t="s">
        <v>84</v>
      </c>
      <c r="C128" s="71"/>
      <c r="D128" s="27"/>
      <c r="E128" s="27"/>
      <c r="F128" s="27"/>
      <c r="G128" s="27"/>
      <c r="H128" s="27"/>
      <c r="I128" s="27"/>
      <c r="J128" s="27"/>
      <c r="K128" s="27"/>
      <c r="L128" s="58">
        <f>L54</f>
        <v>73653</v>
      </c>
      <c r="M128" s="27"/>
      <c r="N128" s="138"/>
    </row>
    <row r="129" spans="1:14" ht="15.75">
      <c r="A129" s="136"/>
      <c r="B129" s="27" t="s">
        <v>85</v>
      </c>
      <c r="C129" s="71"/>
      <c r="D129" s="27"/>
      <c r="E129" s="27"/>
      <c r="F129" s="27"/>
      <c r="G129" s="27"/>
      <c r="H129" s="27"/>
      <c r="I129" s="27"/>
      <c r="J129" s="27"/>
      <c r="K129" s="27"/>
      <c r="L129" s="58">
        <f>L66</f>
        <v>69757</v>
      </c>
      <c r="M129" s="27"/>
      <c r="N129" s="138"/>
    </row>
    <row r="130" spans="1:14" ht="15.75">
      <c r="A130" s="136"/>
      <c r="B130" s="27"/>
      <c r="C130" s="27"/>
      <c r="D130" s="27"/>
      <c r="E130" s="27"/>
      <c r="F130" s="27"/>
      <c r="G130" s="27"/>
      <c r="H130" s="27"/>
      <c r="I130" s="27"/>
      <c r="J130" s="27"/>
      <c r="K130" s="27"/>
      <c r="L130" s="72"/>
      <c r="M130" s="27"/>
      <c r="N130" s="138"/>
    </row>
    <row r="131" spans="1:14" ht="15.75">
      <c r="A131" s="135"/>
      <c r="B131" s="5"/>
      <c r="C131" s="5"/>
      <c r="D131" s="5"/>
      <c r="E131" s="5"/>
      <c r="F131" s="5"/>
      <c r="G131" s="5"/>
      <c r="H131" s="5"/>
      <c r="I131" s="5"/>
      <c r="J131" s="5"/>
      <c r="K131" s="5"/>
      <c r="L131" s="52"/>
      <c r="M131" s="5"/>
      <c r="N131" s="138"/>
    </row>
    <row r="132" spans="1:14" ht="15.75">
      <c r="A132" s="119"/>
      <c r="B132" s="73" t="s">
        <v>86</v>
      </c>
      <c r="C132" s="12"/>
      <c r="D132" s="12"/>
      <c r="E132" s="12"/>
      <c r="F132" s="12"/>
      <c r="G132" s="12"/>
      <c r="H132" s="77" t="s">
        <v>163</v>
      </c>
      <c r="I132" s="77"/>
      <c r="J132" s="77" t="s">
        <v>175</v>
      </c>
      <c r="K132" s="12"/>
      <c r="L132" s="78" t="s">
        <v>189</v>
      </c>
      <c r="M132" s="10"/>
      <c r="N132" s="138"/>
    </row>
    <row r="133" spans="1:14" ht="15.75">
      <c r="A133" s="136"/>
      <c r="B133" s="27" t="s">
        <v>87</v>
      </c>
      <c r="C133" s="27"/>
      <c r="D133" s="27"/>
      <c r="E133" s="27"/>
      <c r="F133" s="27"/>
      <c r="G133" s="27"/>
      <c r="H133" s="58">
        <v>40000</v>
      </c>
      <c r="I133" s="27"/>
      <c r="J133" s="45" t="s">
        <v>176</v>
      </c>
      <c r="K133" s="27"/>
      <c r="L133" s="58"/>
      <c r="M133" s="27"/>
      <c r="N133" s="138"/>
    </row>
    <row r="134" spans="1:14" ht="15.75">
      <c r="A134" s="136"/>
      <c r="B134" s="27" t="s">
        <v>88</v>
      </c>
      <c r="C134" s="27"/>
      <c r="D134" s="27"/>
      <c r="E134" s="27"/>
      <c r="F134" s="27"/>
      <c r="G134" s="27"/>
      <c r="H134" s="58">
        <v>2251</v>
      </c>
      <c r="I134" s="27"/>
      <c r="J134" s="58">
        <v>110</v>
      </c>
      <c r="K134" s="27"/>
      <c r="L134" s="58">
        <f>J134+H134</f>
        <v>2361</v>
      </c>
      <c r="M134" s="27"/>
      <c r="N134" s="138"/>
    </row>
    <row r="135" spans="1:14" ht="15.75">
      <c r="A135" s="136"/>
      <c r="B135" s="27" t="s">
        <v>89</v>
      </c>
      <c r="C135" s="27"/>
      <c r="D135" s="27"/>
      <c r="E135" s="27"/>
      <c r="F135" s="27"/>
      <c r="G135" s="27"/>
      <c r="H135" s="58">
        <v>188</v>
      </c>
      <c r="I135" s="27"/>
      <c r="J135" s="27">
        <v>0</v>
      </c>
      <c r="K135" s="27"/>
      <c r="L135" s="58">
        <f>J135+H135</f>
        <v>188</v>
      </c>
      <c r="M135" s="27"/>
      <c r="N135" s="138"/>
    </row>
    <row r="136" spans="1:14" ht="15.75">
      <c r="A136" s="136"/>
      <c r="B136" s="27" t="s">
        <v>90</v>
      </c>
      <c r="C136" s="27"/>
      <c r="D136" s="27"/>
      <c r="E136" s="27"/>
      <c r="F136" s="27"/>
      <c r="G136" s="27"/>
      <c r="H136" s="58">
        <f>H135+H134</f>
        <v>2439</v>
      </c>
      <c r="I136" s="27"/>
      <c r="J136" s="58">
        <f>J135+J134</f>
        <v>110</v>
      </c>
      <c r="K136" s="27"/>
      <c r="L136" s="58">
        <f>J136+H136</f>
        <v>2549</v>
      </c>
      <c r="M136" s="27"/>
      <c r="N136" s="138"/>
    </row>
    <row r="137" spans="1:14" ht="15.75">
      <c r="A137" s="136"/>
      <c r="B137" s="27" t="s">
        <v>91</v>
      </c>
      <c r="C137" s="27"/>
      <c r="D137" s="27"/>
      <c r="E137" s="27"/>
      <c r="F137" s="27"/>
      <c r="G137" s="27"/>
      <c r="H137" s="58">
        <f>H133-H136</f>
        <v>37561</v>
      </c>
      <c r="I137" s="27"/>
      <c r="J137" s="45" t="s">
        <v>176</v>
      </c>
      <c r="K137" s="27"/>
      <c r="L137" s="58"/>
      <c r="M137" s="27"/>
      <c r="N137" s="138"/>
    </row>
    <row r="138" spans="1:14" ht="15.75">
      <c r="A138" s="136"/>
      <c r="B138" s="27"/>
      <c r="C138" s="27"/>
      <c r="D138" s="27"/>
      <c r="E138" s="27"/>
      <c r="F138" s="27"/>
      <c r="G138" s="27"/>
      <c r="H138" s="27"/>
      <c r="I138" s="27"/>
      <c r="J138" s="27"/>
      <c r="K138" s="27"/>
      <c r="L138" s="72"/>
      <c r="M138" s="27"/>
      <c r="N138" s="138"/>
    </row>
    <row r="139" spans="1:14" ht="15.75">
      <c r="A139" s="135"/>
      <c r="B139" s="5"/>
      <c r="C139" s="5"/>
      <c r="D139" s="5"/>
      <c r="E139" s="5"/>
      <c r="F139" s="5"/>
      <c r="G139" s="5"/>
      <c r="H139" s="5"/>
      <c r="I139" s="5"/>
      <c r="J139" s="5"/>
      <c r="K139" s="5"/>
      <c r="L139" s="52"/>
      <c r="M139" s="5"/>
      <c r="N139" s="138"/>
    </row>
    <row r="140" spans="1:14" ht="15.75">
      <c r="A140" s="119"/>
      <c r="B140" s="73" t="s">
        <v>92</v>
      </c>
      <c r="C140" s="16"/>
      <c r="D140" s="10"/>
      <c r="E140" s="10"/>
      <c r="F140" s="10"/>
      <c r="G140" s="10"/>
      <c r="H140" s="10"/>
      <c r="I140" s="10"/>
      <c r="J140" s="10"/>
      <c r="K140" s="10"/>
      <c r="L140" s="79"/>
      <c r="M140" s="10"/>
      <c r="N140" s="138"/>
    </row>
    <row r="141" spans="1:14" ht="15.75">
      <c r="A141" s="136"/>
      <c r="B141" s="27" t="s">
        <v>93</v>
      </c>
      <c r="C141" s="27"/>
      <c r="D141" s="27"/>
      <c r="E141" s="27"/>
      <c r="F141" s="27"/>
      <c r="G141" s="27"/>
      <c r="H141" s="27"/>
      <c r="I141" s="27"/>
      <c r="J141" s="27"/>
      <c r="K141" s="27"/>
      <c r="L141" s="68">
        <f>(L76+L79+L80+L81)/-L82</f>
        <v>2.192686357243319</v>
      </c>
      <c r="M141" s="27" t="s">
        <v>190</v>
      </c>
      <c r="N141" s="138"/>
    </row>
    <row r="142" spans="1:14" ht="15.75">
      <c r="A142" s="136"/>
      <c r="B142" s="27" t="s">
        <v>94</v>
      </c>
      <c r="C142" s="27"/>
      <c r="D142" s="27"/>
      <c r="E142" s="27"/>
      <c r="F142" s="27"/>
      <c r="G142" s="27"/>
      <c r="H142" s="27"/>
      <c r="I142" s="27"/>
      <c r="J142" s="27"/>
      <c r="K142" s="27"/>
      <c r="L142" s="68">
        <v>1.67</v>
      </c>
      <c r="M142" s="27" t="s">
        <v>190</v>
      </c>
      <c r="N142" s="138"/>
    </row>
    <row r="143" spans="1:14" ht="15.75">
      <c r="A143" s="136"/>
      <c r="B143" s="27" t="s">
        <v>95</v>
      </c>
      <c r="C143" s="27"/>
      <c r="D143" s="27"/>
      <c r="E143" s="27"/>
      <c r="F143" s="27"/>
      <c r="G143" s="27"/>
      <c r="H143" s="27"/>
      <c r="I143" s="27"/>
      <c r="J143" s="27"/>
      <c r="K143" s="27"/>
      <c r="L143" s="68">
        <f>(L76+SUM(L79:L83))/-L84</f>
        <v>5.633333333333334</v>
      </c>
      <c r="M143" s="27" t="s">
        <v>190</v>
      </c>
      <c r="N143" s="138"/>
    </row>
    <row r="144" spans="1:14" ht="15.75">
      <c r="A144" s="136"/>
      <c r="B144" s="27" t="s">
        <v>96</v>
      </c>
      <c r="C144" s="27"/>
      <c r="D144" s="27"/>
      <c r="E144" s="27"/>
      <c r="F144" s="27"/>
      <c r="G144" s="27"/>
      <c r="H144" s="27"/>
      <c r="I144" s="27"/>
      <c r="J144" s="27"/>
      <c r="K144" s="27"/>
      <c r="L144" s="81">
        <v>4.74</v>
      </c>
      <c r="M144" s="27" t="s">
        <v>190</v>
      </c>
      <c r="N144" s="138"/>
    </row>
    <row r="145" spans="1:14" ht="15.75">
      <c r="A145" s="136"/>
      <c r="B145" s="27" t="s">
        <v>97</v>
      </c>
      <c r="C145" s="27"/>
      <c r="D145" s="27"/>
      <c r="E145" s="27"/>
      <c r="F145" s="27"/>
      <c r="G145" s="27"/>
      <c r="H145" s="27"/>
      <c r="I145" s="27"/>
      <c r="J145" s="27"/>
      <c r="K145" s="27"/>
      <c r="L145" s="68">
        <f>(L76+L79+L80+L81+L82+L83+L84)/-L85</f>
        <v>6.556603773584905</v>
      </c>
      <c r="M145" s="27" t="s">
        <v>190</v>
      </c>
      <c r="N145" s="138"/>
    </row>
    <row r="146" spans="1:14" ht="15.75">
      <c r="A146" s="136"/>
      <c r="B146" s="27" t="s">
        <v>98</v>
      </c>
      <c r="C146" s="27"/>
      <c r="D146" s="27"/>
      <c r="E146" s="27"/>
      <c r="F146" s="27"/>
      <c r="G146" s="27"/>
      <c r="H146" s="27"/>
      <c r="I146" s="27"/>
      <c r="J146" s="27"/>
      <c r="K146" s="27"/>
      <c r="L146" s="80">
        <v>5.33</v>
      </c>
      <c r="M146" s="27" t="s">
        <v>190</v>
      </c>
      <c r="N146" s="138"/>
    </row>
    <row r="147" spans="1:14" ht="15.75">
      <c r="A147" s="136"/>
      <c r="B147" s="27"/>
      <c r="C147" s="27"/>
      <c r="D147" s="27"/>
      <c r="E147" s="27"/>
      <c r="F147" s="27"/>
      <c r="G147" s="27"/>
      <c r="H147" s="27"/>
      <c r="I147" s="27"/>
      <c r="J147" s="27"/>
      <c r="K147" s="27"/>
      <c r="L147" s="27"/>
      <c r="M147" s="27"/>
      <c r="N147" s="138"/>
    </row>
    <row r="148" spans="1:14" ht="15">
      <c r="A148" s="119"/>
      <c r="B148" s="15"/>
      <c r="C148" s="15"/>
      <c r="D148" s="15"/>
      <c r="E148" s="15"/>
      <c r="F148" s="15"/>
      <c r="G148" s="15"/>
      <c r="H148" s="15"/>
      <c r="I148" s="15"/>
      <c r="J148" s="15"/>
      <c r="K148" s="15"/>
      <c r="L148" s="15"/>
      <c r="M148" s="15"/>
      <c r="N148" s="138"/>
    </row>
    <row r="149" spans="1:14" ht="15.75">
      <c r="A149" s="135"/>
      <c r="B149" s="83" t="s">
        <v>99</v>
      </c>
      <c r="C149" s="84"/>
      <c r="D149" s="84"/>
      <c r="E149" s="84"/>
      <c r="F149" s="84"/>
      <c r="G149" s="85"/>
      <c r="H149" s="85"/>
      <c r="I149" s="85"/>
      <c r="J149" s="85">
        <v>37225</v>
      </c>
      <c r="K149" s="86"/>
      <c r="L149" s="5"/>
      <c r="M149" s="5"/>
      <c r="N149" s="138"/>
    </row>
    <row r="150" spans="1:14" ht="15.75">
      <c r="A150" s="119"/>
      <c r="B150" s="89"/>
      <c r="C150" s="90"/>
      <c r="D150" s="90"/>
      <c r="E150" s="90"/>
      <c r="F150" s="90"/>
      <c r="G150" s="91"/>
      <c r="H150" s="91"/>
      <c r="I150" s="91"/>
      <c r="J150" s="91"/>
      <c r="K150" s="10"/>
      <c r="L150" s="10"/>
      <c r="M150" s="10"/>
      <c r="N150" s="138"/>
    </row>
    <row r="151" spans="1:14" ht="15.75">
      <c r="A151" s="136"/>
      <c r="B151" s="93" t="s">
        <v>100</v>
      </c>
      <c r="C151" s="94"/>
      <c r="D151" s="94"/>
      <c r="E151" s="94"/>
      <c r="F151" s="94"/>
      <c r="G151" s="75"/>
      <c r="H151" s="75"/>
      <c r="I151" s="75"/>
      <c r="J151" s="95">
        <v>0.0981</v>
      </c>
      <c r="K151" s="27"/>
      <c r="L151" s="27"/>
      <c r="M151" s="27"/>
      <c r="N151" s="138"/>
    </row>
    <row r="152" spans="1:14" ht="15.75">
      <c r="A152" s="136"/>
      <c r="B152" s="93" t="s">
        <v>101</v>
      </c>
      <c r="C152" s="94"/>
      <c r="D152" s="94"/>
      <c r="E152" s="94"/>
      <c r="F152" s="94"/>
      <c r="G152" s="75"/>
      <c r="H152" s="75"/>
      <c r="I152" s="75"/>
      <c r="J152" s="44">
        <f>6.96640642439395/100</f>
        <v>0.0696640642439395</v>
      </c>
      <c r="K152" s="27"/>
      <c r="L152" s="27"/>
      <c r="M152" s="27"/>
      <c r="N152" s="138"/>
    </row>
    <row r="153" spans="1:14" ht="15.75">
      <c r="A153" s="136"/>
      <c r="B153" s="93" t="s">
        <v>102</v>
      </c>
      <c r="C153" s="94"/>
      <c r="D153" s="94"/>
      <c r="E153" s="94"/>
      <c r="F153" s="94"/>
      <c r="G153" s="75"/>
      <c r="H153" s="75"/>
      <c r="I153" s="75"/>
      <c r="J153" s="95">
        <f>J151-J152</f>
        <v>0.0284359357560605</v>
      </c>
      <c r="K153" s="27"/>
      <c r="L153" s="27"/>
      <c r="M153" s="27"/>
      <c r="N153" s="138"/>
    </row>
    <row r="154" spans="1:14" ht="15.75">
      <c r="A154" s="136"/>
      <c r="B154" s="93" t="s">
        <v>103</v>
      </c>
      <c r="C154" s="94"/>
      <c r="D154" s="94"/>
      <c r="E154" s="94"/>
      <c r="F154" s="94"/>
      <c r="G154" s="75"/>
      <c r="H154" s="75"/>
      <c r="I154" s="75"/>
      <c r="J154" s="95">
        <v>0.0769</v>
      </c>
      <c r="K154" s="27"/>
      <c r="L154" s="27"/>
      <c r="M154" s="27"/>
      <c r="N154" s="138"/>
    </row>
    <row r="155" spans="1:14" ht="15.75">
      <c r="A155" s="136"/>
      <c r="B155" s="93" t="s">
        <v>104</v>
      </c>
      <c r="C155" s="94"/>
      <c r="D155" s="94"/>
      <c r="E155" s="94"/>
      <c r="F155" s="94"/>
      <c r="G155" s="75"/>
      <c r="H155" s="75"/>
      <c r="I155" s="75"/>
      <c r="J155" s="95">
        <f>L30</f>
        <v>0.051534531474615244</v>
      </c>
      <c r="K155" s="27"/>
      <c r="L155" s="27"/>
      <c r="M155" s="27"/>
      <c r="N155" s="138"/>
    </row>
    <row r="156" spans="1:14" ht="15.75">
      <c r="A156" s="136"/>
      <c r="B156" s="93" t="s">
        <v>105</v>
      </c>
      <c r="C156" s="94"/>
      <c r="D156" s="94"/>
      <c r="E156" s="94"/>
      <c r="F156" s="94"/>
      <c r="G156" s="75"/>
      <c r="H156" s="75"/>
      <c r="I156" s="75"/>
      <c r="J156" s="95">
        <f>J154-J155</f>
        <v>0.02536546852538475</v>
      </c>
      <c r="K156" s="27"/>
      <c r="L156" s="27"/>
      <c r="M156" s="27"/>
      <c r="N156" s="138"/>
    </row>
    <row r="157" spans="1:14" ht="15.75">
      <c r="A157" s="136"/>
      <c r="B157" s="93" t="s">
        <v>106</v>
      </c>
      <c r="C157" s="94"/>
      <c r="D157" s="94"/>
      <c r="E157" s="94"/>
      <c r="F157" s="94"/>
      <c r="G157" s="75"/>
      <c r="H157" s="75"/>
      <c r="I157" s="75"/>
      <c r="J157" s="95" t="s">
        <v>177</v>
      </c>
      <c r="K157" s="27"/>
      <c r="L157" s="27"/>
      <c r="M157" s="27"/>
      <c r="N157" s="138"/>
    </row>
    <row r="158" spans="1:14" ht="15.75">
      <c r="A158" s="136"/>
      <c r="B158" s="93" t="s">
        <v>107</v>
      </c>
      <c r="C158" s="94"/>
      <c r="D158" s="94"/>
      <c r="E158" s="94"/>
      <c r="F158" s="94"/>
      <c r="G158" s="75"/>
      <c r="H158" s="75"/>
      <c r="I158" s="75"/>
      <c r="J158" s="95" t="s">
        <v>178</v>
      </c>
      <c r="K158" s="27"/>
      <c r="L158" s="27"/>
      <c r="M158" s="27"/>
      <c r="N158" s="138"/>
    </row>
    <row r="159" spans="1:14" ht="15.75">
      <c r="A159" s="136"/>
      <c r="B159" s="93" t="s">
        <v>108</v>
      </c>
      <c r="C159" s="94"/>
      <c r="D159" s="94"/>
      <c r="E159" s="94"/>
      <c r="F159" s="94"/>
      <c r="G159" s="75"/>
      <c r="H159" s="75"/>
      <c r="I159" s="75"/>
      <c r="J159" s="95" t="s">
        <v>213</v>
      </c>
      <c r="K159" s="27"/>
      <c r="L159" s="27"/>
      <c r="M159" s="27"/>
      <c r="N159" s="138"/>
    </row>
    <row r="160" spans="1:14" ht="15.75">
      <c r="A160" s="136"/>
      <c r="B160" s="93" t="s">
        <v>211</v>
      </c>
      <c r="C160" s="94"/>
      <c r="D160" s="94"/>
      <c r="E160" s="94"/>
      <c r="F160" s="94"/>
      <c r="G160" s="75"/>
      <c r="H160" s="133"/>
      <c r="I160" s="75"/>
      <c r="J160" s="95">
        <v>0.0549</v>
      </c>
      <c r="K160" s="27"/>
      <c r="L160" s="27"/>
      <c r="M160" s="27"/>
      <c r="N160" s="138"/>
    </row>
    <row r="161" spans="1:14" ht="15.75">
      <c r="A161" s="136"/>
      <c r="B161" s="93" t="s">
        <v>212</v>
      </c>
      <c r="C161" s="94"/>
      <c r="D161" s="94"/>
      <c r="E161" s="94"/>
      <c r="F161" s="94"/>
      <c r="G161" s="75"/>
      <c r="H161" s="133"/>
      <c r="I161" s="75"/>
      <c r="J161" s="95">
        <v>0.2007</v>
      </c>
      <c r="K161" s="27"/>
      <c r="L161" s="27"/>
      <c r="M161" s="27"/>
      <c r="N161" s="138"/>
    </row>
    <row r="162" spans="1:14" ht="15.75">
      <c r="A162" s="136"/>
      <c r="B162" s="93"/>
      <c r="C162" s="93"/>
      <c r="D162" s="93"/>
      <c r="E162" s="93"/>
      <c r="F162" s="93"/>
      <c r="G162" s="27"/>
      <c r="H162" s="27"/>
      <c r="I162" s="27"/>
      <c r="J162" s="72"/>
      <c r="K162" s="27"/>
      <c r="L162" s="97"/>
      <c r="M162" s="27"/>
      <c r="N162" s="138"/>
    </row>
    <row r="163" spans="1:14" ht="15.75">
      <c r="A163" s="119"/>
      <c r="B163" s="17" t="s">
        <v>110</v>
      </c>
      <c r="C163" s="20"/>
      <c r="D163" s="99"/>
      <c r="E163" s="20"/>
      <c r="F163" s="99"/>
      <c r="G163" s="20"/>
      <c r="H163" s="99"/>
      <c r="I163" s="20" t="s">
        <v>164</v>
      </c>
      <c r="J163" s="99" t="s">
        <v>180</v>
      </c>
      <c r="K163" s="18"/>
      <c r="L163" s="18"/>
      <c r="M163" s="10"/>
      <c r="N163" s="138"/>
    </row>
    <row r="164" spans="1:14" ht="15.75">
      <c r="A164" s="136"/>
      <c r="B164" s="93" t="s">
        <v>111</v>
      </c>
      <c r="C164" s="59"/>
      <c r="D164" s="59"/>
      <c r="E164" s="59"/>
      <c r="F164" s="27"/>
      <c r="G164" s="27"/>
      <c r="H164" s="27"/>
      <c r="I164" s="27">
        <v>85</v>
      </c>
      <c r="J164" s="58">
        <v>5267</v>
      </c>
      <c r="K164" s="27"/>
      <c r="L164" s="97"/>
      <c r="M164" s="102"/>
      <c r="N164" s="138"/>
    </row>
    <row r="165" spans="1:14" ht="15.75">
      <c r="A165" s="136"/>
      <c r="B165" s="93" t="s">
        <v>112</v>
      </c>
      <c r="C165" s="59"/>
      <c r="D165" s="59"/>
      <c r="E165" s="59"/>
      <c r="F165" s="27"/>
      <c r="G165" s="27"/>
      <c r="H165" s="27"/>
      <c r="I165" s="27">
        <v>2</v>
      </c>
      <c r="J165" s="58">
        <v>98</v>
      </c>
      <c r="K165" s="27"/>
      <c r="L165" s="97"/>
      <c r="M165" s="102"/>
      <c r="N165" s="138"/>
    </row>
    <row r="166" spans="1:14" ht="15.75">
      <c r="A166" s="136"/>
      <c r="B166" s="103" t="s">
        <v>113</v>
      </c>
      <c r="C166" s="59"/>
      <c r="D166" s="59"/>
      <c r="E166" s="59"/>
      <c r="F166" s="27"/>
      <c r="G166" s="27"/>
      <c r="H166" s="27"/>
      <c r="I166" s="27"/>
      <c r="J166" s="58">
        <v>0</v>
      </c>
      <c r="K166" s="27"/>
      <c r="L166" s="97"/>
      <c r="M166" s="102"/>
      <c r="N166" s="138"/>
    </row>
    <row r="167" spans="1:14" ht="15.75">
      <c r="A167" s="136"/>
      <c r="B167" s="103" t="s">
        <v>114</v>
      </c>
      <c r="C167" s="59"/>
      <c r="D167" s="59"/>
      <c r="E167" s="59"/>
      <c r="F167" s="27"/>
      <c r="G167" s="27"/>
      <c r="H167" s="27"/>
      <c r="I167" s="27"/>
      <c r="J167" s="68" t="s">
        <v>139</v>
      </c>
      <c r="K167" s="27"/>
      <c r="L167" s="97"/>
      <c r="M167" s="102"/>
      <c r="N167" s="138"/>
    </row>
    <row r="168" spans="1:14" ht="15.75">
      <c r="A168" s="136"/>
      <c r="B168" s="103" t="s">
        <v>115</v>
      </c>
      <c r="C168" s="59"/>
      <c r="D168" s="93"/>
      <c r="E168" s="93"/>
      <c r="F168" s="93"/>
      <c r="G168" s="27"/>
      <c r="H168" s="27"/>
      <c r="I168" s="27"/>
      <c r="J168" s="68"/>
      <c r="K168" s="27"/>
      <c r="L168" s="97"/>
      <c r="M168" s="105"/>
      <c r="N168" s="138"/>
    </row>
    <row r="169" spans="1:14" ht="15.75">
      <c r="A169" s="136"/>
      <c r="B169" s="93" t="s">
        <v>116</v>
      </c>
      <c r="C169" s="59"/>
      <c r="D169" s="59"/>
      <c r="E169" s="59"/>
      <c r="F169" s="59"/>
      <c r="G169" s="27"/>
      <c r="H169" s="27"/>
      <c r="I169" s="27">
        <f>108-107</f>
        <v>1</v>
      </c>
      <c r="J169" s="58">
        <v>104</v>
      </c>
      <c r="K169" s="27"/>
      <c r="L169" s="97"/>
      <c r="M169" s="105"/>
      <c r="N169" s="138"/>
    </row>
    <row r="170" spans="1:14" ht="15.75">
      <c r="A170" s="136"/>
      <c r="B170" s="93" t="s">
        <v>117</v>
      </c>
      <c r="C170" s="59"/>
      <c r="D170" s="59"/>
      <c r="E170" s="59"/>
      <c r="F170" s="59"/>
      <c r="G170" s="27"/>
      <c r="H170" s="27"/>
      <c r="I170" s="58">
        <v>108</v>
      </c>
      <c r="J170" s="58">
        <v>1909</v>
      </c>
      <c r="K170" s="27"/>
      <c r="L170" s="97"/>
      <c r="M170" s="105"/>
      <c r="N170" s="138"/>
    </row>
    <row r="171" spans="1:14" ht="15.75">
      <c r="A171" s="136"/>
      <c r="B171" s="93" t="s">
        <v>208</v>
      </c>
      <c r="C171" s="59"/>
      <c r="D171" s="59"/>
      <c r="E171" s="59"/>
      <c r="F171" s="59"/>
      <c r="G171" s="27"/>
      <c r="H171" s="27"/>
      <c r="I171" s="58"/>
      <c r="J171" s="58">
        <f>97+3</f>
        <v>100</v>
      </c>
      <c r="K171" s="27"/>
      <c r="L171" s="97"/>
      <c r="M171" s="105"/>
      <c r="N171" s="138"/>
    </row>
    <row r="172" spans="1:14" ht="15.75">
      <c r="A172" s="136"/>
      <c r="B172" s="103" t="s">
        <v>118</v>
      </c>
      <c r="C172" s="59"/>
      <c r="D172" s="93"/>
      <c r="E172" s="93"/>
      <c r="F172" s="93"/>
      <c r="G172" s="27"/>
      <c r="H172" s="27"/>
      <c r="I172" s="27"/>
      <c r="J172" s="58"/>
      <c r="K172" s="27"/>
      <c r="L172" s="97"/>
      <c r="M172" s="105"/>
      <c r="N172" s="138"/>
    </row>
    <row r="173" spans="1:14" ht="15.75">
      <c r="A173" s="136"/>
      <c r="B173" s="93" t="s">
        <v>119</v>
      </c>
      <c r="C173" s="59"/>
      <c r="D173" s="93"/>
      <c r="E173" s="93"/>
      <c r="F173" s="93"/>
      <c r="G173" s="27"/>
      <c r="H173" s="27"/>
      <c r="I173" s="27">
        <v>1</v>
      </c>
      <c r="J173" s="58">
        <v>130</v>
      </c>
      <c r="K173" s="27"/>
      <c r="L173" s="97"/>
      <c r="M173" s="105"/>
      <c r="N173" s="138"/>
    </row>
    <row r="174" spans="1:14" ht="15.75">
      <c r="A174" s="136"/>
      <c r="B174" s="93" t="s">
        <v>120</v>
      </c>
      <c r="C174" s="59"/>
      <c r="D174" s="106"/>
      <c r="E174" s="106"/>
      <c r="F174" s="107"/>
      <c r="G174" s="27"/>
      <c r="H174" s="27"/>
      <c r="I174" s="27"/>
      <c r="J174" s="68">
        <v>50.245</v>
      </c>
      <c r="K174" s="27"/>
      <c r="L174" s="97"/>
      <c r="M174" s="105"/>
      <c r="N174" s="138"/>
    </row>
    <row r="175" spans="1:14" ht="15.75">
      <c r="A175" s="136"/>
      <c r="B175" s="93" t="s">
        <v>197</v>
      </c>
      <c r="C175" s="59"/>
      <c r="D175" s="106"/>
      <c r="E175" s="106"/>
      <c r="F175" s="107"/>
      <c r="G175" s="27"/>
      <c r="H175" s="27"/>
      <c r="I175" s="27"/>
      <c r="J175" s="68">
        <v>2</v>
      </c>
      <c r="K175" s="27"/>
      <c r="L175" s="97"/>
      <c r="M175" s="105"/>
      <c r="N175" s="138"/>
    </row>
    <row r="176" spans="1:14" ht="15.75">
      <c r="A176" s="136"/>
      <c r="B176" s="93" t="s">
        <v>122</v>
      </c>
      <c r="C176" s="59"/>
      <c r="D176" s="108"/>
      <c r="E176" s="106"/>
      <c r="F176" s="107"/>
      <c r="G176" s="27"/>
      <c r="H176" s="27"/>
      <c r="I176" s="27"/>
      <c r="J176" s="109">
        <v>1.0829</v>
      </c>
      <c r="K176" s="27"/>
      <c r="L176" s="97"/>
      <c r="M176" s="105"/>
      <c r="N176" s="138"/>
    </row>
    <row r="177" spans="1:14" ht="15.75">
      <c r="A177" s="136"/>
      <c r="B177" s="93"/>
      <c r="C177" s="59"/>
      <c r="D177" s="108"/>
      <c r="E177" s="106"/>
      <c r="F177" s="107"/>
      <c r="G177" s="27"/>
      <c r="H177" s="27"/>
      <c r="I177" s="27"/>
      <c r="J177" s="109"/>
      <c r="K177" s="27"/>
      <c r="L177" s="97"/>
      <c r="M177" s="105"/>
      <c r="N177" s="138"/>
    </row>
    <row r="178" spans="1:14" ht="15.75">
      <c r="A178" s="119"/>
      <c r="B178" s="17" t="s">
        <v>123</v>
      </c>
      <c r="C178" s="20"/>
      <c r="D178" s="99"/>
      <c r="E178" s="20"/>
      <c r="F178" s="99"/>
      <c r="G178" s="20"/>
      <c r="H178" s="99" t="s">
        <v>164</v>
      </c>
      <c r="I178" s="20" t="s">
        <v>165</v>
      </c>
      <c r="J178" s="99" t="s">
        <v>181</v>
      </c>
      <c r="K178" s="20" t="s">
        <v>165</v>
      </c>
      <c r="L178" s="18"/>
      <c r="M178" s="112"/>
      <c r="N178" s="138"/>
    </row>
    <row r="179" spans="1:14" ht="15.75">
      <c r="A179" s="136"/>
      <c r="B179" s="59" t="s">
        <v>124</v>
      </c>
      <c r="C179" s="113"/>
      <c r="D179" s="59"/>
      <c r="E179" s="113"/>
      <c r="F179" s="27"/>
      <c r="G179" s="113"/>
      <c r="H179" s="59">
        <v>1438</v>
      </c>
      <c r="I179" s="113">
        <f>H179/H184</f>
        <v>0.8278641335636154</v>
      </c>
      <c r="J179" s="58">
        <v>58426</v>
      </c>
      <c r="K179" s="113">
        <f>J179/J184</f>
        <v>0.7932602881077485</v>
      </c>
      <c r="L179" s="97"/>
      <c r="M179" s="105"/>
      <c r="N179" s="138"/>
    </row>
    <row r="180" spans="1:14" ht="15.75">
      <c r="A180" s="136"/>
      <c r="B180" s="59" t="s">
        <v>125</v>
      </c>
      <c r="C180" s="113"/>
      <c r="D180" s="59"/>
      <c r="E180" s="113"/>
      <c r="F180" s="27"/>
      <c r="G180" s="115"/>
      <c r="H180" s="59">
        <v>38</v>
      </c>
      <c r="I180" s="113">
        <f>H180/H184</f>
        <v>0.021876799078871616</v>
      </c>
      <c r="J180" s="58">
        <v>1610</v>
      </c>
      <c r="K180" s="113">
        <f>J180/J184</f>
        <v>0.02185925895754416</v>
      </c>
      <c r="L180" s="97"/>
      <c r="M180" s="105"/>
      <c r="N180" s="138"/>
    </row>
    <row r="181" spans="1:14" ht="15.75">
      <c r="A181" s="136"/>
      <c r="B181" s="59" t="s">
        <v>126</v>
      </c>
      <c r="C181" s="113"/>
      <c r="D181" s="59"/>
      <c r="E181" s="113"/>
      <c r="F181" s="27"/>
      <c r="G181" s="115"/>
      <c r="H181" s="59">
        <v>34</v>
      </c>
      <c r="I181" s="113">
        <f>H181/H184</f>
        <v>0.01957397812320092</v>
      </c>
      <c r="J181" s="58">
        <v>1444</v>
      </c>
      <c r="K181" s="113">
        <f>J181/J184</f>
        <v>0.019605447164406067</v>
      </c>
      <c r="L181" s="97"/>
      <c r="M181" s="105"/>
      <c r="N181" s="138"/>
    </row>
    <row r="182" spans="1:14" ht="15.75">
      <c r="A182" s="136"/>
      <c r="B182" s="59" t="s">
        <v>127</v>
      </c>
      <c r="C182" s="113"/>
      <c r="D182" s="59"/>
      <c r="E182" s="113"/>
      <c r="F182" s="27"/>
      <c r="G182" s="115"/>
      <c r="H182" s="59">
        <f>17+13+20+177</f>
        <v>227</v>
      </c>
      <c r="I182" s="113">
        <f>H182/H184</f>
        <v>0.13068508923431202</v>
      </c>
      <c r="J182" s="58">
        <f>771+1056+960+9386</f>
        <v>12173</v>
      </c>
      <c r="K182" s="113">
        <f>J182/J184</f>
        <v>0.16527500577030127</v>
      </c>
      <c r="L182" s="97"/>
      <c r="M182" s="105"/>
      <c r="N182" s="138"/>
    </row>
    <row r="183" spans="1:14" ht="15.75">
      <c r="A183" s="136"/>
      <c r="B183" s="59"/>
      <c r="C183" s="116"/>
      <c r="D183" s="102"/>
      <c r="E183" s="116"/>
      <c r="F183" s="27"/>
      <c r="G183" s="116"/>
      <c r="H183" s="102"/>
      <c r="I183" s="116"/>
      <c r="J183" s="58"/>
      <c r="K183" s="113"/>
      <c r="L183" s="97"/>
      <c r="M183" s="105"/>
      <c r="N183" s="138"/>
    </row>
    <row r="184" spans="1:14" ht="15.75">
      <c r="A184" s="136"/>
      <c r="B184" s="27" t="s">
        <v>189</v>
      </c>
      <c r="C184" s="27"/>
      <c r="D184" s="27"/>
      <c r="E184" s="27"/>
      <c r="F184" s="27"/>
      <c r="G184" s="27"/>
      <c r="H184" s="57">
        <f>SUM(H179:H182)</f>
        <v>1737</v>
      </c>
      <c r="I184" s="114">
        <f>SUM(I179:I182)</f>
        <v>1</v>
      </c>
      <c r="J184" s="58">
        <f>SUM(J179:J183)</f>
        <v>73653</v>
      </c>
      <c r="K184" s="114">
        <f>SUM(K179:K183)</f>
        <v>1</v>
      </c>
      <c r="L184" s="97"/>
      <c r="M184" s="27"/>
      <c r="N184" s="138"/>
    </row>
    <row r="185" spans="1:14" ht="15.75">
      <c r="A185" s="136"/>
      <c r="B185" s="27"/>
      <c r="C185" s="27"/>
      <c r="D185" s="27"/>
      <c r="E185" s="27"/>
      <c r="F185" s="27"/>
      <c r="G185" s="27"/>
      <c r="H185" s="57"/>
      <c r="I185" s="114"/>
      <c r="J185" s="58"/>
      <c r="K185" s="114"/>
      <c r="L185" s="97"/>
      <c r="M185" s="27"/>
      <c r="N185" s="138"/>
    </row>
    <row r="186" spans="1:14" ht="15.75">
      <c r="A186" s="119"/>
      <c r="B186" s="10"/>
      <c r="C186" s="10"/>
      <c r="D186" s="10"/>
      <c r="E186" s="10"/>
      <c r="F186" s="10"/>
      <c r="G186" s="10"/>
      <c r="H186" s="60"/>
      <c r="I186" s="117"/>
      <c r="J186" s="118"/>
      <c r="K186" s="117"/>
      <c r="L186" s="79"/>
      <c r="M186" s="10"/>
      <c r="N186" s="138"/>
    </row>
    <row r="187" spans="1:14" ht="15.75">
      <c r="A187" s="119"/>
      <c r="B187" s="17" t="s">
        <v>129</v>
      </c>
      <c r="C187" s="120"/>
      <c r="D187" s="20" t="s">
        <v>144</v>
      </c>
      <c r="E187" s="18"/>
      <c r="F187" s="17" t="s">
        <v>154</v>
      </c>
      <c r="G187" s="121"/>
      <c r="H187" s="121"/>
      <c r="I187" s="121"/>
      <c r="J187" s="121"/>
      <c r="K187" s="15"/>
      <c r="L187" s="15"/>
      <c r="M187" s="15"/>
      <c r="N187" s="138"/>
    </row>
    <row r="188" spans="1:14" ht="15.75">
      <c r="A188" s="119"/>
      <c r="B188" s="15"/>
      <c r="C188" s="15"/>
      <c r="D188" s="10"/>
      <c r="E188" s="10"/>
      <c r="F188" s="10"/>
      <c r="G188" s="15"/>
      <c r="H188" s="15"/>
      <c r="I188" s="15"/>
      <c r="J188" s="15"/>
      <c r="K188" s="15"/>
      <c r="L188" s="15"/>
      <c r="M188" s="15"/>
      <c r="N188" s="138"/>
    </row>
    <row r="189" spans="1:14" ht="15.75">
      <c r="A189" s="119"/>
      <c r="B189" s="16" t="s">
        <v>130</v>
      </c>
      <c r="C189" s="124"/>
      <c r="D189" s="125" t="s">
        <v>145</v>
      </c>
      <c r="E189" s="16"/>
      <c r="F189" s="16" t="s">
        <v>155</v>
      </c>
      <c r="G189" s="124"/>
      <c r="H189" s="124"/>
      <c r="I189" s="124"/>
      <c r="J189" s="124"/>
      <c r="K189" s="15"/>
      <c r="L189" s="15"/>
      <c r="M189" s="15"/>
      <c r="N189" s="138"/>
    </row>
    <row r="190" spans="1:14" ht="15.75">
      <c r="A190" s="119"/>
      <c r="B190" s="16" t="s">
        <v>131</v>
      </c>
      <c r="C190" s="124"/>
      <c r="D190" s="125" t="s">
        <v>146</v>
      </c>
      <c r="E190" s="16"/>
      <c r="F190" s="16" t="s">
        <v>156</v>
      </c>
      <c r="G190" s="124"/>
      <c r="H190" s="124"/>
      <c r="I190" s="124"/>
      <c r="J190" s="124"/>
      <c r="K190" s="15"/>
      <c r="L190" s="15"/>
      <c r="M190" s="15"/>
      <c r="N190" s="138"/>
    </row>
    <row r="191" spans="1:13" ht="15">
      <c r="A191" s="141"/>
      <c r="B191" s="141"/>
      <c r="C191" s="141"/>
      <c r="D191" s="141"/>
      <c r="E191" s="141"/>
      <c r="F191" s="141"/>
      <c r="G191" s="141"/>
      <c r="H191" s="141"/>
      <c r="I191" s="141"/>
      <c r="J191" s="141"/>
      <c r="K191" s="141"/>
      <c r="L191" s="141"/>
      <c r="M191" s="141"/>
    </row>
  </sheetData>
  <printOptions/>
  <pageMargins left="0.5" right="0.5" top="0.3" bottom="0.3423611111111111" header="0" footer="0"/>
  <pageSetup orientation="landscape" paperSize="9" scale="63"/>
  <headerFooter alignWithMargins="0">
    <oddFooter>&amp;LFFP1 INVESTOR REPORT QTR END AUGUST 2001</oddFooter>
  </headerFooter>
</worksheet>
</file>

<file path=xl/worksheets/sheet2.xml><?xml version="1.0" encoding="utf-8"?>
<worksheet xmlns="http://schemas.openxmlformats.org/spreadsheetml/2006/main" xmlns:r="http://schemas.openxmlformats.org/officeDocument/2006/relationships">
  <dimension ref="A1:T191"/>
  <sheetViews>
    <sheetView showOutlineSymbols="0" zoomScale="70" zoomScaleNormal="70" workbookViewId="0" topLeftCell="C1">
      <selection activeCell="N9" sqref="N9"/>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9.6640625" style="1" customWidth="1"/>
    <col min="12" max="12" width="13.6640625" style="1" customWidth="1"/>
    <col min="13" max="13" width="18.6640625" style="1" customWidth="1"/>
    <col min="14" max="16384" width="9.6640625" style="1" customWidth="1"/>
  </cols>
  <sheetData>
    <row r="1" spans="1:20" ht="20.25">
      <c r="A1" s="2"/>
      <c r="B1" s="3" t="s">
        <v>0</v>
      </c>
      <c r="C1" s="4"/>
      <c r="D1" s="5"/>
      <c r="E1" s="5"/>
      <c r="F1" s="5"/>
      <c r="G1" s="5"/>
      <c r="H1" s="5"/>
      <c r="I1" s="5"/>
      <c r="J1" s="5"/>
      <c r="K1" s="5"/>
      <c r="L1" s="5"/>
      <c r="M1" s="5"/>
      <c r="N1" s="6"/>
      <c r="O1" s="7"/>
      <c r="P1" s="7"/>
      <c r="Q1" s="7"/>
      <c r="R1" s="7"/>
      <c r="S1" s="7"/>
      <c r="T1" s="7"/>
    </row>
    <row r="2" spans="1:20" ht="15.75">
      <c r="A2" s="8"/>
      <c r="B2" s="9"/>
      <c r="C2" s="9"/>
      <c r="D2" s="10"/>
      <c r="E2" s="10"/>
      <c r="F2" s="10"/>
      <c r="G2" s="10"/>
      <c r="H2" s="10"/>
      <c r="I2" s="10"/>
      <c r="J2" s="10"/>
      <c r="K2" s="10"/>
      <c r="L2" s="10"/>
      <c r="M2" s="10"/>
      <c r="N2" s="6"/>
      <c r="O2" s="7"/>
      <c r="P2" s="7"/>
      <c r="Q2" s="7"/>
      <c r="R2" s="7"/>
      <c r="S2" s="7"/>
      <c r="T2" s="7"/>
    </row>
    <row r="3" spans="1:20" ht="15.75">
      <c r="A3" s="11"/>
      <c r="B3" s="12" t="s">
        <v>1</v>
      </c>
      <c r="C3" s="10"/>
      <c r="D3" s="10"/>
      <c r="E3" s="10"/>
      <c r="F3" s="10"/>
      <c r="G3" s="10"/>
      <c r="H3" s="10"/>
      <c r="I3" s="10"/>
      <c r="J3" s="10"/>
      <c r="K3" s="10"/>
      <c r="L3" s="10"/>
      <c r="M3" s="10"/>
      <c r="N3" s="6"/>
      <c r="O3" s="7"/>
      <c r="P3" s="7"/>
      <c r="Q3" s="7"/>
      <c r="R3" s="7"/>
      <c r="S3" s="7"/>
      <c r="T3" s="7"/>
    </row>
    <row r="4" spans="1:20" ht="15.75">
      <c r="A4" s="8"/>
      <c r="B4" s="9"/>
      <c r="C4" s="9"/>
      <c r="D4" s="10"/>
      <c r="E4" s="10"/>
      <c r="F4" s="10"/>
      <c r="G4" s="10"/>
      <c r="H4" s="10"/>
      <c r="I4" s="10"/>
      <c r="J4" s="10"/>
      <c r="K4" s="10"/>
      <c r="L4" s="10"/>
      <c r="M4" s="10"/>
      <c r="N4" s="6"/>
      <c r="O4" s="7"/>
      <c r="P4" s="7"/>
      <c r="Q4" s="7"/>
      <c r="R4" s="7"/>
      <c r="S4" s="7"/>
      <c r="T4" s="7"/>
    </row>
    <row r="5" spans="1:20" ht="12" customHeight="1">
      <c r="A5" s="8"/>
      <c r="B5" s="13" t="s">
        <v>2</v>
      </c>
      <c r="C5" s="14"/>
      <c r="D5" s="10"/>
      <c r="E5" s="10"/>
      <c r="F5" s="10"/>
      <c r="G5" s="10"/>
      <c r="H5" s="10"/>
      <c r="I5" s="10"/>
      <c r="J5" s="10"/>
      <c r="K5" s="10"/>
      <c r="L5" s="10"/>
      <c r="M5" s="10"/>
      <c r="N5" s="6"/>
      <c r="O5" s="7"/>
      <c r="P5" s="7"/>
      <c r="Q5" s="7"/>
      <c r="R5" s="7"/>
      <c r="S5" s="7"/>
      <c r="T5" s="7"/>
    </row>
    <row r="6" spans="1:20" ht="12" customHeight="1">
      <c r="A6" s="8"/>
      <c r="B6" s="13" t="s">
        <v>3</v>
      </c>
      <c r="C6" s="14"/>
      <c r="D6" s="10"/>
      <c r="E6" s="10"/>
      <c r="F6" s="10"/>
      <c r="G6" s="10"/>
      <c r="H6" s="10"/>
      <c r="I6" s="10"/>
      <c r="J6" s="10"/>
      <c r="K6" s="10"/>
      <c r="L6" s="10"/>
      <c r="M6" s="10"/>
      <c r="N6" s="6"/>
      <c r="O6" s="7"/>
      <c r="P6" s="7"/>
      <c r="Q6" s="7"/>
      <c r="R6" s="7"/>
      <c r="S6" s="7"/>
      <c r="T6" s="7"/>
    </row>
    <row r="7" spans="1:20" ht="12" customHeight="1">
      <c r="A7" s="8"/>
      <c r="B7" s="13" t="s">
        <v>4</v>
      </c>
      <c r="C7" s="14"/>
      <c r="D7" s="10"/>
      <c r="E7" s="10"/>
      <c r="F7" s="10"/>
      <c r="G7" s="10"/>
      <c r="H7" s="10"/>
      <c r="I7" s="10"/>
      <c r="J7" s="10"/>
      <c r="K7" s="10"/>
      <c r="L7" s="10"/>
      <c r="M7" s="10"/>
      <c r="N7" s="6"/>
      <c r="O7" s="7"/>
      <c r="P7" s="7"/>
      <c r="Q7" s="7"/>
      <c r="R7" s="7"/>
      <c r="S7" s="7"/>
      <c r="T7" s="7"/>
    </row>
    <row r="8" spans="1:20" ht="12" customHeight="1">
      <c r="A8" s="8"/>
      <c r="B8" s="15"/>
      <c r="C8" s="14"/>
      <c r="D8" s="10"/>
      <c r="E8" s="10"/>
      <c r="F8" s="10"/>
      <c r="G8" s="10"/>
      <c r="H8" s="10"/>
      <c r="I8" s="10"/>
      <c r="J8" s="10"/>
      <c r="K8" s="10"/>
      <c r="L8" s="10"/>
      <c r="M8" s="10"/>
      <c r="N8" s="6"/>
      <c r="O8" s="7"/>
      <c r="P8" s="7"/>
      <c r="Q8" s="7"/>
      <c r="R8" s="7"/>
      <c r="S8" s="7"/>
      <c r="T8" s="7"/>
    </row>
    <row r="9" spans="1:20" ht="15.75">
      <c r="A9" s="8"/>
      <c r="B9" s="14"/>
      <c r="C9" s="14"/>
      <c r="D9" s="16"/>
      <c r="E9" s="16"/>
      <c r="F9" s="10"/>
      <c r="G9" s="10"/>
      <c r="H9" s="10"/>
      <c r="I9" s="10"/>
      <c r="J9" s="10"/>
      <c r="K9" s="10"/>
      <c r="L9" s="10"/>
      <c r="M9" s="10"/>
      <c r="N9" s="6"/>
      <c r="O9" s="7"/>
      <c r="P9" s="7"/>
      <c r="Q9" s="7"/>
      <c r="R9" s="7"/>
      <c r="S9" s="7"/>
      <c r="T9" s="7"/>
    </row>
    <row r="10" spans="1:20" ht="15.75">
      <c r="A10" s="8"/>
      <c r="B10" s="16" t="s">
        <v>5</v>
      </c>
      <c r="C10" s="16"/>
      <c r="D10" s="10"/>
      <c r="E10" s="10"/>
      <c r="F10" s="10"/>
      <c r="G10" s="10"/>
      <c r="H10" s="10"/>
      <c r="I10" s="10"/>
      <c r="J10" s="10"/>
      <c r="K10" s="10"/>
      <c r="L10" s="10"/>
      <c r="M10" s="10"/>
      <c r="N10" s="6"/>
      <c r="O10" s="7"/>
      <c r="P10" s="7"/>
      <c r="Q10" s="7"/>
      <c r="R10" s="7"/>
      <c r="S10" s="7"/>
      <c r="T10" s="7"/>
    </row>
    <row r="11" spans="1:20" ht="15.75">
      <c r="A11" s="8"/>
      <c r="B11" s="16"/>
      <c r="C11" s="16"/>
      <c r="D11" s="10"/>
      <c r="E11" s="10"/>
      <c r="F11" s="10"/>
      <c r="G11" s="10"/>
      <c r="H11" s="10"/>
      <c r="I11" s="10"/>
      <c r="J11" s="10"/>
      <c r="K11" s="10"/>
      <c r="L11" s="10"/>
      <c r="M11" s="10"/>
      <c r="N11" s="6"/>
      <c r="O11" s="7"/>
      <c r="P11" s="7"/>
      <c r="Q11" s="7"/>
      <c r="R11" s="7"/>
      <c r="S11" s="7"/>
      <c r="T11" s="7"/>
    </row>
    <row r="12" spans="1:20" ht="15.75">
      <c r="A12" s="2"/>
      <c r="B12" s="5"/>
      <c r="C12" s="5"/>
      <c r="D12" s="5"/>
      <c r="E12" s="5"/>
      <c r="F12" s="5"/>
      <c r="G12" s="5"/>
      <c r="H12" s="5"/>
      <c r="I12" s="5"/>
      <c r="J12" s="5"/>
      <c r="K12" s="5"/>
      <c r="L12" s="5"/>
      <c r="M12" s="5"/>
      <c r="N12" s="6"/>
      <c r="O12" s="7"/>
      <c r="P12" s="7"/>
      <c r="Q12" s="7"/>
      <c r="R12" s="7"/>
      <c r="S12" s="7"/>
      <c r="T12" s="7"/>
    </row>
    <row r="13" spans="1:20" ht="15.75">
      <c r="A13" s="8"/>
      <c r="B13" s="17" t="s">
        <v>6</v>
      </c>
      <c r="C13" s="17"/>
      <c r="D13" s="18"/>
      <c r="E13" s="18"/>
      <c r="F13" s="18"/>
      <c r="G13" s="18"/>
      <c r="H13" s="18"/>
      <c r="I13" s="18"/>
      <c r="J13" s="18"/>
      <c r="K13" s="18"/>
      <c r="L13" s="19" t="s">
        <v>183</v>
      </c>
      <c r="M13" s="10"/>
      <c r="N13" s="6"/>
      <c r="O13" s="7"/>
      <c r="P13" s="7"/>
      <c r="Q13" s="7"/>
      <c r="R13" s="7"/>
      <c r="S13" s="7"/>
      <c r="T13" s="7"/>
    </row>
    <row r="14" spans="1:20" ht="15.75">
      <c r="A14" s="8"/>
      <c r="B14" s="17" t="s">
        <v>7</v>
      </c>
      <c r="C14" s="17"/>
      <c r="D14" s="18"/>
      <c r="E14" s="18"/>
      <c r="F14" s="18"/>
      <c r="G14" s="18"/>
      <c r="H14" s="18"/>
      <c r="I14" s="18"/>
      <c r="J14" s="18"/>
      <c r="K14" s="18"/>
      <c r="L14" s="20" t="s">
        <v>184</v>
      </c>
      <c r="M14" s="10"/>
      <c r="N14" s="6"/>
      <c r="O14" s="7"/>
      <c r="P14" s="7"/>
      <c r="Q14" s="7"/>
      <c r="R14" s="7"/>
      <c r="S14" s="7"/>
      <c r="T14" s="7"/>
    </row>
    <row r="15" spans="1:20" ht="15.75">
      <c r="A15" s="8"/>
      <c r="B15" s="17" t="s">
        <v>8</v>
      </c>
      <c r="C15" s="17"/>
      <c r="D15" s="18"/>
      <c r="E15" s="18"/>
      <c r="F15" s="18"/>
      <c r="G15" s="18"/>
      <c r="H15" s="18"/>
      <c r="I15" s="18"/>
      <c r="J15" s="18"/>
      <c r="K15" s="18"/>
      <c r="L15" s="21">
        <v>36406</v>
      </c>
      <c r="M15" s="10"/>
      <c r="N15" s="6"/>
      <c r="O15" s="7"/>
      <c r="P15" s="7"/>
      <c r="Q15" s="7"/>
      <c r="R15" s="7"/>
      <c r="S15" s="7"/>
      <c r="T15" s="7"/>
    </row>
    <row r="16" spans="1:20" ht="15.75">
      <c r="A16" s="8"/>
      <c r="B16" s="10"/>
      <c r="C16" s="10"/>
      <c r="D16" s="10"/>
      <c r="E16" s="10"/>
      <c r="F16" s="10"/>
      <c r="G16" s="10"/>
      <c r="H16" s="10"/>
      <c r="I16" s="10"/>
      <c r="J16" s="10"/>
      <c r="K16" s="10"/>
      <c r="L16" s="22"/>
      <c r="M16" s="10"/>
      <c r="N16" s="6"/>
      <c r="O16" s="7"/>
      <c r="P16" s="7"/>
      <c r="Q16" s="7"/>
      <c r="R16" s="7"/>
      <c r="S16" s="7"/>
      <c r="T16" s="7"/>
    </row>
    <row r="17" spans="1:20" ht="15.75">
      <c r="A17" s="8"/>
      <c r="B17" s="10" t="s">
        <v>9</v>
      </c>
      <c r="C17" s="10"/>
      <c r="D17" s="10"/>
      <c r="E17" s="10"/>
      <c r="F17" s="10"/>
      <c r="G17" s="10"/>
      <c r="H17" s="10"/>
      <c r="I17" s="10"/>
      <c r="J17" s="22" t="s">
        <v>166</v>
      </c>
      <c r="K17" s="10"/>
      <c r="L17" s="15"/>
      <c r="M17" s="10"/>
      <c r="N17" s="6"/>
      <c r="O17" s="7"/>
      <c r="P17" s="7"/>
      <c r="Q17" s="7"/>
      <c r="R17" s="7"/>
      <c r="S17" s="7"/>
      <c r="T17" s="7"/>
    </row>
    <row r="18" spans="1:20" ht="15.75">
      <c r="A18" s="8"/>
      <c r="B18" s="10"/>
      <c r="C18" s="10"/>
      <c r="D18" s="10"/>
      <c r="E18" s="10"/>
      <c r="F18" s="10"/>
      <c r="G18" s="10"/>
      <c r="H18" s="10"/>
      <c r="I18" s="10"/>
      <c r="J18" s="10"/>
      <c r="K18" s="10"/>
      <c r="L18" s="23"/>
      <c r="M18" s="10"/>
      <c r="N18" s="6"/>
      <c r="O18" s="7"/>
      <c r="P18" s="7"/>
      <c r="Q18" s="7"/>
      <c r="R18" s="7"/>
      <c r="S18" s="7"/>
      <c r="T18" s="7"/>
    </row>
    <row r="19" spans="1:20" ht="15.75">
      <c r="A19" s="8"/>
      <c r="B19" s="10"/>
      <c r="C19" s="24" t="s">
        <v>132</v>
      </c>
      <c r="D19" s="25" t="s">
        <v>135</v>
      </c>
      <c r="E19" s="25"/>
      <c r="F19" s="25" t="s">
        <v>147</v>
      </c>
      <c r="G19" s="25"/>
      <c r="H19" s="25" t="s">
        <v>157</v>
      </c>
      <c r="I19" s="25"/>
      <c r="J19" s="25" t="s">
        <v>167</v>
      </c>
      <c r="K19" s="15"/>
      <c r="L19" s="15"/>
      <c r="M19" s="10"/>
      <c r="N19" s="6"/>
      <c r="O19" s="7"/>
      <c r="P19" s="7"/>
      <c r="Q19" s="7"/>
      <c r="R19" s="7"/>
      <c r="S19" s="7"/>
      <c r="T19" s="7"/>
    </row>
    <row r="20" spans="1:20" ht="15.75">
      <c r="A20" s="26"/>
      <c r="B20" s="27" t="s">
        <v>10</v>
      </c>
      <c r="C20" s="28" t="s">
        <v>133</v>
      </c>
      <c r="D20" s="29" t="s">
        <v>136</v>
      </c>
      <c r="E20" s="29"/>
      <c r="F20" s="29" t="s">
        <v>136</v>
      </c>
      <c r="G20" s="29"/>
      <c r="H20" s="29" t="s">
        <v>158</v>
      </c>
      <c r="I20" s="29"/>
      <c r="J20" s="29" t="s">
        <v>168</v>
      </c>
      <c r="K20" s="30"/>
      <c r="L20" s="30"/>
      <c r="M20" s="27"/>
      <c r="N20" s="6"/>
      <c r="O20" s="7"/>
      <c r="P20" s="7"/>
      <c r="Q20" s="7"/>
      <c r="R20" s="7"/>
      <c r="S20" s="7"/>
      <c r="T20" s="7"/>
    </row>
    <row r="21" spans="1:20" ht="15.75">
      <c r="A21" s="129"/>
      <c r="B21" s="31" t="s">
        <v>11</v>
      </c>
      <c r="C21" s="31"/>
      <c r="D21" s="32" t="s">
        <v>136</v>
      </c>
      <c r="E21" s="32"/>
      <c r="F21" s="32" t="s">
        <v>136</v>
      </c>
      <c r="G21" s="32"/>
      <c r="H21" s="32" t="s">
        <v>158</v>
      </c>
      <c r="I21" s="32"/>
      <c r="J21" s="32" t="s">
        <v>168</v>
      </c>
      <c r="K21" s="130"/>
      <c r="L21" s="130"/>
      <c r="M21" s="27"/>
      <c r="N21" s="6"/>
      <c r="O21" s="7"/>
      <c r="P21" s="7"/>
      <c r="Q21" s="7"/>
      <c r="R21" s="7"/>
      <c r="S21" s="7"/>
      <c r="T21" s="7"/>
    </row>
    <row r="22" spans="1:20" ht="15.75">
      <c r="A22" s="26"/>
      <c r="B22" s="27" t="s">
        <v>12</v>
      </c>
      <c r="C22" s="27"/>
      <c r="D22" s="33" t="s">
        <v>137</v>
      </c>
      <c r="E22" s="29"/>
      <c r="F22" s="33" t="s">
        <v>148</v>
      </c>
      <c r="G22" s="29"/>
      <c r="H22" s="33" t="s">
        <v>159</v>
      </c>
      <c r="I22" s="29"/>
      <c r="J22" s="33" t="s">
        <v>169</v>
      </c>
      <c r="K22" s="30"/>
      <c r="L22" s="30"/>
      <c r="M22" s="27"/>
      <c r="N22" s="6"/>
      <c r="O22" s="7"/>
      <c r="P22" s="7"/>
      <c r="Q22" s="7"/>
      <c r="R22" s="7"/>
      <c r="S22" s="7"/>
      <c r="T22" s="7"/>
    </row>
    <row r="23" spans="1:20" ht="15.75">
      <c r="A23" s="26"/>
      <c r="B23" s="27"/>
      <c r="C23" s="27"/>
      <c r="D23" s="27"/>
      <c r="E23" s="29"/>
      <c r="F23" s="29"/>
      <c r="G23" s="29"/>
      <c r="H23" s="29"/>
      <c r="I23" s="29"/>
      <c r="J23" s="29"/>
      <c r="K23" s="30"/>
      <c r="L23" s="30"/>
      <c r="M23" s="27"/>
      <c r="N23" s="6"/>
      <c r="O23" s="7"/>
      <c r="P23" s="7"/>
      <c r="Q23" s="7"/>
      <c r="R23" s="7"/>
      <c r="S23" s="7"/>
      <c r="T23" s="7"/>
    </row>
    <row r="24" spans="1:20" ht="15.75">
      <c r="A24" s="26"/>
      <c r="B24" s="27" t="s">
        <v>13</v>
      </c>
      <c r="C24" s="27"/>
      <c r="D24" s="34">
        <v>67000</v>
      </c>
      <c r="E24" s="35"/>
      <c r="F24" s="34">
        <v>128780</v>
      </c>
      <c r="G24" s="34"/>
      <c r="H24" s="34">
        <v>16920</v>
      </c>
      <c r="I24" s="34"/>
      <c r="J24" s="34">
        <v>11290</v>
      </c>
      <c r="K24" s="36"/>
      <c r="L24" s="34">
        <f>J24+H24+F24+D24</f>
        <v>223990</v>
      </c>
      <c r="M24" s="37"/>
      <c r="N24" s="6"/>
      <c r="O24" s="7"/>
      <c r="P24" s="7"/>
      <c r="Q24" s="7"/>
      <c r="R24" s="7"/>
      <c r="S24" s="7"/>
      <c r="T24" s="7"/>
    </row>
    <row r="25" spans="1:20" ht="15.75">
      <c r="A25" s="26"/>
      <c r="B25" s="27" t="s">
        <v>14</v>
      </c>
      <c r="C25" s="27">
        <v>0.904899</v>
      </c>
      <c r="D25" s="34">
        <v>0</v>
      </c>
      <c r="E25" s="35"/>
      <c r="F25" s="34">
        <v>109294</v>
      </c>
      <c r="G25" s="34"/>
      <c r="H25" s="34">
        <v>16920</v>
      </c>
      <c r="I25" s="34"/>
      <c r="J25" s="34">
        <v>11290</v>
      </c>
      <c r="K25" s="36"/>
      <c r="L25" s="34">
        <f>J25+H25+F25+D25</f>
        <v>137504</v>
      </c>
      <c r="M25" s="37"/>
      <c r="N25" s="6"/>
      <c r="O25" s="7"/>
      <c r="P25" s="7"/>
      <c r="Q25" s="7"/>
      <c r="R25" s="7"/>
      <c r="S25" s="7"/>
      <c r="T25" s="7"/>
    </row>
    <row r="26" spans="1:20" ht="12.75" customHeight="1">
      <c r="A26" s="129"/>
      <c r="B26" s="31" t="s">
        <v>15</v>
      </c>
      <c r="C26" s="93">
        <v>0.822419</v>
      </c>
      <c r="D26" s="40">
        <v>0</v>
      </c>
      <c r="E26" s="41"/>
      <c r="F26" s="40">
        <v>99332</v>
      </c>
      <c r="G26" s="40"/>
      <c r="H26" s="40">
        <v>16920</v>
      </c>
      <c r="I26" s="40"/>
      <c r="J26" s="40">
        <v>11290</v>
      </c>
      <c r="K26" s="42"/>
      <c r="L26" s="40">
        <f>J26+H26+F26+D26</f>
        <v>127542</v>
      </c>
      <c r="M26" s="31"/>
      <c r="N26" s="6"/>
      <c r="O26" s="7"/>
      <c r="P26" s="7"/>
      <c r="Q26" s="7"/>
      <c r="R26" s="7"/>
      <c r="S26" s="7"/>
      <c r="T26" s="7"/>
    </row>
    <row r="27" spans="1:20" ht="15.75">
      <c r="A27" s="26"/>
      <c r="B27" s="27" t="s">
        <v>16</v>
      </c>
      <c r="C27" s="27"/>
      <c r="D27" s="33" t="s">
        <v>138</v>
      </c>
      <c r="E27" s="27"/>
      <c r="F27" s="33" t="s">
        <v>149</v>
      </c>
      <c r="G27" s="33"/>
      <c r="H27" s="33" t="s">
        <v>160</v>
      </c>
      <c r="I27" s="33"/>
      <c r="J27" s="33" t="s">
        <v>170</v>
      </c>
      <c r="K27" s="30"/>
      <c r="L27" s="30"/>
      <c r="M27" s="27"/>
      <c r="N27" s="6"/>
      <c r="O27" s="7"/>
      <c r="P27" s="7"/>
      <c r="Q27" s="7"/>
      <c r="R27" s="7"/>
      <c r="S27" s="7"/>
      <c r="T27" s="7"/>
    </row>
    <row r="28" spans="1:20" ht="15.75">
      <c r="A28" s="26"/>
      <c r="B28" s="27" t="s">
        <v>17</v>
      </c>
      <c r="C28" s="27"/>
      <c r="D28" s="33" t="s">
        <v>139</v>
      </c>
      <c r="E28" s="27"/>
      <c r="F28" s="43">
        <f>(5.37313+0.13)/100</f>
        <v>0.0550313</v>
      </c>
      <c r="G28" s="44"/>
      <c r="H28" s="43">
        <f>(5.37313+0.35)/100</f>
        <v>0.05723129999999999</v>
      </c>
      <c r="I28" s="44"/>
      <c r="J28" s="43">
        <f>(5.37313+0.69)/100</f>
        <v>0.06063129999999999</v>
      </c>
      <c r="K28" s="30"/>
      <c r="L28" s="44">
        <f>SUMPRODUCT(D28:J28,D25:J25)/L25</f>
        <v>0.055761809657900854</v>
      </c>
      <c r="M28" s="27"/>
      <c r="N28" s="6"/>
      <c r="O28" s="7"/>
      <c r="P28" s="7"/>
      <c r="Q28" s="7"/>
      <c r="R28" s="7"/>
      <c r="S28" s="7"/>
      <c r="T28" s="7"/>
    </row>
    <row r="29" spans="1:20" ht="15.75">
      <c r="A29" s="26"/>
      <c r="B29" s="27" t="s">
        <v>18</v>
      </c>
      <c r="C29" s="27"/>
      <c r="D29" s="33" t="s">
        <v>139</v>
      </c>
      <c r="E29" s="27"/>
      <c r="F29" s="43">
        <f>(5.46156+0.13)/100</f>
        <v>0.0559156</v>
      </c>
      <c r="G29" s="44"/>
      <c r="H29" s="43">
        <f>(5.46156+0.35)/100</f>
        <v>0.0581156</v>
      </c>
      <c r="I29" s="44"/>
      <c r="J29" s="43">
        <f>(5.46156+0.69)/100</f>
        <v>0.0615156</v>
      </c>
      <c r="K29" s="30"/>
      <c r="L29" s="30"/>
      <c r="M29" s="27"/>
      <c r="N29" s="6"/>
      <c r="O29" s="7"/>
      <c r="P29" s="7"/>
      <c r="Q29" s="7"/>
      <c r="R29" s="7"/>
      <c r="S29" s="7"/>
      <c r="T29" s="7"/>
    </row>
    <row r="30" spans="1:20" ht="15.75">
      <c r="A30" s="26"/>
      <c r="B30" s="27" t="s">
        <v>19</v>
      </c>
      <c r="C30" s="27"/>
      <c r="D30" s="33" t="s">
        <v>140</v>
      </c>
      <c r="E30" s="27"/>
      <c r="F30" s="33" t="s">
        <v>150</v>
      </c>
      <c r="G30" s="33"/>
      <c r="H30" s="33" t="s">
        <v>150</v>
      </c>
      <c r="I30" s="33"/>
      <c r="J30" s="33" t="s">
        <v>150</v>
      </c>
      <c r="K30" s="30"/>
      <c r="L30" s="30"/>
      <c r="M30" s="27"/>
      <c r="N30" s="6"/>
      <c r="O30" s="7"/>
      <c r="P30" s="7"/>
      <c r="Q30" s="7"/>
      <c r="R30" s="7"/>
      <c r="S30" s="7"/>
      <c r="T30" s="7"/>
    </row>
    <row r="31" spans="1:20" ht="15.75">
      <c r="A31" s="26"/>
      <c r="B31" s="27" t="s">
        <v>20</v>
      </c>
      <c r="C31" s="27"/>
      <c r="D31" s="33" t="s">
        <v>141</v>
      </c>
      <c r="E31" s="27"/>
      <c r="F31" s="33" t="s">
        <v>151</v>
      </c>
      <c r="G31" s="33"/>
      <c r="H31" s="33" t="s">
        <v>151</v>
      </c>
      <c r="I31" s="33"/>
      <c r="J31" s="33" t="s">
        <v>151</v>
      </c>
      <c r="K31" s="30"/>
      <c r="L31" s="30"/>
      <c r="M31" s="27"/>
      <c r="N31" s="6"/>
      <c r="O31" s="7"/>
      <c r="P31" s="7"/>
      <c r="Q31" s="7"/>
      <c r="R31" s="7"/>
      <c r="S31" s="7"/>
      <c r="T31" s="7"/>
    </row>
    <row r="32" spans="1:20" ht="15.75">
      <c r="A32" s="26"/>
      <c r="B32" s="27" t="s">
        <v>21</v>
      </c>
      <c r="C32" s="27"/>
      <c r="D32" s="33" t="s">
        <v>142</v>
      </c>
      <c r="E32" s="27"/>
      <c r="F32" s="33" t="s">
        <v>152</v>
      </c>
      <c r="G32" s="33"/>
      <c r="H32" s="33" t="s">
        <v>161</v>
      </c>
      <c r="I32" s="33"/>
      <c r="J32" s="33" t="s">
        <v>171</v>
      </c>
      <c r="K32" s="30"/>
      <c r="L32" s="30"/>
      <c r="M32" s="27"/>
      <c r="N32" s="6"/>
      <c r="O32" s="7"/>
      <c r="P32" s="7"/>
      <c r="Q32" s="7"/>
      <c r="R32" s="7"/>
      <c r="S32" s="7"/>
      <c r="T32" s="7"/>
    </row>
    <row r="33" spans="1:20" ht="15.75">
      <c r="A33" s="26"/>
      <c r="B33" s="27"/>
      <c r="C33" s="27"/>
      <c r="D33" s="45"/>
      <c r="E33" s="45"/>
      <c r="F33" s="27"/>
      <c r="G33" s="45"/>
      <c r="H33" s="45"/>
      <c r="I33" s="45"/>
      <c r="J33" s="45"/>
      <c r="K33" s="45"/>
      <c r="L33" s="45"/>
      <c r="M33" s="27"/>
      <c r="N33" s="6"/>
      <c r="O33" s="7"/>
      <c r="P33" s="7"/>
      <c r="Q33" s="7"/>
      <c r="R33" s="7"/>
      <c r="S33" s="7"/>
      <c r="T33" s="7"/>
    </row>
    <row r="34" spans="1:20" ht="15.75">
      <c r="A34" s="26"/>
      <c r="B34" s="27" t="s">
        <v>22</v>
      </c>
      <c r="C34" s="27"/>
      <c r="D34" s="27"/>
      <c r="E34" s="27"/>
      <c r="F34" s="27"/>
      <c r="G34" s="27"/>
      <c r="H34" s="27"/>
      <c r="I34" s="27"/>
      <c r="J34" s="27"/>
      <c r="K34" s="27"/>
      <c r="L34" s="44">
        <f>(H24+J24)/(D24+F24)</f>
        <v>0.14409030544488713</v>
      </c>
      <c r="M34" s="27"/>
      <c r="N34" s="6"/>
      <c r="O34" s="7"/>
      <c r="P34" s="7"/>
      <c r="Q34" s="7"/>
      <c r="R34" s="7"/>
      <c r="S34" s="7"/>
      <c r="T34" s="7"/>
    </row>
    <row r="35" spans="1:20" ht="15.75">
      <c r="A35" s="26"/>
      <c r="B35" s="27" t="s">
        <v>23</v>
      </c>
      <c r="C35" s="27"/>
      <c r="D35" s="27"/>
      <c r="E35" s="27"/>
      <c r="F35" s="27"/>
      <c r="G35" s="27"/>
      <c r="H35" s="27"/>
      <c r="I35" s="27"/>
      <c r="J35" s="27"/>
      <c r="K35" s="27"/>
      <c r="L35" s="44">
        <f>(H26+J26)/(D26+F26)</f>
        <v>0.2839971006322233</v>
      </c>
      <c r="M35" s="27"/>
      <c r="N35" s="6"/>
      <c r="O35" s="7"/>
      <c r="P35" s="7"/>
      <c r="Q35" s="7"/>
      <c r="R35" s="7"/>
      <c r="S35" s="7"/>
      <c r="T35" s="7"/>
    </row>
    <row r="36" spans="1:20" ht="15.75">
      <c r="A36" s="26"/>
      <c r="B36" s="27" t="s">
        <v>24</v>
      </c>
      <c r="C36" s="27"/>
      <c r="D36" s="27"/>
      <c r="E36" s="27"/>
      <c r="F36" s="27"/>
      <c r="G36" s="27"/>
      <c r="H36" s="27"/>
      <c r="I36" s="27"/>
      <c r="J36" s="33" t="s">
        <v>172</v>
      </c>
      <c r="K36" s="33" t="s">
        <v>182</v>
      </c>
      <c r="L36" s="34">
        <v>83785000</v>
      </c>
      <c r="M36" s="27"/>
      <c r="N36" s="6"/>
      <c r="O36" s="7"/>
      <c r="P36" s="7"/>
      <c r="Q36" s="7"/>
      <c r="R36" s="7"/>
      <c r="S36" s="7"/>
      <c r="T36" s="7"/>
    </row>
    <row r="37" spans="1:20" ht="15.75">
      <c r="A37" s="26"/>
      <c r="B37" s="27"/>
      <c r="C37" s="27"/>
      <c r="D37" s="27"/>
      <c r="E37" s="27"/>
      <c r="F37" s="27"/>
      <c r="G37" s="27"/>
      <c r="H37" s="27"/>
      <c r="I37" s="27"/>
      <c r="J37" s="27"/>
      <c r="K37" s="27"/>
      <c r="L37" s="46"/>
      <c r="M37" s="27"/>
      <c r="N37" s="6"/>
      <c r="O37" s="7"/>
      <c r="P37" s="7"/>
      <c r="Q37" s="7"/>
      <c r="R37" s="7"/>
      <c r="S37" s="7"/>
      <c r="T37" s="7"/>
    </row>
    <row r="38" spans="1:20" ht="15.75">
      <c r="A38" s="26"/>
      <c r="B38" s="27" t="s">
        <v>25</v>
      </c>
      <c r="C38" s="27"/>
      <c r="D38" s="27"/>
      <c r="E38" s="27"/>
      <c r="F38" s="27"/>
      <c r="G38" s="27"/>
      <c r="H38" s="27"/>
      <c r="I38" s="27"/>
      <c r="J38" s="33"/>
      <c r="K38" s="33"/>
      <c r="L38" s="33" t="s">
        <v>185</v>
      </c>
      <c r="M38" s="27"/>
      <c r="N38" s="6"/>
      <c r="O38" s="7"/>
      <c r="P38" s="7"/>
      <c r="Q38" s="7"/>
      <c r="R38" s="7"/>
      <c r="S38" s="7"/>
      <c r="T38" s="7"/>
    </row>
    <row r="39" spans="1:20" ht="15.75">
      <c r="A39" s="26"/>
      <c r="B39" s="31" t="s">
        <v>26</v>
      </c>
      <c r="C39" s="31"/>
      <c r="D39" s="31"/>
      <c r="E39" s="31"/>
      <c r="F39" s="31"/>
      <c r="G39" s="31"/>
      <c r="H39" s="31"/>
      <c r="I39" s="31"/>
      <c r="J39" s="47"/>
      <c r="K39" s="47"/>
      <c r="L39" s="48">
        <v>36403</v>
      </c>
      <c r="M39" s="31"/>
      <c r="N39" s="6"/>
      <c r="O39" s="7"/>
      <c r="P39" s="7"/>
      <c r="Q39" s="7"/>
      <c r="R39" s="7"/>
      <c r="S39" s="7"/>
      <c r="T39" s="7"/>
    </row>
    <row r="40" spans="1:20" ht="15.75">
      <c r="A40" s="26"/>
      <c r="B40" s="27" t="s">
        <v>27</v>
      </c>
      <c r="C40" s="27"/>
      <c r="D40" s="27"/>
      <c r="E40" s="27"/>
      <c r="F40" s="27"/>
      <c r="G40" s="27"/>
      <c r="H40" s="30"/>
      <c r="I40" s="27">
        <f>L40-J40+1</f>
        <v>91</v>
      </c>
      <c r="J40" s="49">
        <v>36217</v>
      </c>
      <c r="K40" s="50"/>
      <c r="L40" s="49">
        <v>36307</v>
      </c>
      <c r="M40" s="27"/>
      <c r="N40" s="6"/>
      <c r="O40" s="7"/>
      <c r="P40" s="7"/>
      <c r="Q40" s="7"/>
      <c r="R40" s="7"/>
      <c r="S40" s="7"/>
      <c r="T40" s="7"/>
    </row>
    <row r="41" spans="1:20" ht="15.75">
      <c r="A41" s="26"/>
      <c r="B41" s="27" t="s">
        <v>28</v>
      </c>
      <c r="C41" s="27"/>
      <c r="D41" s="27"/>
      <c r="E41" s="27"/>
      <c r="F41" s="27"/>
      <c r="G41" s="27"/>
      <c r="H41" s="30"/>
      <c r="I41" s="27">
        <f>L41-J41+1</f>
        <v>95</v>
      </c>
      <c r="J41" s="49">
        <v>36308</v>
      </c>
      <c r="K41" s="50"/>
      <c r="L41" s="49">
        <v>36402</v>
      </c>
      <c r="M41" s="27"/>
      <c r="N41" s="6"/>
      <c r="O41" s="7"/>
      <c r="P41" s="7"/>
      <c r="Q41" s="7"/>
      <c r="R41" s="7"/>
      <c r="S41" s="7"/>
      <c r="T41" s="7"/>
    </row>
    <row r="42" spans="1:20" ht="15.75">
      <c r="A42" s="26"/>
      <c r="B42" s="27" t="s">
        <v>29</v>
      </c>
      <c r="C42" s="27"/>
      <c r="D42" s="27"/>
      <c r="E42" s="27"/>
      <c r="F42" s="27"/>
      <c r="G42" s="27"/>
      <c r="H42" s="27"/>
      <c r="I42" s="27"/>
      <c r="J42" s="49"/>
      <c r="K42" s="50"/>
      <c r="L42" s="49" t="s">
        <v>186</v>
      </c>
      <c r="M42" s="27"/>
      <c r="N42" s="6"/>
      <c r="O42" s="7"/>
      <c r="P42" s="7"/>
      <c r="Q42" s="7"/>
      <c r="R42" s="7"/>
      <c r="S42" s="7"/>
      <c r="T42" s="7"/>
    </row>
    <row r="43" spans="1:20" ht="15.75">
      <c r="A43" s="26"/>
      <c r="B43" s="27" t="s">
        <v>30</v>
      </c>
      <c r="C43" s="27"/>
      <c r="D43" s="27"/>
      <c r="E43" s="27"/>
      <c r="F43" s="27"/>
      <c r="G43" s="27"/>
      <c r="H43" s="27"/>
      <c r="I43" s="27"/>
      <c r="J43" s="49"/>
      <c r="K43" s="50"/>
      <c r="L43" s="49">
        <v>36395</v>
      </c>
      <c r="M43" s="27"/>
      <c r="N43" s="6"/>
      <c r="O43" s="7"/>
      <c r="P43" s="7"/>
      <c r="Q43" s="7"/>
      <c r="R43" s="7"/>
      <c r="S43" s="7"/>
      <c r="T43" s="7"/>
    </row>
    <row r="44" spans="1:20" ht="15.75">
      <c r="A44" s="26"/>
      <c r="B44" s="27"/>
      <c r="C44" s="27"/>
      <c r="D44" s="27"/>
      <c r="E44" s="27"/>
      <c r="F44" s="27"/>
      <c r="G44" s="27"/>
      <c r="H44" s="27"/>
      <c r="I44" s="27"/>
      <c r="J44" s="27"/>
      <c r="K44" s="27"/>
      <c r="L44" s="51"/>
      <c r="M44" s="27"/>
      <c r="N44" s="6"/>
      <c r="O44" s="7"/>
      <c r="P44" s="7"/>
      <c r="Q44" s="7"/>
      <c r="R44" s="7"/>
      <c r="S44" s="7"/>
      <c r="T44" s="7"/>
    </row>
    <row r="45" spans="1:20" ht="15.75">
      <c r="A45" s="2"/>
      <c r="B45" s="5"/>
      <c r="C45" s="5"/>
      <c r="D45" s="5"/>
      <c r="E45" s="5"/>
      <c r="F45" s="5"/>
      <c r="G45" s="5"/>
      <c r="H45" s="5"/>
      <c r="I45" s="5"/>
      <c r="J45" s="5"/>
      <c r="K45" s="5"/>
      <c r="L45" s="52"/>
      <c r="M45" s="5"/>
      <c r="N45" s="6"/>
      <c r="O45" s="7"/>
      <c r="P45" s="7"/>
      <c r="Q45" s="7"/>
      <c r="R45" s="7"/>
      <c r="S45" s="7"/>
      <c r="T45" s="7"/>
    </row>
    <row r="46" spans="1:20" ht="15.75">
      <c r="A46" s="8"/>
      <c r="B46" s="63" t="s">
        <v>31</v>
      </c>
      <c r="C46" s="16"/>
      <c r="D46" s="10"/>
      <c r="E46" s="10"/>
      <c r="F46" s="10"/>
      <c r="G46" s="10"/>
      <c r="H46" s="10"/>
      <c r="I46" s="10"/>
      <c r="J46" s="10"/>
      <c r="K46" s="10"/>
      <c r="L46" s="53"/>
      <c r="M46" s="10"/>
      <c r="N46" s="6"/>
      <c r="O46" s="7"/>
      <c r="P46" s="7"/>
      <c r="Q46" s="7"/>
      <c r="R46" s="7"/>
      <c r="S46" s="7"/>
      <c r="T46" s="7"/>
    </row>
    <row r="47" spans="1:20" ht="15.75">
      <c r="A47" s="8"/>
      <c r="B47" s="16"/>
      <c r="C47" s="16"/>
      <c r="D47" s="10"/>
      <c r="E47" s="10"/>
      <c r="F47" s="10"/>
      <c r="G47" s="10"/>
      <c r="H47" s="10"/>
      <c r="I47" s="10"/>
      <c r="J47" s="10"/>
      <c r="K47" s="10"/>
      <c r="L47" s="53"/>
      <c r="M47" s="10"/>
      <c r="N47" s="6"/>
      <c r="O47" s="7"/>
      <c r="P47" s="7"/>
      <c r="Q47" s="7"/>
      <c r="R47" s="7"/>
      <c r="S47" s="7"/>
      <c r="T47" s="7"/>
    </row>
    <row r="48" spans="1:20" ht="63">
      <c r="A48" s="8"/>
      <c r="B48" s="54" t="s">
        <v>32</v>
      </c>
      <c r="C48" s="55" t="s">
        <v>134</v>
      </c>
      <c r="D48" s="55" t="s">
        <v>143</v>
      </c>
      <c r="E48" s="55"/>
      <c r="F48" s="55" t="s">
        <v>153</v>
      </c>
      <c r="G48" s="55"/>
      <c r="H48" s="55" t="s">
        <v>162</v>
      </c>
      <c r="I48" s="55"/>
      <c r="J48" s="55" t="s">
        <v>173</v>
      </c>
      <c r="K48" s="55"/>
      <c r="L48" s="56" t="s">
        <v>187</v>
      </c>
      <c r="M48" s="10"/>
      <c r="N48" s="6"/>
      <c r="O48" s="7"/>
      <c r="P48" s="7"/>
      <c r="Q48" s="7"/>
      <c r="R48" s="7"/>
      <c r="S48" s="7"/>
      <c r="T48" s="7"/>
    </row>
    <row r="49" spans="1:20" ht="15.75">
      <c r="A49" s="26"/>
      <c r="B49" s="27" t="s">
        <v>33</v>
      </c>
      <c r="C49" s="57">
        <v>220604</v>
      </c>
      <c r="D49" s="58">
        <v>140318</v>
      </c>
      <c r="E49" s="57"/>
      <c r="F49" s="57">
        <f>9394+130+228</f>
        <v>9752</v>
      </c>
      <c r="G49" s="57"/>
      <c r="H49" s="57">
        <v>228</v>
      </c>
      <c r="I49" s="57"/>
      <c r="J49" s="57">
        <v>0</v>
      </c>
      <c r="K49" s="57"/>
      <c r="L49" s="58">
        <f>D49-F49+H49-J49</f>
        <v>130794</v>
      </c>
      <c r="M49" s="27"/>
      <c r="N49" s="6"/>
      <c r="O49" s="7"/>
      <c r="P49" s="7"/>
      <c r="Q49" s="7"/>
      <c r="R49" s="7"/>
      <c r="S49" s="7"/>
      <c r="T49" s="7"/>
    </row>
    <row r="50" spans="1:20" ht="15.75">
      <c r="A50" s="26"/>
      <c r="B50" s="27" t="s">
        <v>34</v>
      </c>
      <c r="C50" s="57">
        <v>5129</v>
      </c>
      <c r="D50" s="58">
        <v>1527</v>
      </c>
      <c r="E50" s="57"/>
      <c r="F50" s="57">
        <v>451</v>
      </c>
      <c r="G50" s="57"/>
      <c r="H50" s="57">
        <v>0</v>
      </c>
      <c r="I50" s="57"/>
      <c r="J50" s="57">
        <v>0</v>
      </c>
      <c r="K50" s="57"/>
      <c r="L50" s="58">
        <f>D50-F50</f>
        <v>1076</v>
      </c>
      <c r="M50" s="27"/>
      <c r="N50" s="6"/>
      <c r="O50" s="7"/>
      <c r="P50" s="7"/>
      <c r="Q50" s="7"/>
      <c r="R50" s="7"/>
      <c r="S50" s="7"/>
      <c r="T50" s="7"/>
    </row>
    <row r="51" spans="1:20" ht="15.75">
      <c r="A51" s="26"/>
      <c r="B51" s="27"/>
      <c r="C51" s="57"/>
      <c r="D51" s="57"/>
      <c r="E51" s="57"/>
      <c r="F51" s="57"/>
      <c r="G51" s="57"/>
      <c r="H51" s="57"/>
      <c r="I51" s="57"/>
      <c r="J51" s="57"/>
      <c r="K51" s="57"/>
      <c r="L51" s="58"/>
      <c r="M51" s="27"/>
      <c r="N51" s="6"/>
      <c r="O51" s="7"/>
      <c r="P51" s="7"/>
      <c r="Q51" s="7"/>
      <c r="R51" s="7"/>
      <c r="S51" s="7"/>
      <c r="T51" s="7"/>
    </row>
    <row r="52" spans="1:20" ht="15.75">
      <c r="A52" s="26"/>
      <c r="B52" s="27" t="s">
        <v>35</v>
      </c>
      <c r="C52" s="57">
        <f>SUM(C49:C51)</f>
        <v>225733</v>
      </c>
      <c r="D52" s="57">
        <f>SUM(D49:D51)</f>
        <v>141845</v>
      </c>
      <c r="E52" s="57"/>
      <c r="F52" s="57">
        <f>SUM(F49:F51)</f>
        <v>10203</v>
      </c>
      <c r="G52" s="57"/>
      <c r="H52" s="57">
        <f>SUM(H49:H51)</f>
        <v>228</v>
      </c>
      <c r="I52" s="57"/>
      <c r="J52" s="57">
        <f>SUM(J49:J51)</f>
        <v>0</v>
      </c>
      <c r="K52" s="57"/>
      <c r="L52" s="59">
        <f>SUM(L49:L51)</f>
        <v>131870</v>
      </c>
      <c r="M52" s="27"/>
      <c r="N52" s="6"/>
      <c r="O52" s="7"/>
      <c r="P52" s="7"/>
      <c r="Q52" s="7"/>
      <c r="R52" s="7"/>
      <c r="S52" s="7"/>
      <c r="T52" s="7"/>
    </row>
    <row r="53" spans="1:20" ht="15.75">
      <c r="A53" s="26"/>
      <c r="B53" s="27"/>
      <c r="C53" s="57"/>
      <c r="D53" s="57"/>
      <c r="E53" s="57"/>
      <c r="F53" s="57"/>
      <c r="G53" s="57"/>
      <c r="H53" s="57"/>
      <c r="I53" s="57"/>
      <c r="J53" s="57"/>
      <c r="K53" s="57"/>
      <c r="L53" s="59"/>
      <c r="M53" s="27"/>
      <c r="N53" s="6"/>
      <c r="O53" s="7"/>
      <c r="P53" s="7"/>
      <c r="Q53" s="7"/>
      <c r="R53" s="7"/>
      <c r="S53" s="7"/>
      <c r="T53" s="7"/>
    </row>
    <row r="54" spans="1:20" ht="15.75">
      <c r="A54" s="8"/>
      <c r="B54" s="12" t="s">
        <v>36</v>
      </c>
      <c r="C54" s="60"/>
      <c r="D54" s="60"/>
      <c r="E54" s="60"/>
      <c r="F54" s="61"/>
      <c r="G54" s="60"/>
      <c r="H54" s="60"/>
      <c r="I54" s="60"/>
      <c r="J54" s="60"/>
      <c r="K54" s="60"/>
      <c r="L54" s="62"/>
      <c r="M54" s="10"/>
      <c r="N54" s="6"/>
      <c r="O54" s="7"/>
      <c r="P54" s="7"/>
      <c r="Q54" s="7"/>
      <c r="R54" s="7"/>
      <c r="S54" s="7"/>
      <c r="T54" s="7"/>
    </row>
    <row r="55" spans="1:20" ht="15.75">
      <c r="A55" s="8"/>
      <c r="B55" s="10"/>
      <c r="C55" s="60"/>
      <c r="D55" s="60"/>
      <c r="E55" s="60"/>
      <c r="F55" s="60"/>
      <c r="G55" s="60"/>
      <c r="H55" s="60"/>
      <c r="I55" s="60"/>
      <c r="J55" s="60"/>
      <c r="K55" s="60"/>
      <c r="L55" s="62"/>
      <c r="M55" s="10"/>
      <c r="N55" s="6"/>
      <c r="O55" s="7"/>
      <c r="P55" s="7"/>
      <c r="Q55" s="7"/>
      <c r="R55" s="7"/>
      <c r="S55" s="7"/>
      <c r="T55" s="7"/>
    </row>
    <row r="56" spans="1:20" ht="15.75">
      <c r="A56" s="26"/>
      <c r="B56" s="27" t="s">
        <v>33</v>
      </c>
      <c r="C56" s="57"/>
      <c r="D56" s="57"/>
      <c r="E56" s="57"/>
      <c r="F56" s="57"/>
      <c r="G56" s="57"/>
      <c r="H56" s="57"/>
      <c r="I56" s="57"/>
      <c r="J56" s="57"/>
      <c r="K56" s="57"/>
      <c r="L56" s="59"/>
      <c r="M56" s="27"/>
      <c r="N56" s="6"/>
      <c r="O56" s="7"/>
      <c r="P56" s="7"/>
      <c r="Q56" s="7"/>
      <c r="R56" s="7"/>
      <c r="S56" s="7"/>
      <c r="T56" s="7"/>
    </row>
    <row r="57" spans="1:20" ht="15.75">
      <c r="A57" s="26"/>
      <c r="B57" s="27" t="s">
        <v>34</v>
      </c>
      <c r="C57" s="57"/>
      <c r="D57" s="57"/>
      <c r="E57" s="57"/>
      <c r="F57" s="57"/>
      <c r="G57" s="57"/>
      <c r="H57" s="57"/>
      <c r="I57" s="57"/>
      <c r="J57" s="57"/>
      <c r="K57" s="57"/>
      <c r="L57" s="59"/>
      <c r="M57" s="27"/>
      <c r="N57" s="6"/>
      <c r="O57" s="7"/>
      <c r="P57" s="7"/>
      <c r="Q57" s="7"/>
      <c r="R57" s="7"/>
      <c r="S57" s="7"/>
      <c r="T57" s="7"/>
    </row>
    <row r="58" spans="1:20" ht="15.75">
      <c r="A58" s="26"/>
      <c r="B58" s="27"/>
      <c r="C58" s="57"/>
      <c r="D58" s="57"/>
      <c r="E58" s="57"/>
      <c r="F58" s="57"/>
      <c r="G58" s="57"/>
      <c r="H58" s="57"/>
      <c r="I58" s="57"/>
      <c r="J58" s="57"/>
      <c r="K58" s="57"/>
      <c r="L58" s="59"/>
      <c r="M58" s="27"/>
      <c r="N58" s="6"/>
      <c r="O58" s="7"/>
      <c r="P58" s="7"/>
      <c r="Q58" s="7"/>
      <c r="R58" s="7"/>
      <c r="S58" s="7"/>
      <c r="T58" s="7"/>
    </row>
    <row r="59" spans="1:20" ht="15.75">
      <c r="A59" s="26"/>
      <c r="B59" s="27" t="s">
        <v>35</v>
      </c>
      <c r="C59" s="57"/>
      <c r="D59" s="57"/>
      <c r="E59" s="57"/>
      <c r="F59" s="57"/>
      <c r="G59" s="57"/>
      <c r="H59" s="57"/>
      <c r="I59" s="57"/>
      <c r="J59" s="57"/>
      <c r="K59" s="57"/>
      <c r="L59" s="59"/>
      <c r="M59" s="27"/>
      <c r="N59" s="6"/>
      <c r="O59" s="7"/>
      <c r="P59" s="7"/>
      <c r="Q59" s="7"/>
      <c r="R59" s="7"/>
      <c r="S59" s="7"/>
      <c r="T59" s="7"/>
    </row>
    <row r="60" spans="1:20" ht="15.75">
      <c r="A60" s="26"/>
      <c r="B60" s="27"/>
      <c r="C60" s="57"/>
      <c r="D60" s="57"/>
      <c r="E60" s="57"/>
      <c r="F60" s="57"/>
      <c r="G60" s="57"/>
      <c r="H60" s="57"/>
      <c r="I60" s="57"/>
      <c r="J60" s="57"/>
      <c r="K60" s="57"/>
      <c r="L60" s="59"/>
      <c r="M60" s="27"/>
      <c r="N60" s="6"/>
      <c r="O60" s="7"/>
      <c r="P60" s="7"/>
      <c r="Q60" s="7"/>
      <c r="R60" s="7"/>
      <c r="S60" s="7"/>
      <c r="T60" s="7"/>
    </row>
    <row r="61" spans="1:20" ht="15.75">
      <c r="A61" s="26"/>
      <c r="B61" s="27" t="s">
        <v>37</v>
      </c>
      <c r="C61" s="57">
        <v>-1743</v>
      </c>
      <c r="D61" s="57">
        <v>-1743</v>
      </c>
      <c r="E61" s="57"/>
      <c r="F61" s="57"/>
      <c r="G61" s="57"/>
      <c r="H61" s="57"/>
      <c r="I61" s="57"/>
      <c r="J61" s="57"/>
      <c r="K61" s="57"/>
      <c r="L61" s="57">
        <v>-1743</v>
      </c>
      <c r="M61" s="27"/>
      <c r="N61" s="6"/>
      <c r="O61" s="7"/>
      <c r="P61" s="7"/>
      <c r="Q61" s="7"/>
      <c r="R61" s="7"/>
      <c r="S61" s="7"/>
      <c r="T61" s="7"/>
    </row>
    <row r="62" spans="1:20" ht="15.75">
      <c r="A62" s="26"/>
      <c r="B62" s="27" t="s">
        <v>38</v>
      </c>
      <c r="C62" s="57">
        <v>0</v>
      </c>
      <c r="D62" s="57">
        <v>-2257</v>
      </c>
      <c r="E62" s="57"/>
      <c r="F62" s="57"/>
      <c r="G62" s="57"/>
      <c r="H62" s="57"/>
      <c r="I62" s="57"/>
      <c r="J62" s="57"/>
      <c r="K62" s="57"/>
      <c r="L62" s="59">
        <v>-2257</v>
      </c>
      <c r="M62" s="27"/>
      <c r="N62" s="6"/>
      <c r="O62" s="7"/>
      <c r="P62" s="7"/>
      <c r="Q62" s="7"/>
      <c r="R62" s="7"/>
      <c r="S62" s="7"/>
      <c r="T62" s="7"/>
    </row>
    <row r="63" spans="1:20" ht="15.75">
      <c r="A63" s="26"/>
      <c r="B63" s="27" t="s">
        <v>39</v>
      </c>
      <c r="C63" s="57">
        <v>0</v>
      </c>
      <c r="D63" s="57">
        <v>-341</v>
      </c>
      <c r="E63" s="57"/>
      <c r="F63" s="57"/>
      <c r="G63" s="57"/>
      <c r="H63" s="57"/>
      <c r="I63" s="57"/>
      <c r="J63" s="57"/>
      <c r="K63" s="57"/>
      <c r="L63" s="59">
        <v>-328</v>
      </c>
      <c r="M63" s="27"/>
      <c r="N63" s="6"/>
      <c r="O63" s="7"/>
      <c r="P63" s="7"/>
      <c r="Q63" s="7"/>
      <c r="R63" s="7"/>
      <c r="S63" s="7"/>
      <c r="T63" s="7"/>
    </row>
    <row r="64" spans="1:20" ht="15.75">
      <c r="A64" s="26"/>
      <c r="B64" s="27" t="s">
        <v>15</v>
      </c>
      <c r="C64" s="59">
        <f>SUM(C52:C63)</f>
        <v>223990</v>
      </c>
      <c r="D64" s="59">
        <f>SUM(D52:D63)</f>
        <v>137504</v>
      </c>
      <c r="E64" s="57"/>
      <c r="F64" s="57"/>
      <c r="G64" s="57"/>
      <c r="H64" s="57"/>
      <c r="I64" s="57"/>
      <c r="J64" s="57"/>
      <c r="K64" s="57"/>
      <c r="L64" s="59">
        <f>SUM(L52:L63)</f>
        <v>127542</v>
      </c>
      <c r="M64" s="27"/>
      <c r="N64" s="6"/>
      <c r="O64" s="7"/>
      <c r="P64" s="7"/>
      <c r="Q64" s="7"/>
      <c r="R64" s="7"/>
      <c r="S64" s="7"/>
      <c r="T64" s="7"/>
    </row>
    <row r="65" spans="1:20" ht="15.75">
      <c r="A65" s="26"/>
      <c r="B65" s="27"/>
      <c r="C65" s="57"/>
      <c r="D65" s="57"/>
      <c r="E65" s="57"/>
      <c r="F65" s="57"/>
      <c r="G65" s="57"/>
      <c r="H65" s="57"/>
      <c r="I65" s="57"/>
      <c r="J65" s="57"/>
      <c r="K65" s="57"/>
      <c r="L65" s="59"/>
      <c r="M65" s="27"/>
      <c r="N65" s="6"/>
      <c r="O65" s="7"/>
      <c r="P65" s="7"/>
      <c r="Q65" s="7"/>
      <c r="R65" s="7"/>
      <c r="S65" s="7"/>
      <c r="T65" s="7"/>
    </row>
    <row r="66" spans="1:20" ht="15.75">
      <c r="A66" s="8"/>
      <c r="B66" s="10"/>
      <c r="C66" s="10"/>
      <c r="D66" s="10"/>
      <c r="E66" s="10"/>
      <c r="F66" s="10"/>
      <c r="G66" s="10"/>
      <c r="H66" s="10"/>
      <c r="I66" s="10"/>
      <c r="J66" s="10"/>
      <c r="K66" s="10"/>
      <c r="L66" s="10"/>
      <c r="M66" s="10"/>
      <c r="N66" s="6"/>
      <c r="O66" s="7"/>
      <c r="P66" s="7"/>
      <c r="Q66" s="7"/>
      <c r="R66" s="7"/>
      <c r="S66" s="7"/>
      <c r="T66" s="7"/>
    </row>
    <row r="67" spans="1:20" ht="15.75">
      <c r="A67" s="8"/>
      <c r="B67" s="63" t="s">
        <v>40</v>
      </c>
      <c r="C67" s="17"/>
      <c r="D67" s="17"/>
      <c r="E67" s="17"/>
      <c r="F67" s="17"/>
      <c r="G67" s="17"/>
      <c r="H67" s="17"/>
      <c r="I67" s="20"/>
      <c r="J67" s="20" t="s">
        <v>174</v>
      </c>
      <c r="K67" s="20"/>
      <c r="L67" s="20" t="s">
        <v>188</v>
      </c>
      <c r="M67" s="10"/>
      <c r="N67" s="6"/>
      <c r="O67" s="7"/>
      <c r="P67" s="7"/>
      <c r="Q67" s="7"/>
      <c r="R67" s="7"/>
      <c r="S67" s="7"/>
      <c r="T67" s="7"/>
    </row>
    <row r="68" spans="1:20" ht="15.75">
      <c r="A68" s="26"/>
      <c r="B68" s="27" t="s">
        <v>41</v>
      </c>
      <c r="C68" s="27"/>
      <c r="D68" s="27"/>
      <c r="E68" s="27"/>
      <c r="F68" s="27"/>
      <c r="G68" s="27"/>
      <c r="H68" s="27"/>
      <c r="I68" s="27"/>
      <c r="J68" s="57">
        <v>0</v>
      </c>
      <c r="K68" s="27"/>
      <c r="L68" s="58">
        <v>0</v>
      </c>
      <c r="M68" s="27"/>
      <c r="N68" s="6"/>
      <c r="O68" s="7"/>
      <c r="P68" s="7"/>
      <c r="Q68" s="7"/>
      <c r="R68" s="7"/>
      <c r="S68" s="7"/>
      <c r="T68" s="7"/>
    </row>
    <row r="69" spans="1:20" ht="15.75">
      <c r="A69" s="26"/>
      <c r="B69" s="27" t="s">
        <v>42</v>
      </c>
      <c r="C69" s="45"/>
      <c r="D69" s="64"/>
      <c r="E69" s="27"/>
      <c r="F69" s="27"/>
      <c r="G69" s="27"/>
      <c r="H69" s="27"/>
      <c r="I69" s="27"/>
      <c r="J69" s="57">
        <v>9739</v>
      </c>
      <c r="K69" s="27"/>
      <c r="L69" s="58"/>
      <c r="M69" s="27"/>
      <c r="N69" s="6"/>
      <c r="O69" s="7"/>
      <c r="P69" s="7"/>
      <c r="Q69" s="7"/>
      <c r="R69" s="7"/>
      <c r="S69" s="7"/>
      <c r="T69" s="7"/>
    </row>
    <row r="70" spans="1:20" ht="15.75">
      <c r="A70" s="26"/>
      <c r="B70" s="27" t="s">
        <v>43</v>
      </c>
      <c r="C70" s="27"/>
      <c r="D70" s="27"/>
      <c r="E70" s="27"/>
      <c r="F70" s="27"/>
      <c r="G70" s="27"/>
      <c r="H70" s="27"/>
      <c r="I70" s="27"/>
      <c r="J70" s="57"/>
      <c r="K70" s="27"/>
      <c r="L70" s="58">
        <f>1231+33+231+1105+14+172+1059+103+107+189+1-742+53</f>
        <v>3556</v>
      </c>
      <c r="M70" s="27"/>
      <c r="N70" s="6"/>
      <c r="O70" s="7"/>
      <c r="P70" s="7"/>
      <c r="Q70" s="7"/>
      <c r="R70" s="7"/>
      <c r="S70" s="7"/>
      <c r="T70" s="7"/>
    </row>
    <row r="71" spans="1:20" ht="15.75">
      <c r="A71" s="26"/>
      <c r="B71" s="27" t="s">
        <v>44</v>
      </c>
      <c r="C71" s="27"/>
      <c r="D71" s="27"/>
      <c r="E71" s="27"/>
      <c r="F71" s="27"/>
      <c r="G71" s="27"/>
      <c r="H71" s="27"/>
      <c r="I71" s="27"/>
      <c r="J71" s="57"/>
      <c r="K71" s="27"/>
      <c r="L71" s="58"/>
      <c r="M71" s="27"/>
      <c r="N71" s="6"/>
      <c r="O71" s="7"/>
      <c r="P71" s="7"/>
      <c r="Q71" s="7"/>
      <c r="R71" s="7"/>
      <c r="S71" s="7"/>
      <c r="T71" s="7"/>
    </row>
    <row r="72" spans="1:20" ht="15.75">
      <c r="A72" s="26"/>
      <c r="B72" s="27" t="s">
        <v>45</v>
      </c>
      <c r="C72" s="27"/>
      <c r="D72" s="27"/>
      <c r="E72" s="27"/>
      <c r="F72" s="27"/>
      <c r="G72" s="27"/>
      <c r="H72" s="27"/>
      <c r="I72" s="27"/>
      <c r="J72" s="57">
        <f>SUM(J68:J71)</f>
        <v>9739</v>
      </c>
      <c r="K72" s="27"/>
      <c r="L72" s="59">
        <f>SUM(L68:L71)</f>
        <v>3556</v>
      </c>
      <c r="M72" s="27"/>
      <c r="N72" s="6"/>
      <c r="O72" s="7"/>
      <c r="P72" s="7"/>
      <c r="Q72" s="7"/>
      <c r="R72" s="7"/>
      <c r="S72" s="7"/>
      <c r="T72" s="7"/>
    </row>
    <row r="73" spans="1:20" ht="15.75">
      <c r="A73" s="26"/>
      <c r="B73" s="27" t="s">
        <v>46</v>
      </c>
      <c r="C73" s="27"/>
      <c r="D73" s="27"/>
      <c r="E73" s="27"/>
      <c r="F73" s="27"/>
      <c r="G73" s="27"/>
      <c r="H73" s="27"/>
      <c r="I73" s="27"/>
      <c r="J73" s="57">
        <v>451</v>
      </c>
      <c r="K73" s="27"/>
      <c r="L73" s="58">
        <v>-451</v>
      </c>
      <c r="M73" s="27"/>
      <c r="N73" s="6"/>
      <c r="O73" s="7"/>
      <c r="P73" s="7"/>
      <c r="Q73" s="7"/>
      <c r="R73" s="7"/>
      <c r="S73" s="7"/>
      <c r="T73" s="7"/>
    </row>
    <row r="74" spans="1:20" ht="15.75">
      <c r="A74" s="26"/>
      <c r="B74" s="27" t="s">
        <v>47</v>
      </c>
      <c r="C74" s="27"/>
      <c r="D74" s="27"/>
      <c r="E74" s="27"/>
      <c r="F74" s="27"/>
      <c r="G74" s="27"/>
      <c r="H74" s="27"/>
      <c r="I74" s="27"/>
      <c r="J74" s="57">
        <f>J72+J73</f>
        <v>10190</v>
      </c>
      <c r="K74" s="27"/>
      <c r="L74" s="59">
        <f>L72+L73</f>
        <v>3105</v>
      </c>
      <c r="M74" s="27"/>
      <c r="N74" s="6"/>
      <c r="O74" s="7"/>
      <c r="P74" s="7"/>
      <c r="Q74" s="7"/>
      <c r="R74" s="7"/>
      <c r="S74" s="7"/>
      <c r="T74" s="7"/>
    </row>
    <row r="75" spans="1:20" ht="15.75">
      <c r="A75" s="26"/>
      <c r="B75" s="65" t="s">
        <v>48</v>
      </c>
      <c r="C75" s="66"/>
      <c r="D75" s="27"/>
      <c r="E75" s="27"/>
      <c r="F75" s="27"/>
      <c r="G75" s="27"/>
      <c r="H75" s="27"/>
      <c r="I75" s="27"/>
      <c r="J75" s="57"/>
      <c r="K75" s="27"/>
      <c r="L75" s="58"/>
      <c r="M75" s="27"/>
      <c r="N75" s="6"/>
      <c r="O75" s="7"/>
      <c r="P75" s="7"/>
      <c r="Q75" s="7"/>
      <c r="R75" s="7"/>
      <c r="S75" s="7"/>
      <c r="T75" s="7"/>
    </row>
    <row r="76" spans="1:20" ht="15.75">
      <c r="A76" s="26">
        <v>1</v>
      </c>
      <c r="B76" s="27" t="s">
        <v>49</v>
      </c>
      <c r="C76" s="27"/>
      <c r="D76" s="27"/>
      <c r="E76" s="27"/>
      <c r="F76" s="27"/>
      <c r="G76" s="27"/>
      <c r="H76" s="27"/>
      <c r="I76" s="27"/>
      <c r="J76" s="27"/>
      <c r="K76" s="27"/>
      <c r="L76" s="58"/>
      <c r="M76" s="27"/>
      <c r="N76" s="6"/>
      <c r="O76" s="7"/>
      <c r="P76" s="7"/>
      <c r="Q76" s="7"/>
      <c r="R76" s="7"/>
      <c r="S76" s="7"/>
      <c r="T76" s="7"/>
    </row>
    <row r="77" spans="1:20" ht="15.75">
      <c r="A77" s="26">
        <v>2</v>
      </c>
      <c r="B77" s="27" t="s">
        <v>50</v>
      </c>
      <c r="C77" s="27"/>
      <c r="D77" s="27"/>
      <c r="E77" s="27"/>
      <c r="F77" s="27"/>
      <c r="G77" s="27"/>
      <c r="H77" s="27"/>
      <c r="I77" s="27"/>
      <c r="J77" s="27"/>
      <c r="K77" s="27"/>
      <c r="L77" s="58">
        <v>-5</v>
      </c>
      <c r="M77" s="27"/>
      <c r="N77" s="6"/>
      <c r="O77" s="7"/>
      <c r="P77" s="7"/>
      <c r="Q77" s="7"/>
      <c r="R77" s="7"/>
      <c r="S77" s="7"/>
      <c r="T77" s="7"/>
    </row>
    <row r="78" spans="1:20" ht="15.75">
      <c r="A78" s="26">
        <v>3</v>
      </c>
      <c r="B78" s="27" t="s">
        <v>51</v>
      </c>
      <c r="C78" s="27"/>
      <c r="D78" s="27"/>
      <c r="E78" s="27"/>
      <c r="F78" s="27"/>
      <c r="G78" s="27"/>
      <c r="H78" s="27"/>
      <c r="I78" s="27"/>
      <c r="J78" s="27"/>
      <c r="K78" s="27"/>
      <c r="L78" s="58">
        <f>-153-5</f>
        <v>-158</v>
      </c>
      <c r="M78" s="27"/>
      <c r="N78" s="6"/>
      <c r="O78" s="7"/>
      <c r="P78" s="7"/>
      <c r="Q78" s="7"/>
      <c r="R78" s="7"/>
      <c r="S78" s="7"/>
      <c r="T78" s="7"/>
    </row>
    <row r="79" spans="1:20" ht="15.75">
      <c r="A79" s="26">
        <v>4</v>
      </c>
      <c r="B79" s="27" t="s">
        <v>52</v>
      </c>
      <c r="C79" s="27"/>
      <c r="D79" s="27"/>
      <c r="E79" s="27"/>
      <c r="F79" s="27"/>
      <c r="G79" s="27"/>
      <c r="H79" s="27"/>
      <c r="I79" s="27"/>
      <c r="J79" s="27"/>
      <c r="K79" s="27"/>
      <c r="L79" s="58">
        <v>-8</v>
      </c>
      <c r="M79" s="27"/>
      <c r="N79" s="6"/>
      <c r="O79" s="7"/>
      <c r="P79" s="7"/>
      <c r="Q79" s="7"/>
      <c r="R79" s="7"/>
      <c r="S79" s="7"/>
      <c r="T79" s="7"/>
    </row>
    <row r="80" spans="1:20" ht="15.75">
      <c r="A80" s="26">
        <v>5</v>
      </c>
      <c r="B80" s="27" t="s">
        <v>53</v>
      </c>
      <c r="C80" s="27"/>
      <c r="D80" s="27"/>
      <c r="E80" s="27"/>
      <c r="F80" s="27"/>
      <c r="G80" s="27"/>
      <c r="H80" s="27"/>
      <c r="I80" s="27"/>
      <c r="J80" s="27"/>
      <c r="K80" s="27"/>
      <c r="L80" s="58">
        <v>-1565</v>
      </c>
      <c r="M80" s="27"/>
      <c r="N80" s="6"/>
      <c r="O80" s="7"/>
      <c r="P80" s="7"/>
      <c r="Q80" s="7"/>
      <c r="R80" s="7"/>
      <c r="S80" s="7"/>
      <c r="T80" s="7"/>
    </row>
    <row r="81" spans="1:20" ht="15.75">
      <c r="A81" s="26">
        <v>6</v>
      </c>
      <c r="B81" s="27" t="s">
        <v>54</v>
      </c>
      <c r="C81" s="27"/>
      <c r="D81" s="27"/>
      <c r="E81" s="27"/>
      <c r="F81" s="27"/>
      <c r="G81" s="27"/>
      <c r="H81" s="27"/>
      <c r="I81" s="27"/>
      <c r="J81" s="27"/>
      <c r="K81" s="27"/>
      <c r="L81" s="58">
        <v>-5</v>
      </c>
      <c r="M81" s="27"/>
      <c r="N81" s="6"/>
      <c r="O81" s="7"/>
      <c r="P81" s="7"/>
      <c r="Q81" s="7"/>
      <c r="R81" s="7"/>
      <c r="S81" s="7"/>
      <c r="T81" s="7"/>
    </row>
    <row r="82" spans="1:20" ht="15.75">
      <c r="A82" s="26">
        <v>7</v>
      </c>
      <c r="B82" s="27" t="s">
        <v>55</v>
      </c>
      <c r="C82" s="27"/>
      <c r="D82" s="27"/>
      <c r="E82" s="27"/>
      <c r="F82" s="27"/>
      <c r="G82" s="27"/>
      <c r="H82" s="27"/>
      <c r="I82" s="27"/>
      <c r="J82" s="27"/>
      <c r="K82" s="27"/>
      <c r="L82" s="58">
        <v>-252</v>
      </c>
      <c r="M82" s="27"/>
      <c r="N82" s="6"/>
      <c r="O82" s="7"/>
      <c r="P82" s="7"/>
      <c r="Q82" s="7"/>
      <c r="R82" s="7"/>
      <c r="S82" s="7"/>
      <c r="T82" s="7"/>
    </row>
    <row r="83" spans="1:20" ht="15.75">
      <c r="A83" s="26">
        <v>8</v>
      </c>
      <c r="B83" s="27" t="s">
        <v>56</v>
      </c>
      <c r="C83" s="27"/>
      <c r="D83" s="27"/>
      <c r="E83" s="27"/>
      <c r="F83" s="27"/>
      <c r="G83" s="27"/>
      <c r="H83" s="27"/>
      <c r="I83" s="27"/>
      <c r="J83" s="27"/>
      <c r="K83" s="27"/>
      <c r="L83" s="58">
        <v>-178</v>
      </c>
      <c r="M83" s="27"/>
      <c r="N83" s="6"/>
      <c r="O83" s="7"/>
      <c r="P83" s="7"/>
      <c r="Q83" s="7"/>
      <c r="R83" s="7"/>
      <c r="S83" s="7"/>
      <c r="T83" s="7"/>
    </row>
    <row r="84" spans="1:20" ht="15.75">
      <c r="A84" s="26">
        <v>9</v>
      </c>
      <c r="B84" s="27" t="s">
        <v>57</v>
      </c>
      <c r="C84" s="27"/>
      <c r="D84" s="27"/>
      <c r="E84" s="27"/>
      <c r="F84" s="27"/>
      <c r="G84" s="27"/>
      <c r="H84" s="27"/>
      <c r="I84" s="27"/>
      <c r="J84" s="27"/>
      <c r="K84" s="27"/>
      <c r="L84" s="58">
        <v>0</v>
      </c>
      <c r="M84" s="27"/>
      <c r="N84" s="6"/>
      <c r="O84" s="7"/>
      <c r="P84" s="7"/>
      <c r="Q84" s="7"/>
      <c r="R84" s="7"/>
      <c r="S84" s="7"/>
      <c r="T84" s="7"/>
    </row>
    <row r="85" spans="1:20" ht="15.75">
      <c r="A85" s="26">
        <v>10</v>
      </c>
      <c r="B85" s="27" t="s">
        <v>58</v>
      </c>
      <c r="C85" s="27"/>
      <c r="D85" s="27"/>
      <c r="E85" s="27"/>
      <c r="F85" s="27"/>
      <c r="G85" s="27"/>
      <c r="H85" s="27"/>
      <c r="I85" s="27"/>
      <c r="J85" s="27"/>
      <c r="K85" s="27"/>
      <c r="L85" s="58">
        <v>-130</v>
      </c>
      <c r="M85" s="27"/>
      <c r="N85" s="6"/>
      <c r="O85" s="7"/>
      <c r="P85" s="7"/>
      <c r="Q85" s="7"/>
      <c r="R85" s="7"/>
      <c r="S85" s="7"/>
      <c r="T85" s="7"/>
    </row>
    <row r="86" spans="1:20" ht="15.75">
      <c r="A86" s="26">
        <v>11</v>
      </c>
      <c r="B86" s="27" t="s">
        <v>196</v>
      </c>
      <c r="C86" s="27"/>
      <c r="D86" s="27"/>
      <c r="E86" s="27"/>
      <c r="F86" s="27"/>
      <c r="G86" s="27"/>
      <c r="H86" s="27"/>
      <c r="I86" s="27"/>
      <c r="J86" s="27"/>
      <c r="K86" s="27"/>
      <c r="L86" s="58">
        <f>(L63+L118)*-1</f>
        <v>458</v>
      </c>
      <c r="M86" s="27"/>
      <c r="N86" s="6"/>
      <c r="O86" s="7"/>
      <c r="P86" s="7"/>
      <c r="Q86" s="7"/>
      <c r="R86" s="7"/>
      <c r="S86" s="7"/>
      <c r="T86" s="7"/>
    </row>
    <row r="87" spans="1:20" ht="15.75">
      <c r="A87" s="26">
        <v>12</v>
      </c>
      <c r="B87" s="27" t="s">
        <v>59</v>
      </c>
      <c r="C87" s="27"/>
      <c r="D87" s="27"/>
      <c r="E87" s="27"/>
      <c r="F87" s="27"/>
      <c r="G87" s="27"/>
      <c r="H87" s="27"/>
      <c r="I87" s="27"/>
      <c r="J87" s="27"/>
      <c r="K87" s="27"/>
      <c r="L87" s="58">
        <v>0</v>
      </c>
      <c r="M87" s="27"/>
      <c r="N87" s="6"/>
      <c r="O87" s="7"/>
      <c r="P87" s="7"/>
      <c r="Q87" s="7"/>
      <c r="R87" s="7"/>
      <c r="S87" s="7"/>
      <c r="T87" s="7"/>
    </row>
    <row r="88" spans="1:20" ht="15.75">
      <c r="A88" s="26">
        <v>13</v>
      </c>
      <c r="B88" s="27" t="s">
        <v>60</v>
      </c>
      <c r="C88" s="27"/>
      <c r="D88" s="27"/>
      <c r="E88" s="27"/>
      <c r="F88" s="27"/>
      <c r="G88" s="27"/>
      <c r="H88" s="27"/>
      <c r="I88" s="27"/>
      <c r="J88" s="27"/>
      <c r="K88" s="27"/>
      <c r="L88" s="58">
        <f>SUM(L74:L86)*-1</f>
        <v>-1262</v>
      </c>
      <c r="M88" s="27"/>
      <c r="N88" s="6"/>
      <c r="O88" s="7"/>
      <c r="P88" s="7"/>
      <c r="Q88" s="7"/>
      <c r="R88" s="7"/>
      <c r="S88" s="7"/>
      <c r="T88" s="7"/>
    </row>
    <row r="89" spans="1:20" ht="15.75">
      <c r="A89" s="26"/>
      <c r="B89" s="65" t="s">
        <v>61</v>
      </c>
      <c r="C89" s="66"/>
      <c r="D89" s="27"/>
      <c r="E89" s="27"/>
      <c r="F89" s="27"/>
      <c r="G89" s="27"/>
      <c r="H89" s="27"/>
      <c r="I89" s="27"/>
      <c r="J89" s="27"/>
      <c r="K89" s="27"/>
      <c r="L89" s="68"/>
      <c r="M89" s="27"/>
      <c r="N89" s="6"/>
      <c r="O89" s="7"/>
      <c r="P89" s="7"/>
      <c r="Q89" s="7"/>
      <c r="R89" s="7"/>
      <c r="S89" s="7"/>
      <c r="T89" s="7"/>
    </row>
    <row r="90" spans="1:20" ht="15.75">
      <c r="A90" s="26"/>
      <c r="B90" s="27" t="s">
        <v>62</v>
      </c>
      <c r="C90" s="66"/>
      <c r="D90" s="27"/>
      <c r="E90" s="27"/>
      <c r="F90" s="27"/>
      <c r="G90" s="27"/>
      <c r="H90" s="27"/>
      <c r="I90" s="27"/>
      <c r="J90" s="57">
        <v>-1</v>
      </c>
      <c r="K90" s="57"/>
      <c r="L90" s="58"/>
      <c r="M90" s="27"/>
      <c r="N90" s="6"/>
      <c r="O90" s="7"/>
      <c r="P90" s="7"/>
      <c r="Q90" s="7"/>
      <c r="R90" s="7"/>
      <c r="S90" s="7"/>
      <c r="T90" s="7"/>
    </row>
    <row r="91" spans="1:20" ht="15.75">
      <c r="A91" s="26"/>
      <c r="B91" s="27" t="s">
        <v>63</v>
      </c>
      <c r="C91" s="27"/>
      <c r="D91" s="27"/>
      <c r="E91" s="27"/>
      <c r="F91" s="27"/>
      <c r="G91" s="27"/>
      <c r="H91" s="27"/>
      <c r="I91" s="27"/>
      <c r="J91" s="57">
        <v>-227</v>
      </c>
      <c r="K91" s="57"/>
      <c r="L91" s="58"/>
      <c r="M91" s="27"/>
      <c r="N91" s="6"/>
      <c r="O91" s="7"/>
      <c r="P91" s="7"/>
      <c r="Q91" s="7"/>
      <c r="R91" s="7"/>
      <c r="S91" s="7"/>
      <c r="T91" s="7"/>
    </row>
    <row r="92" spans="1:20" ht="15.75">
      <c r="A92" s="26"/>
      <c r="B92" s="27" t="s">
        <v>64</v>
      </c>
      <c r="C92" s="27"/>
      <c r="D92" s="27"/>
      <c r="E92" s="27"/>
      <c r="F92" s="27"/>
      <c r="G92" s="27"/>
      <c r="H92" s="27"/>
      <c r="I92" s="27"/>
      <c r="J92" s="57">
        <v>0</v>
      </c>
      <c r="K92" s="57"/>
      <c r="L92" s="58"/>
      <c r="M92" s="27"/>
      <c r="N92" s="6"/>
      <c r="O92" s="7"/>
      <c r="P92" s="7"/>
      <c r="Q92" s="7"/>
      <c r="R92" s="7"/>
      <c r="S92" s="7"/>
      <c r="T92" s="7"/>
    </row>
    <row r="93" spans="1:20" ht="15.75">
      <c r="A93" s="26"/>
      <c r="B93" s="27" t="s">
        <v>65</v>
      </c>
      <c r="C93" s="27"/>
      <c r="D93" s="27"/>
      <c r="E93" s="27"/>
      <c r="F93" s="27"/>
      <c r="G93" s="27"/>
      <c r="H93" s="27"/>
      <c r="I93" s="27"/>
      <c r="J93" s="57">
        <v>-9962</v>
      </c>
      <c r="K93" s="57"/>
      <c r="L93" s="58"/>
      <c r="M93" s="27"/>
      <c r="N93" s="6"/>
      <c r="O93" s="7"/>
      <c r="P93" s="7"/>
      <c r="Q93" s="7"/>
      <c r="R93" s="7"/>
      <c r="S93" s="7"/>
      <c r="T93" s="7"/>
    </row>
    <row r="94" spans="1:20" ht="15.75">
      <c r="A94" s="26"/>
      <c r="B94" s="27" t="s">
        <v>66</v>
      </c>
      <c r="C94" s="27"/>
      <c r="D94" s="27"/>
      <c r="E94" s="27"/>
      <c r="F94" s="27"/>
      <c r="G94" s="27"/>
      <c r="H94" s="27"/>
      <c r="I94" s="27"/>
      <c r="J94" s="57">
        <v>0</v>
      </c>
      <c r="K94" s="57"/>
      <c r="L94" s="58"/>
      <c r="M94" s="27"/>
      <c r="N94" s="6"/>
      <c r="O94" s="7"/>
      <c r="P94" s="7"/>
      <c r="Q94" s="7"/>
      <c r="R94" s="7"/>
      <c r="S94" s="7"/>
      <c r="T94" s="7"/>
    </row>
    <row r="95" spans="1:20" ht="15.75">
      <c r="A95" s="26"/>
      <c r="B95" s="27" t="s">
        <v>67</v>
      </c>
      <c r="C95" s="27"/>
      <c r="D95" s="27"/>
      <c r="E95" s="27"/>
      <c r="F95" s="27"/>
      <c r="G95" s="27"/>
      <c r="H95" s="27"/>
      <c r="I95" s="27"/>
      <c r="J95" s="57">
        <f>SUM(J75:J94)</f>
        <v>-10190</v>
      </c>
      <c r="K95" s="57"/>
      <c r="L95" s="57">
        <f>SUM(L75:L94)</f>
        <v>-3105</v>
      </c>
      <c r="M95" s="27"/>
      <c r="N95" s="6"/>
      <c r="O95" s="7"/>
      <c r="P95" s="7"/>
      <c r="Q95" s="7"/>
      <c r="R95" s="7"/>
      <c r="S95" s="7"/>
      <c r="T95" s="7"/>
    </row>
    <row r="96" spans="1:20" ht="15.75">
      <c r="A96" s="26"/>
      <c r="B96" s="27" t="s">
        <v>68</v>
      </c>
      <c r="C96" s="27"/>
      <c r="D96" s="27"/>
      <c r="E96" s="27"/>
      <c r="F96" s="27"/>
      <c r="G96" s="27"/>
      <c r="H96" s="27"/>
      <c r="I96" s="27"/>
      <c r="J96" s="57">
        <f>J74+J95</f>
        <v>0</v>
      </c>
      <c r="K96" s="57"/>
      <c r="L96" s="57">
        <f>L74+L95</f>
        <v>0</v>
      </c>
      <c r="M96" s="27"/>
      <c r="N96" s="6"/>
      <c r="O96" s="7"/>
      <c r="P96" s="7"/>
      <c r="Q96" s="7"/>
      <c r="R96" s="7"/>
      <c r="S96" s="7"/>
      <c r="T96" s="7"/>
    </row>
    <row r="97" spans="1:20" ht="15.75">
      <c r="A97" s="26"/>
      <c r="B97" s="27"/>
      <c r="C97" s="27"/>
      <c r="D97" s="27"/>
      <c r="E97" s="27"/>
      <c r="F97" s="27"/>
      <c r="G97" s="27"/>
      <c r="H97" s="27"/>
      <c r="I97" s="27"/>
      <c r="J97" s="57"/>
      <c r="K97" s="57"/>
      <c r="L97" s="57"/>
      <c r="M97" s="27"/>
      <c r="N97" s="6"/>
      <c r="O97" s="7"/>
      <c r="P97" s="7"/>
      <c r="Q97" s="7"/>
      <c r="R97" s="7"/>
      <c r="S97" s="7"/>
      <c r="T97" s="7"/>
    </row>
    <row r="98" spans="1:20" ht="15.75">
      <c r="A98" s="8"/>
      <c r="B98" s="15"/>
      <c r="C98" s="10"/>
      <c r="D98" s="10"/>
      <c r="E98" s="10"/>
      <c r="F98" s="10"/>
      <c r="G98" s="10"/>
      <c r="H98" s="10"/>
      <c r="I98" s="10"/>
      <c r="J98" s="60"/>
      <c r="K98" s="60"/>
      <c r="L98" s="60"/>
      <c r="M98" s="10"/>
      <c r="N98" s="6"/>
      <c r="O98" s="7"/>
      <c r="P98" s="7"/>
      <c r="Q98" s="7"/>
      <c r="R98" s="7"/>
      <c r="S98" s="7"/>
      <c r="T98" s="7"/>
    </row>
    <row r="99" spans="1:20" ht="15.75">
      <c r="A99" s="8"/>
      <c r="B99" s="10"/>
      <c r="C99" s="10"/>
      <c r="D99" s="10"/>
      <c r="E99" s="10"/>
      <c r="F99" s="10"/>
      <c r="G99" s="10"/>
      <c r="H99" s="10"/>
      <c r="I99" s="10"/>
      <c r="J99" s="60"/>
      <c r="K99" s="60"/>
      <c r="L99" s="60"/>
      <c r="M99" s="10"/>
      <c r="N99" s="6"/>
      <c r="O99" s="7"/>
      <c r="P99" s="7"/>
      <c r="Q99" s="7"/>
      <c r="R99" s="7"/>
      <c r="S99" s="7"/>
      <c r="T99" s="7"/>
    </row>
    <row r="100" spans="1:20" ht="15.75">
      <c r="A100" s="8"/>
      <c r="B100" s="10"/>
      <c r="C100" s="10"/>
      <c r="D100" s="10"/>
      <c r="E100" s="10"/>
      <c r="F100" s="10"/>
      <c r="G100" s="10"/>
      <c r="H100" s="10"/>
      <c r="I100" s="10"/>
      <c r="J100" s="10"/>
      <c r="K100" s="10"/>
      <c r="L100" s="53"/>
      <c r="M100" s="10"/>
      <c r="N100" s="6"/>
      <c r="O100" s="7"/>
      <c r="P100" s="7"/>
      <c r="Q100" s="7"/>
      <c r="R100" s="7"/>
      <c r="S100" s="7"/>
      <c r="T100" s="7"/>
    </row>
    <row r="101" spans="1:20" ht="15.75">
      <c r="A101" s="2"/>
      <c r="B101" s="5"/>
      <c r="C101" s="70"/>
      <c r="D101" s="5"/>
      <c r="E101" s="5"/>
      <c r="F101" s="5"/>
      <c r="G101" s="5"/>
      <c r="H101" s="5"/>
      <c r="I101" s="5"/>
      <c r="J101" s="5"/>
      <c r="K101" s="5"/>
      <c r="L101" s="52"/>
      <c r="M101" s="5"/>
      <c r="N101" s="6"/>
      <c r="O101" s="7"/>
      <c r="P101" s="7"/>
      <c r="Q101" s="7"/>
      <c r="R101" s="7"/>
      <c r="S101" s="7"/>
      <c r="T101" s="7"/>
    </row>
    <row r="102" spans="1:20" ht="15.75">
      <c r="A102" s="8"/>
      <c r="B102" s="63" t="s">
        <v>69</v>
      </c>
      <c r="C102" s="10"/>
      <c r="D102" s="10"/>
      <c r="E102" s="10"/>
      <c r="F102" s="10"/>
      <c r="G102" s="10"/>
      <c r="H102" s="10"/>
      <c r="I102" s="10"/>
      <c r="J102" s="10"/>
      <c r="K102" s="10"/>
      <c r="L102" s="53"/>
      <c r="M102" s="9"/>
      <c r="N102" s="6"/>
      <c r="O102" s="7"/>
      <c r="P102" s="7"/>
      <c r="Q102" s="7"/>
      <c r="R102" s="7"/>
      <c r="S102" s="7"/>
      <c r="T102" s="7"/>
    </row>
    <row r="103" spans="1:20" ht="15.75">
      <c r="A103" s="8"/>
      <c r="B103" s="10"/>
      <c r="C103" s="10"/>
      <c r="D103" s="10"/>
      <c r="E103" s="10"/>
      <c r="F103" s="10"/>
      <c r="G103" s="10"/>
      <c r="H103" s="10"/>
      <c r="I103" s="10"/>
      <c r="J103" s="10"/>
      <c r="K103" s="10"/>
      <c r="L103" s="53"/>
      <c r="M103" s="10"/>
      <c r="N103" s="6"/>
      <c r="O103" s="7"/>
      <c r="P103" s="7"/>
      <c r="Q103" s="7"/>
      <c r="R103" s="7"/>
      <c r="S103" s="7"/>
      <c r="T103" s="7"/>
    </row>
    <row r="104" spans="1:20" ht="15.75">
      <c r="A104" s="8"/>
      <c r="B104" s="73" t="s">
        <v>70</v>
      </c>
      <c r="C104" s="16"/>
      <c r="D104" s="10"/>
      <c r="E104" s="10"/>
      <c r="F104" s="10"/>
      <c r="G104" s="10"/>
      <c r="H104" s="10"/>
      <c r="I104" s="10"/>
      <c r="J104" s="10"/>
      <c r="K104" s="10"/>
      <c r="L104" s="53"/>
      <c r="M104" s="10"/>
      <c r="N104" s="6"/>
      <c r="O104" s="7"/>
      <c r="P104" s="7"/>
      <c r="Q104" s="7"/>
      <c r="R104" s="7"/>
      <c r="S104" s="7"/>
      <c r="T104" s="7"/>
    </row>
    <row r="105" spans="1:20" ht="15.75">
      <c r="A105" s="26"/>
      <c r="B105" s="27" t="s">
        <v>71</v>
      </c>
      <c r="C105" s="27"/>
      <c r="D105" s="27"/>
      <c r="E105" s="27"/>
      <c r="F105" s="27"/>
      <c r="G105" s="27"/>
      <c r="H105" s="27"/>
      <c r="I105" s="27"/>
      <c r="J105" s="27"/>
      <c r="K105" s="27"/>
      <c r="L105" s="58">
        <v>4515</v>
      </c>
      <c r="M105" s="27"/>
      <c r="N105" s="6"/>
      <c r="O105" s="7"/>
      <c r="P105" s="7"/>
      <c r="Q105" s="7"/>
      <c r="R105" s="7"/>
      <c r="S105" s="7"/>
      <c r="T105" s="7"/>
    </row>
    <row r="106" spans="1:20" ht="15.75">
      <c r="A106" s="26"/>
      <c r="B106" s="27" t="s">
        <v>72</v>
      </c>
      <c r="C106" s="27"/>
      <c r="D106" s="27"/>
      <c r="E106" s="27"/>
      <c r="F106" s="27"/>
      <c r="G106" s="27"/>
      <c r="H106" s="27"/>
      <c r="I106" s="27"/>
      <c r="J106" s="27"/>
      <c r="K106" s="27"/>
      <c r="L106" s="58">
        <v>4515</v>
      </c>
      <c r="M106" s="27"/>
      <c r="N106" s="6"/>
      <c r="O106" s="7"/>
      <c r="P106" s="7"/>
      <c r="Q106" s="7"/>
      <c r="R106" s="7"/>
      <c r="S106" s="7"/>
      <c r="T106" s="7"/>
    </row>
    <row r="107" spans="1:20" ht="15.75">
      <c r="A107" s="26"/>
      <c r="B107" s="27" t="s">
        <v>73</v>
      </c>
      <c r="C107" s="27"/>
      <c r="D107" s="27"/>
      <c r="E107" s="27"/>
      <c r="F107" s="27"/>
      <c r="G107" s="27"/>
      <c r="H107" s="27"/>
      <c r="I107" s="27"/>
      <c r="J107" s="27"/>
      <c r="K107" s="27"/>
      <c r="L107" s="58"/>
      <c r="M107" s="27"/>
      <c r="N107" s="6"/>
      <c r="O107" s="7"/>
      <c r="P107" s="7"/>
      <c r="Q107" s="7"/>
      <c r="R107" s="7"/>
      <c r="S107" s="7"/>
      <c r="T107" s="7"/>
    </row>
    <row r="108" spans="1:20" ht="15.75">
      <c r="A108" s="26"/>
      <c r="B108" s="27" t="s">
        <v>74</v>
      </c>
      <c r="C108" s="27"/>
      <c r="D108" s="27"/>
      <c r="E108" s="27"/>
      <c r="F108" s="27"/>
      <c r="G108" s="27"/>
      <c r="H108" s="27"/>
      <c r="I108" s="27"/>
      <c r="J108" s="27"/>
      <c r="K108" s="27"/>
      <c r="L108" s="58">
        <v>0</v>
      </c>
      <c r="M108" s="27"/>
      <c r="N108" s="6"/>
      <c r="O108" s="7"/>
      <c r="P108" s="7"/>
      <c r="Q108" s="7"/>
      <c r="R108" s="7"/>
      <c r="S108" s="7"/>
      <c r="T108" s="7"/>
    </row>
    <row r="109" spans="1:20" ht="15.75">
      <c r="A109" s="26"/>
      <c r="B109" s="27" t="s">
        <v>75</v>
      </c>
      <c r="C109" s="27"/>
      <c r="D109" s="27"/>
      <c r="E109" s="27"/>
      <c r="F109" s="27"/>
      <c r="G109" s="27"/>
      <c r="H109" s="27"/>
      <c r="I109" s="27"/>
      <c r="J109" s="27"/>
      <c r="K109" s="27"/>
      <c r="L109" s="58"/>
      <c r="M109" s="27"/>
      <c r="N109" s="6"/>
      <c r="O109" s="7"/>
      <c r="P109" s="7"/>
      <c r="Q109" s="7"/>
      <c r="R109" s="7"/>
      <c r="S109" s="7"/>
      <c r="T109" s="7"/>
    </row>
    <row r="110" spans="1:20" ht="15.75">
      <c r="A110" s="26"/>
      <c r="B110" s="27" t="s">
        <v>53</v>
      </c>
      <c r="C110" s="27"/>
      <c r="D110" s="27"/>
      <c r="E110" s="27"/>
      <c r="F110" s="27"/>
      <c r="G110" s="27"/>
      <c r="H110" s="27"/>
      <c r="I110" s="27"/>
      <c r="J110" s="27"/>
      <c r="K110" s="27"/>
      <c r="L110" s="58"/>
      <c r="M110" s="27"/>
      <c r="N110" s="6"/>
      <c r="O110" s="7"/>
      <c r="P110" s="7"/>
      <c r="Q110" s="7"/>
      <c r="R110" s="7"/>
      <c r="S110" s="7"/>
      <c r="T110" s="7"/>
    </row>
    <row r="111" spans="1:20" ht="15.75">
      <c r="A111" s="26"/>
      <c r="B111" s="27" t="s">
        <v>55</v>
      </c>
      <c r="C111" s="27"/>
      <c r="D111" s="27"/>
      <c r="E111" s="27"/>
      <c r="F111" s="27"/>
      <c r="G111" s="27"/>
      <c r="H111" s="27"/>
      <c r="I111" s="27"/>
      <c r="J111" s="27"/>
      <c r="K111" s="27"/>
      <c r="L111" s="58"/>
      <c r="M111" s="27"/>
      <c r="N111" s="6"/>
      <c r="O111" s="7"/>
      <c r="P111" s="7"/>
      <c r="Q111" s="7"/>
      <c r="R111" s="7"/>
      <c r="S111" s="7"/>
      <c r="T111" s="7"/>
    </row>
    <row r="112" spans="1:20" ht="15.75">
      <c r="A112" s="26"/>
      <c r="B112" s="27" t="s">
        <v>76</v>
      </c>
      <c r="C112" s="27"/>
      <c r="D112" s="27"/>
      <c r="E112" s="27"/>
      <c r="F112" s="27"/>
      <c r="G112" s="27"/>
      <c r="H112" s="27"/>
      <c r="I112" s="27"/>
      <c r="J112" s="27"/>
      <c r="K112" s="27"/>
      <c r="L112" s="58">
        <f>L106-L108</f>
        <v>4515</v>
      </c>
      <c r="M112" s="27"/>
      <c r="N112" s="6"/>
      <c r="O112" s="7"/>
      <c r="P112" s="7"/>
      <c r="Q112" s="7"/>
      <c r="R112" s="7"/>
      <c r="S112" s="7"/>
      <c r="T112" s="7"/>
    </row>
    <row r="113" spans="1:20" ht="15.75">
      <c r="A113" s="26"/>
      <c r="B113" s="27"/>
      <c r="C113" s="27"/>
      <c r="D113" s="27"/>
      <c r="E113" s="27"/>
      <c r="F113" s="27"/>
      <c r="G113" s="27"/>
      <c r="H113" s="27"/>
      <c r="I113" s="27"/>
      <c r="J113" s="27"/>
      <c r="K113" s="27"/>
      <c r="L113" s="72"/>
      <c r="M113" s="27"/>
      <c r="N113" s="6"/>
      <c r="O113" s="7"/>
      <c r="P113" s="7"/>
      <c r="Q113" s="7"/>
      <c r="R113" s="7"/>
      <c r="S113" s="7"/>
      <c r="T113" s="7"/>
    </row>
    <row r="114" spans="1:20" ht="15.75">
      <c r="A114" s="2"/>
      <c r="B114" s="5"/>
      <c r="C114" s="5"/>
      <c r="D114" s="5"/>
      <c r="E114" s="5"/>
      <c r="F114" s="5"/>
      <c r="G114" s="5"/>
      <c r="H114" s="5"/>
      <c r="I114" s="5"/>
      <c r="J114" s="5"/>
      <c r="K114" s="5"/>
      <c r="L114" s="52"/>
      <c r="M114" s="5"/>
      <c r="N114" s="6"/>
      <c r="O114" s="7"/>
      <c r="P114" s="7"/>
      <c r="Q114" s="7"/>
      <c r="R114" s="7"/>
      <c r="S114" s="7"/>
      <c r="T114" s="7"/>
    </row>
    <row r="115" spans="1:20" ht="15.75">
      <c r="A115" s="8"/>
      <c r="B115" s="73" t="s">
        <v>77</v>
      </c>
      <c r="C115" s="16"/>
      <c r="D115" s="10"/>
      <c r="E115" s="10"/>
      <c r="F115" s="10"/>
      <c r="G115" s="10"/>
      <c r="H115" s="10"/>
      <c r="I115" s="10"/>
      <c r="J115" s="10"/>
      <c r="K115" s="10"/>
      <c r="L115" s="74"/>
      <c r="M115" s="10"/>
      <c r="N115" s="6"/>
      <c r="O115" s="7"/>
      <c r="P115" s="7"/>
      <c r="Q115" s="7"/>
      <c r="R115" s="7"/>
      <c r="S115" s="7"/>
      <c r="T115" s="7"/>
    </row>
    <row r="116" spans="1:20" ht="15.75">
      <c r="A116" s="8"/>
      <c r="B116" s="16"/>
      <c r="C116" s="16"/>
      <c r="D116" s="10"/>
      <c r="E116" s="10"/>
      <c r="F116" s="10"/>
      <c r="G116" s="10"/>
      <c r="H116" s="10"/>
      <c r="I116" s="10"/>
      <c r="J116" s="10"/>
      <c r="K116" s="10"/>
      <c r="L116" s="74"/>
      <c r="M116" s="10"/>
      <c r="N116" s="6"/>
      <c r="O116" s="7"/>
      <c r="P116" s="7"/>
      <c r="Q116" s="7"/>
      <c r="R116" s="7"/>
      <c r="S116" s="7"/>
      <c r="T116" s="7"/>
    </row>
    <row r="117" spans="1:20" ht="15.75">
      <c r="A117" s="26"/>
      <c r="B117" s="27" t="s">
        <v>78</v>
      </c>
      <c r="C117" s="27"/>
      <c r="D117" s="27"/>
      <c r="E117" s="27"/>
      <c r="F117" s="27"/>
      <c r="G117" s="27"/>
      <c r="H117" s="27"/>
      <c r="I117" s="27"/>
      <c r="J117" s="27"/>
      <c r="K117" s="27"/>
      <c r="L117" s="58">
        <v>0</v>
      </c>
      <c r="M117" s="27"/>
      <c r="N117" s="6"/>
      <c r="O117" s="7"/>
      <c r="P117" s="7"/>
      <c r="Q117" s="7"/>
      <c r="R117" s="7"/>
      <c r="S117" s="7"/>
      <c r="T117" s="7"/>
    </row>
    <row r="118" spans="1:20" ht="15.75">
      <c r="A118" s="26"/>
      <c r="B118" s="27" t="s">
        <v>79</v>
      </c>
      <c r="C118" s="27"/>
      <c r="D118" s="27"/>
      <c r="E118" s="27"/>
      <c r="F118" s="27"/>
      <c r="G118" s="27"/>
      <c r="H118" s="27"/>
      <c r="I118" s="27"/>
      <c r="J118" s="27"/>
      <c r="K118" s="27"/>
      <c r="L118" s="58">
        <v>-130</v>
      </c>
      <c r="M118" s="27"/>
      <c r="N118" s="6"/>
      <c r="O118" s="7"/>
      <c r="P118" s="7"/>
      <c r="Q118" s="7"/>
      <c r="R118" s="7"/>
      <c r="S118" s="7"/>
      <c r="T118" s="7"/>
    </row>
    <row r="119" spans="1:20" ht="15.75">
      <c r="A119" s="26"/>
      <c r="B119" s="27" t="s">
        <v>80</v>
      </c>
      <c r="C119" s="27"/>
      <c r="D119" s="27"/>
      <c r="E119" s="27"/>
      <c r="F119" s="27"/>
      <c r="G119" s="27"/>
      <c r="H119" s="27"/>
      <c r="I119" s="27"/>
      <c r="J119" s="27"/>
      <c r="K119" s="27"/>
      <c r="L119" s="58">
        <f>L118+L117</f>
        <v>-130</v>
      </c>
      <c r="M119" s="27"/>
      <c r="N119" s="6"/>
      <c r="O119" s="7"/>
      <c r="P119" s="7"/>
      <c r="Q119" s="7"/>
      <c r="R119" s="7"/>
      <c r="S119" s="7"/>
      <c r="T119" s="7"/>
    </row>
    <row r="120" spans="1:20" ht="15.75">
      <c r="A120" s="26"/>
      <c r="B120" s="27" t="s">
        <v>81</v>
      </c>
      <c r="C120" s="27"/>
      <c r="D120" s="27"/>
      <c r="E120" s="27"/>
      <c r="F120" s="27"/>
      <c r="G120" s="27"/>
      <c r="H120" s="75"/>
      <c r="I120" s="27"/>
      <c r="J120" s="27"/>
      <c r="K120" s="27"/>
      <c r="L120" s="58">
        <v>130</v>
      </c>
      <c r="M120" s="27"/>
      <c r="N120" s="6"/>
      <c r="O120" s="7"/>
      <c r="P120" s="7"/>
      <c r="Q120" s="7"/>
      <c r="R120" s="7"/>
      <c r="S120" s="7"/>
      <c r="T120" s="7"/>
    </row>
    <row r="121" spans="1:20" ht="15.75">
      <c r="A121" s="26"/>
      <c r="B121" s="27" t="s">
        <v>82</v>
      </c>
      <c r="C121" s="27"/>
      <c r="D121" s="27"/>
      <c r="E121" s="27"/>
      <c r="F121" s="27"/>
      <c r="G121" s="27"/>
      <c r="H121" s="27"/>
      <c r="I121" s="27"/>
      <c r="J121" s="27"/>
      <c r="K121" s="27"/>
      <c r="L121" s="58">
        <f>L119+L120</f>
        <v>0</v>
      </c>
      <c r="M121" s="27"/>
      <c r="N121" s="6"/>
      <c r="O121" s="7"/>
      <c r="P121" s="7"/>
      <c r="Q121" s="7"/>
      <c r="R121" s="7"/>
      <c r="S121" s="7"/>
      <c r="T121" s="7"/>
    </row>
    <row r="122" spans="1:20" ht="7.5" customHeight="1">
      <c r="A122" s="26"/>
      <c r="B122" s="27"/>
      <c r="C122" s="27"/>
      <c r="D122" s="27"/>
      <c r="E122" s="27"/>
      <c r="F122" s="27"/>
      <c r="G122" s="27"/>
      <c r="H122" s="27"/>
      <c r="I122" s="27"/>
      <c r="J122" s="27"/>
      <c r="K122" s="27"/>
      <c r="L122" s="72"/>
      <c r="M122" s="27"/>
      <c r="N122" s="6"/>
      <c r="O122" s="7"/>
      <c r="P122" s="7"/>
      <c r="Q122" s="7"/>
      <c r="R122" s="7"/>
      <c r="S122" s="7"/>
      <c r="T122" s="7"/>
    </row>
    <row r="123" spans="1:20" ht="6" customHeight="1">
      <c r="A123" s="2"/>
      <c r="B123" s="5"/>
      <c r="C123" s="5"/>
      <c r="D123" s="5"/>
      <c r="E123" s="5"/>
      <c r="F123" s="5"/>
      <c r="G123" s="5"/>
      <c r="H123" s="5"/>
      <c r="I123" s="5"/>
      <c r="J123" s="5"/>
      <c r="K123" s="5"/>
      <c r="L123" s="52"/>
      <c r="M123" s="5"/>
      <c r="N123" s="6"/>
      <c r="O123" s="7"/>
      <c r="P123" s="7"/>
      <c r="Q123" s="7"/>
      <c r="R123" s="7"/>
      <c r="S123" s="7"/>
      <c r="T123" s="7"/>
    </row>
    <row r="124" spans="1:20" ht="15.75">
      <c r="A124" s="8"/>
      <c r="B124" s="73" t="s">
        <v>83</v>
      </c>
      <c r="C124" s="16"/>
      <c r="D124" s="10"/>
      <c r="E124" s="10"/>
      <c r="F124" s="10"/>
      <c r="G124" s="10"/>
      <c r="H124" s="10"/>
      <c r="I124" s="10"/>
      <c r="J124" s="10"/>
      <c r="K124" s="10"/>
      <c r="L124" s="53"/>
      <c r="M124" s="10"/>
      <c r="N124" s="6"/>
      <c r="O124" s="7"/>
      <c r="P124" s="7"/>
      <c r="Q124" s="7"/>
      <c r="R124" s="7"/>
      <c r="S124" s="7"/>
      <c r="T124" s="7"/>
    </row>
    <row r="125" spans="1:20" ht="15.75">
      <c r="A125" s="8"/>
      <c r="B125" s="76"/>
      <c r="C125" s="16"/>
      <c r="D125" s="10"/>
      <c r="E125" s="10"/>
      <c r="F125" s="10"/>
      <c r="G125" s="10"/>
      <c r="H125" s="10"/>
      <c r="I125" s="10"/>
      <c r="J125" s="10"/>
      <c r="K125" s="10"/>
      <c r="L125" s="53"/>
      <c r="M125" s="10"/>
      <c r="N125" s="6"/>
      <c r="O125" s="7"/>
      <c r="P125" s="7"/>
      <c r="Q125" s="7"/>
      <c r="R125" s="7"/>
      <c r="S125" s="7"/>
      <c r="T125" s="7"/>
    </row>
    <row r="126" spans="1:20" ht="15.75">
      <c r="A126" s="26"/>
      <c r="B126" s="27" t="s">
        <v>84</v>
      </c>
      <c r="C126" s="71"/>
      <c r="D126" s="27"/>
      <c r="E126" s="27"/>
      <c r="F126" s="27"/>
      <c r="G126" s="27"/>
      <c r="H126" s="27"/>
      <c r="I126" s="27"/>
      <c r="J126" s="27"/>
      <c r="K126" s="27"/>
      <c r="L126" s="58">
        <f>L52</f>
        <v>131870</v>
      </c>
      <c r="M126" s="27"/>
      <c r="N126" s="6"/>
      <c r="O126" s="7"/>
      <c r="P126" s="7"/>
      <c r="Q126" s="7"/>
      <c r="R126" s="7"/>
      <c r="S126" s="7"/>
      <c r="T126" s="7"/>
    </row>
    <row r="127" spans="1:20" ht="15.75">
      <c r="A127" s="26"/>
      <c r="B127" s="27" t="s">
        <v>85</v>
      </c>
      <c r="C127" s="71"/>
      <c r="D127" s="27"/>
      <c r="E127" s="27"/>
      <c r="F127" s="27"/>
      <c r="G127" s="27"/>
      <c r="H127" s="27"/>
      <c r="I127" s="27"/>
      <c r="J127" s="27"/>
      <c r="K127" s="27"/>
      <c r="L127" s="58">
        <f>L64</f>
        <v>127542</v>
      </c>
      <c r="M127" s="27"/>
      <c r="N127" s="6"/>
      <c r="O127" s="7"/>
      <c r="P127" s="7"/>
      <c r="Q127" s="7"/>
      <c r="R127" s="7"/>
      <c r="S127" s="7"/>
      <c r="T127" s="7"/>
    </row>
    <row r="128" spans="1:20" ht="7.5" customHeight="1">
      <c r="A128" s="26"/>
      <c r="B128" s="27"/>
      <c r="C128" s="27"/>
      <c r="D128" s="27"/>
      <c r="E128" s="27"/>
      <c r="F128" s="27"/>
      <c r="G128" s="27"/>
      <c r="H128" s="27"/>
      <c r="I128" s="27"/>
      <c r="J128" s="27"/>
      <c r="K128" s="27"/>
      <c r="L128" s="72"/>
      <c r="M128" s="27"/>
      <c r="N128" s="6"/>
      <c r="O128" s="7"/>
      <c r="P128" s="7"/>
      <c r="Q128" s="7"/>
      <c r="R128" s="7"/>
      <c r="S128" s="7"/>
      <c r="T128" s="7"/>
    </row>
    <row r="129" spans="1:20" ht="15.75">
      <c r="A129" s="2"/>
      <c r="B129" s="5"/>
      <c r="C129" s="5"/>
      <c r="D129" s="5"/>
      <c r="E129" s="5"/>
      <c r="F129" s="5"/>
      <c r="G129" s="5"/>
      <c r="H129" s="5"/>
      <c r="I129" s="5"/>
      <c r="J129" s="5"/>
      <c r="K129" s="5"/>
      <c r="L129" s="52"/>
      <c r="M129" s="5"/>
      <c r="N129" s="6"/>
      <c r="O129" s="7"/>
      <c r="P129" s="7"/>
      <c r="Q129" s="7"/>
      <c r="R129" s="7"/>
      <c r="S129" s="7"/>
      <c r="T129" s="7"/>
    </row>
    <row r="130" spans="1:20" ht="15.75">
      <c r="A130" s="8"/>
      <c r="B130" s="73" t="s">
        <v>86</v>
      </c>
      <c r="C130" s="12"/>
      <c r="D130" s="12"/>
      <c r="E130" s="12"/>
      <c r="F130" s="12"/>
      <c r="G130" s="12"/>
      <c r="H130" s="77" t="s">
        <v>163</v>
      </c>
      <c r="I130" s="77"/>
      <c r="J130" s="77" t="s">
        <v>175</v>
      </c>
      <c r="K130" s="12"/>
      <c r="L130" s="78" t="s">
        <v>189</v>
      </c>
      <c r="M130" s="10"/>
      <c r="N130" s="6"/>
      <c r="O130" s="7"/>
      <c r="P130" s="7"/>
      <c r="Q130" s="7"/>
      <c r="R130" s="7"/>
      <c r="S130" s="7"/>
      <c r="T130" s="7"/>
    </row>
    <row r="131" spans="1:20" ht="15.75">
      <c r="A131" s="26"/>
      <c r="B131" s="27" t="s">
        <v>87</v>
      </c>
      <c r="C131" s="27"/>
      <c r="D131" s="27"/>
      <c r="E131" s="27"/>
      <c r="F131" s="27"/>
      <c r="G131" s="27"/>
      <c r="H131" s="58">
        <v>40000</v>
      </c>
      <c r="I131" s="27"/>
      <c r="J131" s="45" t="s">
        <v>176</v>
      </c>
      <c r="K131" s="27"/>
      <c r="L131" s="58"/>
      <c r="M131" s="27"/>
      <c r="N131" s="6"/>
      <c r="O131" s="7"/>
      <c r="P131" s="7"/>
      <c r="Q131" s="7"/>
      <c r="R131" s="7"/>
      <c r="S131" s="7"/>
      <c r="T131" s="7"/>
    </row>
    <row r="132" spans="1:20" ht="15.75">
      <c r="A132" s="26"/>
      <c r="B132" s="27" t="s">
        <v>88</v>
      </c>
      <c r="C132" s="27"/>
      <c r="D132" s="27"/>
      <c r="E132" s="27"/>
      <c r="F132" s="27"/>
      <c r="G132" s="27"/>
      <c r="H132" s="58">
        <v>669</v>
      </c>
      <c r="I132" s="27"/>
      <c r="J132" s="27">
        <v>106</v>
      </c>
      <c r="K132" s="27"/>
      <c r="L132" s="58">
        <f>J132+H132</f>
        <v>775</v>
      </c>
      <c r="M132" s="27"/>
      <c r="N132" s="6"/>
      <c r="O132" s="7"/>
      <c r="P132" s="7"/>
      <c r="Q132" s="7"/>
      <c r="R132" s="7"/>
      <c r="S132" s="7"/>
      <c r="T132" s="7"/>
    </row>
    <row r="133" spans="1:20" ht="15.75">
      <c r="A133" s="26"/>
      <c r="B133" s="27" t="s">
        <v>89</v>
      </c>
      <c r="C133" s="27"/>
      <c r="D133" s="27"/>
      <c r="E133" s="27"/>
      <c r="F133" s="27"/>
      <c r="G133" s="27"/>
      <c r="H133" s="58">
        <v>227</v>
      </c>
      <c r="I133" s="27"/>
      <c r="J133" s="27">
        <v>1</v>
      </c>
      <c r="K133" s="27"/>
      <c r="L133" s="58">
        <f>J133+H133</f>
        <v>228</v>
      </c>
      <c r="M133" s="27"/>
      <c r="N133" s="6"/>
      <c r="O133" s="7"/>
      <c r="P133" s="7"/>
      <c r="Q133" s="7"/>
      <c r="R133" s="7"/>
      <c r="S133" s="7"/>
      <c r="T133" s="7"/>
    </row>
    <row r="134" spans="1:20" ht="15.75">
      <c r="A134" s="26"/>
      <c r="B134" s="27" t="s">
        <v>90</v>
      </c>
      <c r="C134" s="27"/>
      <c r="D134" s="27"/>
      <c r="E134" s="27"/>
      <c r="F134" s="27"/>
      <c r="G134" s="27"/>
      <c r="H134" s="58">
        <f>H133+H132</f>
        <v>896</v>
      </c>
      <c r="I134" s="27"/>
      <c r="J134" s="58">
        <f>J133+J132</f>
        <v>107</v>
      </c>
      <c r="K134" s="27"/>
      <c r="L134" s="58">
        <f>J134+H134</f>
        <v>1003</v>
      </c>
      <c r="M134" s="27"/>
      <c r="N134" s="6"/>
      <c r="O134" s="7"/>
      <c r="P134" s="7"/>
      <c r="Q134" s="7"/>
      <c r="R134" s="7"/>
      <c r="S134" s="7"/>
      <c r="T134" s="7"/>
    </row>
    <row r="135" spans="1:20" ht="15.75">
      <c r="A135" s="26"/>
      <c r="B135" s="27" t="s">
        <v>91</v>
      </c>
      <c r="C135" s="27"/>
      <c r="D135" s="27"/>
      <c r="E135" s="27"/>
      <c r="F135" s="27"/>
      <c r="G135" s="27"/>
      <c r="H135" s="58">
        <f>H131-H134</f>
        <v>39104</v>
      </c>
      <c r="I135" s="27"/>
      <c r="J135" s="45" t="s">
        <v>176</v>
      </c>
      <c r="K135" s="27"/>
      <c r="L135" s="58"/>
      <c r="M135" s="27"/>
      <c r="N135" s="6"/>
      <c r="O135" s="7"/>
      <c r="P135" s="7"/>
      <c r="Q135" s="7"/>
      <c r="R135" s="7"/>
      <c r="S135" s="7"/>
      <c r="T135" s="7"/>
    </row>
    <row r="136" spans="1:20" ht="7.5" customHeight="1">
      <c r="A136" s="26"/>
      <c r="B136" s="27"/>
      <c r="C136" s="27"/>
      <c r="D136" s="27"/>
      <c r="E136" s="27"/>
      <c r="F136" s="27"/>
      <c r="G136" s="27"/>
      <c r="H136" s="27"/>
      <c r="I136" s="27"/>
      <c r="J136" s="27"/>
      <c r="K136" s="27"/>
      <c r="L136" s="72"/>
      <c r="M136" s="27"/>
      <c r="N136" s="6"/>
      <c r="O136" s="7"/>
      <c r="P136" s="7"/>
      <c r="Q136" s="7"/>
      <c r="R136" s="7"/>
      <c r="S136" s="7"/>
      <c r="T136" s="7"/>
    </row>
    <row r="137" spans="1:20" ht="9" customHeight="1">
      <c r="A137" s="2"/>
      <c r="B137" s="5"/>
      <c r="C137" s="5"/>
      <c r="D137" s="5"/>
      <c r="E137" s="5"/>
      <c r="F137" s="5"/>
      <c r="G137" s="5"/>
      <c r="H137" s="5"/>
      <c r="I137" s="5"/>
      <c r="J137" s="5"/>
      <c r="K137" s="5"/>
      <c r="L137" s="52"/>
      <c r="M137" s="5"/>
      <c r="N137" s="6"/>
      <c r="O137" s="7"/>
      <c r="P137" s="7"/>
      <c r="Q137" s="7"/>
      <c r="R137" s="7"/>
      <c r="S137" s="7"/>
      <c r="T137" s="7"/>
    </row>
    <row r="138" spans="1:20" ht="15.75">
      <c r="A138" s="8"/>
      <c r="B138" s="73" t="s">
        <v>92</v>
      </c>
      <c r="C138" s="16"/>
      <c r="D138" s="10"/>
      <c r="E138" s="10"/>
      <c r="F138" s="10"/>
      <c r="G138" s="10"/>
      <c r="H138" s="10"/>
      <c r="I138" s="10"/>
      <c r="J138" s="10"/>
      <c r="K138" s="10"/>
      <c r="L138" s="79"/>
      <c r="M138" s="10"/>
      <c r="N138" s="6"/>
      <c r="O138" s="7"/>
      <c r="P138" s="7"/>
      <c r="Q138" s="7"/>
      <c r="R138" s="7"/>
      <c r="S138" s="7"/>
      <c r="T138" s="7"/>
    </row>
    <row r="139" spans="1:20" ht="15.75">
      <c r="A139" s="26"/>
      <c r="B139" s="27" t="s">
        <v>93</v>
      </c>
      <c r="C139" s="27"/>
      <c r="D139" s="27"/>
      <c r="E139" s="27"/>
      <c r="F139" s="27"/>
      <c r="G139" s="27"/>
      <c r="H139" s="27"/>
      <c r="I139" s="27"/>
      <c r="J139" s="27"/>
      <c r="K139" s="27"/>
      <c r="L139" s="68">
        <f>(L74+L77+L78+L79)/-L80</f>
        <v>1.8747603833865816</v>
      </c>
      <c r="M139" s="27" t="s">
        <v>190</v>
      </c>
      <c r="N139" s="6"/>
      <c r="O139" s="7"/>
      <c r="P139" s="7"/>
      <c r="Q139" s="7"/>
      <c r="R139" s="7"/>
      <c r="S139" s="7"/>
      <c r="T139" s="7"/>
    </row>
    <row r="140" spans="1:20" ht="15.75">
      <c r="A140" s="26"/>
      <c r="B140" s="27" t="s">
        <v>94</v>
      </c>
      <c r="C140" s="27"/>
      <c r="D140" s="27"/>
      <c r="E140" s="27"/>
      <c r="F140" s="27"/>
      <c r="G140" s="27"/>
      <c r="H140" s="27"/>
      <c r="I140" s="27"/>
      <c r="J140" s="27"/>
      <c r="K140" s="27"/>
      <c r="L140" s="80">
        <v>1.46</v>
      </c>
      <c r="M140" s="27" t="s">
        <v>190</v>
      </c>
      <c r="N140" s="6"/>
      <c r="O140" s="7"/>
      <c r="P140" s="7"/>
      <c r="Q140" s="7"/>
      <c r="R140" s="7"/>
      <c r="S140" s="7"/>
      <c r="T140" s="7"/>
    </row>
    <row r="141" spans="1:20" ht="15.75">
      <c r="A141" s="26"/>
      <c r="B141" s="27" t="s">
        <v>95</v>
      </c>
      <c r="C141" s="27"/>
      <c r="D141" s="27"/>
      <c r="E141" s="27"/>
      <c r="F141" s="27"/>
      <c r="G141" s="27"/>
      <c r="H141" s="27"/>
      <c r="I141" s="27"/>
      <c r="J141" s="27"/>
      <c r="K141" s="27"/>
      <c r="L141" s="68">
        <f>(L74+SUM(L77:L81))/-L82</f>
        <v>5.412698412698413</v>
      </c>
      <c r="M141" s="27" t="s">
        <v>190</v>
      </c>
      <c r="N141" s="6"/>
      <c r="O141" s="7"/>
      <c r="P141" s="7"/>
      <c r="Q141" s="7"/>
      <c r="R141" s="7"/>
      <c r="S141" s="7"/>
      <c r="T141" s="7"/>
    </row>
    <row r="142" spans="1:20" ht="15.75">
      <c r="A142" s="26"/>
      <c r="B142" s="27" t="s">
        <v>96</v>
      </c>
      <c r="C142" s="27"/>
      <c r="D142" s="27"/>
      <c r="E142" s="27"/>
      <c r="F142" s="27"/>
      <c r="G142" s="27"/>
      <c r="H142" s="27"/>
      <c r="I142" s="27"/>
      <c r="J142" s="27"/>
      <c r="K142" s="27"/>
      <c r="L142" s="81">
        <v>4.04</v>
      </c>
      <c r="M142" s="27" t="s">
        <v>190</v>
      </c>
      <c r="N142" s="6"/>
      <c r="O142" s="7"/>
      <c r="P142" s="7"/>
      <c r="Q142" s="7"/>
      <c r="R142" s="7"/>
      <c r="S142" s="7"/>
      <c r="T142" s="7"/>
    </row>
    <row r="143" spans="1:20" ht="15.75">
      <c r="A143" s="26"/>
      <c r="B143" s="27" t="s">
        <v>97</v>
      </c>
      <c r="C143" s="27"/>
      <c r="D143" s="27"/>
      <c r="E143" s="27"/>
      <c r="F143" s="27"/>
      <c r="G143" s="27"/>
      <c r="H143" s="27"/>
      <c r="I143" s="27"/>
      <c r="J143" s="27"/>
      <c r="K143" s="27"/>
      <c r="L143" s="68">
        <f>(L74+L77+L78+L79+L80+L81+L82)/-L83</f>
        <v>6.247191011235955</v>
      </c>
      <c r="M143" s="27" t="s">
        <v>190</v>
      </c>
      <c r="N143" s="6"/>
      <c r="O143" s="7"/>
      <c r="P143" s="7"/>
      <c r="Q143" s="7"/>
      <c r="R143" s="7"/>
      <c r="S143" s="7"/>
      <c r="T143" s="7"/>
    </row>
    <row r="144" spans="1:20" ht="15.75">
      <c r="A144" s="26"/>
      <c r="B144" s="27" t="s">
        <v>98</v>
      </c>
      <c r="C144" s="27"/>
      <c r="D144" s="27"/>
      <c r="E144" s="27"/>
      <c r="F144" s="27"/>
      <c r="G144" s="27"/>
      <c r="H144" s="27"/>
      <c r="I144" s="27"/>
      <c r="J144" s="27"/>
      <c r="K144" s="27"/>
      <c r="L144" s="80">
        <v>4.35</v>
      </c>
      <c r="M144" s="27" t="s">
        <v>190</v>
      </c>
      <c r="N144" s="6"/>
      <c r="O144" s="7"/>
      <c r="P144" s="7"/>
      <c r="Q144" s="7"/>
      <c r="R144" s="7"/>
      <c r="S144" s="7"/>
      <c r="T144" s="7"/>
    </row>
    <row r="145" spans="1:20" ht="7.5" customHeight="1">
      <c r="A145" s="26"/>
      <c r="B145" s="27"/>
      <c r="C145" s="27"/>
      <c r="D145" s="27"/>
      <c r="E145" s="27"/>
      <c r="F145" s="27"/>
      <c r="G145" s="27"/>
      <c r="H145" s="27"/>
      <c r="I145" s="27"/>
      <c r="J145" s="27"/>
      <c r="K145" s="27"/>
      <c r="L145" s="27"/>
      <c r="M145" s="27"/>
      <c r="N145" s="6"/>
      <c r="O145" s="7"/>
      <c r="P145" s="7"/>
      <c r="Q145" s="7"/>
      <c r="R145" s="7"/>
      <c r="S145" s="7"/>
      <c r="T145" s="7"/>
    </row>
    <row r="146" spans="1:20" ht="15.75">
      <c r="A146" s="2"/>
      <c r="B146" s="131"/>
      <c r="C146" s="131"/>
      <c r="D146" s="131"/>
      <c r="E146" s="131"/>
      <c r="F146" s="131"/>
      <c r="G146" s="131"/>
      <c r="H146" s="131"/>
      <c r="I146" s="131"/>
      <c r="J146" s="131"/>
      <c r="K146" s="131"/>
      <c r="L146" s="131"/>
      <c r="M146" s="131"/>
      <c r="N146" s="6"/>
      <c r="O146" s="7"/>
      <c r="P146" s="7"/>
      <c r="Q146" s="7"/>
      <c r="R146" s="7"/>
      <c r="S146" s="7"/>
      <c r="T146" s="7"/>
    </row>
    <row r="147" spans="1:20" ht="15.75">
      <c r="A147" s="88"/>
      <c r="B147" s="63" t="s">
        <v>99</v>
      </c>
      <c r="C147" s="132"/>
      <c r="D147" s="132"/>
      <c r="E147" s="132"/>
      <c r="F147" s="132"/>
      <c r="G147" s="21"/>
      <c r="H147" s="21"/>
      <c r="I147" s="21"/>
      <c r="J147" s="21">
        <v>36403</v>
      </c>
      <c r="K147" s="18"/>
      <c r="L147" s="18"/>
      <c r="M147" s="10"/>
      <c r="N147" s="6"/>
      <c r="O147" s="7"/>
      <c r="P147" s="7"/>
      <c r="Q147" s="7"/>
      <c r="R147" s="7"/>
      <c r="S147" s="7"/>
      <c r="T147" s="7"/>
    </row>
    <row r="148" spans="1:20" ht="15.75">
      <c r="A148" s="88"/>
      <c r="B148" s="89"/>
      <c r="C148" s="90"/>
      <c r="D148" s="90"/>
      <c r="E148" s="90"/>
      <c r="F148" s="90"/>
      <c r="G148" s="91"/>
      <c r="H148" s="91"/>
      <c r="I148" s="91"/>
      <c r="J148" s="91"/>
      <c r="K148" s="10"/>
      <c r="L148" s="10"/>
      <c r="M148" s="10"/>
      <c r="N148" s="6"/>
      <c r="O148" s="7"/>
      <c r="P148" s="7"/>
      <c r="Q148" s="7"/>
      <c r="R148" s="7"/>
      <c r="S148" s="7"/>
      <c r="T148" s="7"/>
    </row>
    <row r="149" spans="1:20" ht="15.75">
      <c r="A149" s="92"/>
      <c r="B149" s="93" t="s">
        <v>100</v>
      </c>
      <c r="C149" s="94"/>
      <c r="D149" s="94"/>
      <c r="E149" s="94"/>
      <c r="F149" s="94"/>
      <c r="G149" s="75"/>
      <c r="H149" s="75"/>
      <c r="I149" s="75"/>
      <c r="J149" s="95">
        <v>0.0981</v>
      </c>
      <c r="K149" s="27"/>
      <c r="L149" s="27"/>
      <c r="M149" s="27"/>
      <c r="N149" s="6"/>
      <c r="O149" s="7"/>
      <c r="P149" s="7"/>
      <c r="Q149" s="7"/>
      <c r="R149" s="7"/>
      <c r="S149" s="7"/>
      <c r="T149" s="7"/>
    </row>
    <row r="150" spans="1:20" ht="15.75">
      <c r="A150" s="92"/>
      <c r="B150" s="93" t="s">
        <v>101</v>
      </c>
      <c r="C150" s="94"/>
      <c r="D150" s="94"/>
      <c r="E150" s="94"/>
      <c r="F150" s="94"/>
      <c r="G150" s="75"/>
      <c r="H150" s="75"/>
      <c r="I150" s="75"/>
      <c r="J150" s="44">
        <f>6.96640642439395/100</f>
        <v>0.0696640642439395</v>
      </c>
      <c r="K150" s="27"/>
      <c r="L150" s="27"/>
      <c r="M150" s="27"/>
      <c r="N150" s="6"/>
      <c r="O150" s="7"/>
      <c r="P150" s="7"/>
      <c r="Q150" s="7"/>
      <c r="R150" s="7"/>
      <c r="S150" s="7"/>
      <c r="T150" s="7"/>
    </row>
    <row r="151" spans="1:20" ht="15.75">
      <c r="A151" s="92"/>
      <c r="B151" s="93" t="s">
        <v>102</v>
      </c>
      <c r="C151" s="94"/>
      <c r="D151" s="94"/>
      <c r="E151" s="94"/>
      <c r="F151" s="94"/>
      <c r="G151" s="75"/>
      <c r="H151" s="75"/>
      <c r="I151" s="75"/>
      <c r="J151" s="95">
        <f>J149-J150</f>
        <v>0.0284359357560605</v>
      </c>
      <c r="K151" s="27"/>
      <c r="L151" s="27"/>
      <c r="M151" s="27"/>
      <c r="N151" s="6"/>
      <c r="O151" s="7"/>
      <c r="P151" s="7"/>
      <c r="Q151" s="7"/>
      <c r="R151" s="7"/>
      <c r="S151" s="7"/>
      <c r="T151" s="7"/>
    </row>
    <row r="152" spans="1:20" ht="15.75">
      <c r="A152" s="92"/>
      <c r="B152" s="93" t="s">
        <v>103</v>
      </c>
      <c r="C152" s="94"/>
      <c r="D152" s="94"/>
      <c r="E152" s="94"/>
      <c r="F152" s="94"/>
      <c r="G152" s="75"/>
      <c r="H152" s="75"/>
      <c r="I152" s="75"/>
      <c r="J152" s="95">
        <v>0.08596</v>
      </c>
      <c r="K152" s="27"/>
      <c r="L152" s="27"/>
      <c r="M152" s="27"/>
      <c r="N152" s="6"/>
      <c r="O152" s="7"/>
      <c r="P152" s="7"/>
      <c r="Q152" s="7"/>
      <c r="R152" s="7"/>
      <c r="S152" s="7"/>
      <c r="T152" s="7"/>
    </row>
    <row r="153" spans="1:20" ht="15.75">
      <c r="A153" s="92"/>
      <c r="B153" s="93" t="s">
        <v>104</v>
      </c>
      <c r="C153" s="94"/>
      <c r="D153" s="94"/>
      <c r="E153" s="94"/>
      <c r="F153" s="94"/>
      <c r="G153" s="75"/>
      <c r="H153" s="75"/>
      <c r="I153" s="75"/>
      <c r="J153" s="95">
        <f>L28</f>
        <v>0.055761809657900854</v>
      </c>
      <c r="K153" s="27"/>
      <c r="L153" s="27"/>
      <c r="M153" s="27"/>
      <c r="N153" s="6"/>
      <c r="O153" s="7"/>
      <c r="P153" s="7"/>
      <c r="Q153" s="7"/>
      <c r="R153" s="7"/>
      <c r="S153" s="7"/>
      <c r="T153" s="7"/>
    </row>
    <row r="154" spans="1:20" ht="15.75">
      <c r="A154" s="92"/>
      <c r="B154" s="93" t="s">
        <v>105</v>
      </c>
      <c r="C154" s="94"/>
      <c r="D154" s="94"/>
      <c r="E154" s="94"/>
      <c r="F154" s="94"/>
      <c r="G154" s="75"/>
      <c r="H154" s="75"/>
      <c r="I154" s="75"/>
      <c r="J154" s="95">
        <f>J152-J153</f>
        <v>0.03019819034209914</v>
      </c>
      <c r="K154" s="27"/>
      <c r="L154" s="27"/>
      <c r="M154" s="27"/>
      <c r="N154" s="6"/>
      <c r="O154" s="7"/>
      <c r="P154" s="7"/>
      <c r="Q154" s="7"/>
      <c r="R154" s="7"/>
      <c r="S154" s="7"/>
      <c r="T154" s="7"/>
    </row>
    <row r="155" spans="1:20" ht="15.75">
      <c r="A155" s="92"/>
      <c r="B155" s="93" t="s">
        <v>106</v>
      </c>
      <c r="C155" s="94"/>
      <c r="D155" s="94"/>
      <c r="E155" s="94"/>
      <c r="F155" s="94"/>
      <c r="G155" s="75"/>
      <c r="H155" s="75"/>
      <c r="I155" s="75"/>
      <c r="J155" s="95" t="s">
        <v>177</v>
      </c>
      <c r="K155" s="27"/>
      <c r="L155" s="27"/>
      <c r="M155" s="27"/>
      <c r="N155" s="6"/>
      <c r="O155" s="7"/>
      <c r="P155" s="7"/>
      <c r="Q155" s="7"/>
      <c r="R155" s="7"/>
      <c r="S155" s="7"/>
      <c r="T155" s="7"/>
    </row>
    <row r="156" spans="1:20" ht="15.75">
      <c r="A156" s="92"/>
      <c r="B156" s="93" t="s">
        <v>107</v>
      </c>
      <c r="C156" s="94"/>
      <c r="D156" s="94"/>
      <c r="E156" s="94"/>
      <c r="F156" s="94"/>
      <c r="G156" s="75"/>
      <c r="H156" s="75"/>
      <c r="I156" s="75"/>
      <c r="J156" s="95" t="s">
        <v>178</v>
      </c>
      <c r="K156" s="27"/>
      <c r="L156" s="27"/>
      <c r="M156" s="27"/>
      <c r="N156" s="6"/>
      <c r="O156" s="7"/>
      <c r="P156" s="7"/>
      <c r="Q156" s="7"/>
      <c r="R156" s="7"/>
      <c r="S156" s="7"/>
      <c r="T156" s="7"/>
    </row>
    <row r="157" spans="1:20" ht="15.75">
      <c r="A157" s="92"/>
      <c r="B157" s="93" t="s">
        <v>108</v>
      </c>
      <c r="C157" s="94"/>
      <c r="D157" s="94"/>
      <c r="E157" s="94"/>
      <c r="F157" s="94"/>
      <c r="G157" s="75"/>
      <c r="H157" s="75"/>
      <c r="I157" s="75"/>
      <c r="J157" s="95" t="s">
        <v>179</v>
      </c>
      <c r="K157" s="27"/>
      <c r="L157" s="27"/>
      <c r="M157" s="27"/>
      <c r="N157" s="6"/>
      <c r="O157" s="7"/>
      <c r="P157" s="7"/>
      <c r="Q157" s="7"/>
      <c r="R157" s="7"/>
      <c r="S157" s="7"/>
      <c r="T157" s="7"/>
    </row>
    <row r="158" spans="1:20" ht="15.75">
      <c r="A158" s="92"/>
      <c r="B158" s="93" t="s">
        <v>109</v>
      </c>
      <c r="C158" s="94"/>
      <c r="D158" s="94"/>
      <c r="E158" s="94"/>
      <c r="F158" s="94"/>
      <c r="G158" s="75"/>
      <c r="H158" s="133"/>
      <c r="I158" s="75"/>
      <c r="J158" s="95">
        <f>F52/D52*4</f>
        <v>0.2877225140117734</v>
      </c>
      <c r="K158" s="27"/>
      <c r="L158" s="27"/>
      <c r="M158" s="27"/>
      <c r="N158" s="6"/>
      <c r="O158" s="7"/>
      <c r="P158" s="7"/>
      <c r="Q158" s="7"/>
      <c r="R158" s="7"/>
      <c r="S158" s="7"/>
      <c r="T158" s="7"/>
    </row>
    <row r="159" spans="1:20" ht="15.75">
      <c r="A159" s="92"/>
      <c r="B159" s="93"/>
      <c r="C159" s="93"/>
      <c r="D159" s="93"/>
      <c r="E159" s="93"/>
      <c r="F159" s="93"/>
      <c r="G159" s="27"/>
      <c r="H159" s="27"/>
      <c r="I159" s="27"/>
      <c r="J159" s="72"/>
      <c r="K159" s="27"/>
      <c r="L159" s="97"/>
      <c r="M159" s="27"/>
      <c r="N159" s="6"/>
      <c r="O159" s="7"/>
      <c r="P159" s="7"/>
      <c r="Q159" s="7"/>
      <c r="R159" s="7"/>
      <c r="S159" s="7"/>
      <c r="T159" s="7"/>
    </row>
    <row r="160" spans="1:20" ht="15.75">
      <c r="A160" s="98"/>
      <c r="B160" s="17" t="s">
        <v>110</v>
      </c>
      <c r="C160" s="110"/>
      <c r="D160" s="111"/>
      <c r="E160" s="110"/>
      <c r="F160" s="111"/>
      <c r="G160" s="110"/>
      <c r="H160" s="111"/>
      <c r="I160" s="20" t="s">
        <v>164</v>
      </c>
      <c r="J160" s="99" t="s">
        <v>180</v>
      </c>
      <c r="K160" s="10"/>
      <c r="L160" s="10"/>
      <c r="M160" s="10"/>
      <c r="N160" s="6"/>
      <c r="O160" s="7"/>
      <c r="P160" s="7"/>
      <c r="Q160" s="7"/>
      <c r="R160" s="7"/>
      <c r="S160" s="7"/>
      <c r="T160" s="7"/>
    </row>
    <row r="161" spans="1:20" ht="15.75">
      <c r="A161" s="101"/>
      <c r="B161" s="93" t="s">
        <v>111</v>
      </c>
      <c r="C161" s="59"/>
      <c r="D161" s="59"/>
      <c r="E161" s="59"/>
      <c r="F161" s="27"/>
      <c r="G161" s="27"/>
      <c r="H161" s="27"/>
      <c r="I161" s="27">
        <v>147</v>
      </c>
      <c r="J161" s="58">
        <v>9636</v>
      </c>
      <c r="K161" s="27"/>
      <c r="L161" s="97"/>
      <c r="M161" s="102"/>
      <c r="N161" s="6"/>
      <c r="O161" s="7"/>
      <c r="P161" s="7"/>
      <c r="Q161" s="7"/>
      <c r="R161" s="7"/>
      <c r="S161" s="7"/>
      <c r="T161" s="7"/>
    </row>
    <row r="162" spans="1:20" ht="15.75">
      <c r="A162" s="101"/>
      <c r="B162" s="93" t="s">
        <v>112</v>
      </c>
      <c r="C162" s="59"/>
      <c r="D162" s="59"/>
      <c r="E162" s="59"/>
      <c r="F162" s="27"/>
      <c r="G162" s="27"/>
      <c r="H162" s="27"/>
      <c r="I162" s="27">
        <v>13</v>
      </c>
      <c r="J162" s="58">
        <v>677</v>
      </c>
      <c r="K162" s="27"/>
      <c r="L162" s="97"/>
      <c r="M162" s="102"/>
      <c r="N162" s="6"/>
      <c r="O162" s="7"/>
      <c r="P162" s="7"/>
      <c r="Q162" s="7"/>
      <c r="R162" s="7"/>
      <c r="S162" s="7"/>
      <c r="T162" s="7"/>
    </row>
    <row r="163" spans="1:20" ht="15.75">
      <c r="A163" s="101"/>
      <c r="B163" s="103" t="s">
        <v>113</v>
      </c>
      <c r="C163" s="59"/>
      <c r="D163" s="59"/>
      <c r="E163" s="59"/>
      <c r="F163" s="27"/>
      <c r="G163" s="27"/>
      <c r="H163" s="27"/>
      <c r="I163" s="27"/>
      <c r="J163" s="58">
        <v>0</v>
      </c>
      <c r="K163" s="27"/>
      <c r="L163" s="97"/>
      <c r="M163" s="102"/>
      <c r="N163" s="6"/>
      <c r="O163" s="7"/>
      <c r="P163" s="7"/>
      <c r="Q163" s="7"/>
      <c r="R163" s="7"/>
      <c r="S163" s="7"/>
      <c r="T163" s="7"/>
    </row>
    <row r="164" spans="1:20" ht="15.75">
      <c r="A164" s="101"/>
      <c r="B164" s="103" t="s">
        <v>114</v>
      </c>
      <c r="C164" s="59"/>
      <c r="D164" s="59"/>
      <c r="E164" s="59"/>
      <c r="F164" s="27"/>
      <c r="G164" s="27"/>
      <c r="H164" s="27"/>
      <c r="I164" s="27"/>
      <c r="J164" s="68" t="s">
        <v>139</v>
      </c>
      <c r="K164" s="27"/>
      <c r="L164" s="97"/>
      <c r="M164" s="102"/>
      <c r="N164" s="6"/>
      <c r="O164" s="7"/>
      <c r="P164" s="7"/>
      <c r="Q164" s="7"/>
      <c r="R164" s="7"/>
      <c r="S164" s="7"/>
      <c r="T164" s="7"/>
    </row>
    <row r="165" spans="1:20" ht="15.75">
      <c r="A165" s="104"/>
      <c r="B165" s="103" t="s">
        <v>115</v>
      </c>
      <c r="C165" s="59"/>
      <c r="D165" s="93"/>
      <c r="E165" s="93"/>
      <c r="F165" s="93"/>
      <c r="G165" s="27"/>
      <c r="H165" s="27"/>
      <c r="I165" s="27"/>
      <c r="J165" s="68"/>
      <c r="K165" s="27"/>
      <c r="L165" s="97"/>
      <c r="M165" s="105"/>
      <c r="N165" s="6"/>
      <c r="O165" s="7"/>
      <c r="P165" s="7"/>
      <c r="Q165" s="7"/>
      <c r="R165" s="7"/>
      <c r="S165" s="7"/>
      <c r="T165" s="7"/>
    </row>
    <row r="166" spans="1:20" ht="15.75">
      <c r="A166" s="101"/>
      <c r="B166" s="93" t="s">
        <v>116</v>
      </c>
      <c r="C166" s="59"/>
      <c r="D166" s="59"/>
      <c r="E166" s="59"/>
      <c r="F166" s="59"/>
      <c r="G166" s="27"/>
      <c r="H166" s="27"/>
      <c r="I166" s="27">
        <v>10</v>
      </c>
      <c r="J166" s="58">
        <v>130</v>
      </c>
      <c r="K166" s="27"/>
      <c r="L166" s="97"/>
      <c r="M166" s="105"/>
      <c r="N166" s="6"/>
      <c r="O166" s="7"/>
      <c r="P166" s="7"/>
      <c r="Q166" s="7"/>
      <c r="R166" s="7"/>
      <c r="S166" s="7"/>
      <c r="T166" s="7"/>
    </row>
    <row r="167" spans="1:20" ht="15.75">
      <c r="A167" s="101"/>
      <c r="B167" s="93" t="s">
        <v>117</v>
      </c>
      <c r="C167" s="59"/>
      <c r="D167" s="59"/>
      <c r="E167" s="59"/>
      <c r="F167" s="59"/>
      <c r="G167" s="27"/>
      <c r="H167" s="27"/>
      <c r="I167" s="27">
        <f>'May 99'!I166+I166</f>
        <v>62</v>
      </c>
      <c r="J167" s="27">
        <v>789</v>
      </c>
      <c r="K167" s="27"/>
      <c r="L167" s="97"/>
      <c r="M167" s="105"/>
      <c r="N167" s="6"/>
      <c r="O167" s="7"/>
      <c r="P167" s="7"/>
      <c r="Q167" s="7"/>
      <c r="R167" s="7"/>
      <c r="S167" s="7"/>
      <c r="T167" s="7"/>
    </row>
    <row r="168" spans="1:20" ht="15.75">
      <c r="A168" s="104"/>
      <c r="B168" s="103" t="s">
        <v>118</v>
      </c>
      <c r="C168" s="59"/>
      <c r="D168" s="93"/>
      <c r="E168" s="93"/>
      <c r="F168" s="93"/>
      <c r="G168" s="27"/>
      <c r="H168" s="27"/>
      <c r="I168" s="27"/>
      <c r="J168" s="58"/>
      <c r="K168" s="27"/>
      <c r="L168" s="97"/>
      <c r="M168" s="105"/>
      <c r="N168" s="6"/>
      <c r="O168" s="7"/>
      <c r="P168" s="7"/>
      <c r="Q168" s="7"/>
      <c r="R168" s="7"/>
      <c r="S168" s="7"/>
      <c r="T168" s="7"/>
    </row>
    <row r="169" spans="1:20" ht="15.75">
      <c r="A169" s="104"/>
      <c r="B169" s="93" t="s">
        <v>119</v>
      </c>
      <c r="C169" s="59"/>
      <c r="D169" s="93"/>
      <c r="E169" s="93"/>
      <c r="F169" s="93"/>
      <c r="G169" s="27"/>
      <c r="H169" s="27"/>
      <c r="I169" s="27">
        <v>6</v>
      </c>
      <c r="J169" s="58">
        <v>345</v>
      </c>
      <c r="K169" s="27"/>
      <c r="L169" s="97"/>
      <c r="M169" s="105"/>
      <c r="N169" s="6"/>
      <c r="O169" s="7"/>
      <c r="P169" s="7"/>
      <c r="Q169" s="7"/>
      <c r="R169" s="7"/>
      <c r="S169" s="7"/>
      <c r="T169" s="7"/>
    </row>
    <row r="170" spans="1:20" ht="15.75">
      <c r="A170" s="101"/>
      <c r="B170" s="93" t="s">
        <v>120</v>
      </c>
      <c r="C170" s="59"/>
      <c r="D170" s="106"/>
      <c r="E170" s="106"/>
      <c r="F170" s="107"/>
      <c r="G170" s="27"/>
      <c r="H170" s="27"/>
      <c r="I170" s="27"/>
      <c r="J170" s="68">
        <v>29.37</v>
      </c>
      <c r="K170" s="27"/>
      <c r="L170" s="97"/>
      <c r="M170" s="105"/>
      <c r="N170" s="6"/>
      <c r="O170" s="7"/>
      <c r="P170" s="7"/>
      <c r="Q170" s="7"/>
      <c r="R170" s="7"/>
      <c r="S170" s="7"/>
      <c r="T170" s="7"/>
    </row>
    <row r="171" spans="1:20" ht="15.75">
      <c r="A171" s="101"/>
      <c r="B171" s="93" t="s">
        <v>197</v>
      </c>
      <c r="C171" s="59"/>
      <c r="D171" s="106"/>
      <c r="E171" s="106"/>
      <c r="F171" s="107"/>
      <c r="G171" s="27"/>
      <c r="H171" s="27"/>
      <c r="I171" s="27"/>
      <c r="J171" s="68">
        <v>7</v>
      </c>
      <c r="K171" s="27"/>
      <c r="L171" s="97"/>
      <c r="M171" s="105"/>
      <c r="N171" s="6"/>
      <c r="O171" s="7"/>
      <c r="P171" s="7"/>
      <c r="Q171" s="7"/>
      <c r="R171" s="7"/>
      <c r="S171" s="7"/>
      <c r="T171" s="7"/>
    </row>
    <row r="172" spans="1:20" ht="15.75">
      <c r="A172" s="101"/>
      <c r="B172" s="93" t="s">
        <v>122</v>
      </c>
      <c r="C172" s="59"/>
      <c r="D172" s="108"/>
      <c r="E172" s="106"/>
      <c r="F172" s="107"/>
      <c r="G172" s="27"/>
      <c r="H172" s="27"/>
      <c r="I172" s="27"/>
      <c r="J172" s="109">
        <v>0.796</v>
      </c>
      <c r="K172" s="27"/>
      <c r="L172" s="97"/>
      <c r="M172" s="105"/>
      <c r="N172" s="6"/>
      <c r="O172" s="7"/>
      <c r="P172" s="7"/>
      <c r="Q172" s="7"/>
      <c r="R172" s="7"/>
      <c r="S172" s="7"/>
      <c r="T172" s="7"/>
    </row>
    <row r="173" spans="1:20" ht="15.75">
      <c r="A173" s="101"/>
      <c r="B173" s="93"/>
      <c r="C173" s="59"/>
      <c r="D173" s="108"/>
      <c r="E173" s="106"/>
      <c r="F173" s="107"/>
      <c r="G173" s="27"/>
      <c r="H173" s="27"/>
      <c r="I173" s="27"/>
      <c r="J173" s="109"/>
      <c r="K173" s="27"/>
      <c r="L173" s="97"/>
      <c r="M173" s="105"/>
      <c r="N173" s="6"/>
      <c r="O173" s="7"/>
      <c r="P173" s="7"/>
      <c r="Q173" s="7"/>
      <c r="R173" s="7"/>
      <c r="S173" s="7"/>
      <c r="T173" s="7"/>
    </row>
    <row r="174" spans="1:20" ht="15.75">
      <c r="A174" s="8"/>
      <c r="B174" s="17" t="s">
        <v>123</v>
      </c>
      <c r="C174" s="20"/>
      <c r="D174" s="99"/>
      <c r="E174" s="20"/>
      <c r="F174" s="99"/>
      <c r="G174" s="20"/>
      <c r="H174" s="99" t="s">
        <v>164</v>
      </c>
      <c r="I174" s="20" t="s">
        <v>165</v>
      </c>
      <c r="J174" s="99" t="s">
        <v>181</v>
      </c>
      <c r="K174" s="20" t="s">
        <v>165</v>
      </c>
      <c r="L174" s="10"/>
      <c r="M174" s="112"/>
      <c r="N174" s="6"/>
      <c r="O174" s="7"/>
      <c r="P174" s="7"/>
      <c r="Q174" s="7"/>
      <c r="R174" s="7"/>
      <c r="S174" s="7"/>
      <c r="T174" s="7"/>
    </row>
    <row r="175" spans="1:20" ht="15.75">
      <c r="A175" s="26"/>
      <c r="B175" s="59" t="s">
        <v>124</v>
      </c>
      <c r="C175" s="113"/>
      <c r="D175" s="59"/>
      <c r="E175" s="113"/>
      <c r="F175" s="27"/>
      <c r="G175" s="113"/>
      <c r="H175" s="59">
        <f>1083+1671</f>
        <v>2754</v>
      </c>
      <c r="I175" s="113">
        <f>H175/$H$181</f>
        <v>0.7994194484760523</v>
      </c>
      <c r="J175" s="58">
        <f>42932+57642+4</f>
        <v>100578</v>
      </c>
      <c r="K175" s="114">
        <f>J175/$J$181</f>
        <v>0.7627056950026542</v>
      </c>
      <c r="L175" s="97"/>
      <c r="M175" s="105"/>
      <c r="N175" s="6"/>
      <c r="O175" s="7"/>
      <c r="P175" s="7"/>
      <c r="Q175" s="7"/>
      <c r="R175" s="7"/>
      <c r="S175" s="7"/>
      <c r="T175" s="7"/>
    </row>
    <row r="176" spans="1:20" ht="15.75">
      <c r="A176" s="26"/>
      <c r="B176" s="59" t="s">
        <v>125</v>
      </c>
      <c r="C176" s="113"/>
      <c r="D176" s="59"/>
      <c r="E176" s="113"/>
      <c r="F176" s="27"/>
      <c r="G176" s="115"/>
      <c r="H176" s="59">
        <f>84+39</f>
        <v>123</v>
      </c>
      <c r="I176" s="113">
        <f>H176/$H$181</f>
        <v>0.035703918722786644</v>
      </c>
      <c r="J176" s="58">
        <f>3523+1292</f>
        <v>4815</v>
      </c>
      <c r="K176" s="114">
        <f>J176/$J$181</f>
        <v>0.036513232729203</v>
      </c>
      <c r="L176" s="97"/>
      <c r="M176" s="105"/>
      <c r="N176" s="6"/>
      <c r="O176" s="7"/>
      <c r="P176" s="7"/>
      <c r="Q176" s="7"/>
      <c r="R176" s="7"/>
      <c r="S176" s="7"/>
      <c r="T176" s="7"/>
    </row>
    <row r="177" spans="1:20" ht="15.75">
      <c r="A177" s="26"/>
      <c r="B177" s="59" t="s">
        <v>126</v>
      </c>
      <c r="C177" s="113"/>
      <c r="D177" s="59"/>
      <c r="E177" s="113"/>
      <c r="F177" s="27"/>
      <c r="G177" s="115"/>
      <c r="H177" s="59">
        <f>39+28</f>
        <v>67</v>
      </c>
      <c r="I177" s="113">
        <f>H177/$H$181</f>
        <v>0.019448476052249638</v>
      </c>
      <c r="J177" s="58">
        <f>1747+879</f>
        <v>2626</v>
      </c>
      <c r="K177" s="114">
        <f>J177/$J$181</f>
        <v>0.019913551224690983</v>
      </c>
      <c r="L177" s="97"/>
      <c r="M177" s="105"/>
      <c r="N177" s="6"/>
      <c r="O177" s="7"/>
      <c r="P177" s="7"/>
      <c r="Q177" s="7"/>
      <c r="R177" s="7"/>
      <c r="S177" s="7"/>
      <c r="T177" s="7"/>
    </row>
    <row r="178" spans="1:20" ht="15.75">
      <c r="A178" s="26"/>
      <c r="B178" s="59" t="s">
        <v>127</v>
      </c>
      <c r="C178" s="113"/>
      <c r="D178" s="59"/>
      <c r="E178" s="113"/>
      <c r="F178" s="27"/>
      <c r="G178" s="115"/>
      <c r="H178" s="59">
        <f>43+12+358+88</f>
        <v>501</v>
      </c>
      <c r="I178" s="113">
        <f>H178/$H$181</f>
        <v>0.14542815674891146</v>
      </c>
      <c r="J178" s="58">
        <v>22775</v>
      </c>
      <c r="K178" s="114">
        <f>J178/$J$181</f>
        <v>0.17270796997042542</v>
      </c>
      <c r="L178" s="97"/>
      <c r="M178" s="105"/>
      <c r="N178" s="6"/>
      <c r="O178" s="7"/>
      <c r="P178" s="7"/>
      <c r="Q178" s="7"/>
      <c r="R178" s="7"/>
      <c r="S178" s="7"/>
      <c r="T178" s="7"/>
    </row>
    <row r="179" spans="1:20" ht="15.75">
      <c r="A179" s="26"/>
      <c r="B179" s="30"/>
      <c r="C179" s="113"/>
      <c r="D179" s="59"/>
      <c r="E179" s="113"/>
      <c r="F179" s="27"/>
      <c r="G179" s="115"/>
      <c r="H179" s="59"/>
      <c r="I179" s="113"/>
      <c r="J179" s="58"/>
      <c r="K179" s="114"/>
      <c r="L179" s="97"/>
      <c r="M179" s="105"/>
      <c r="N179" s="6"/>
      <c r="O179" s="7"/>
      <c r="P179" s="7"/>
      <c r="Q179" s="7"/>
      <c r="R179" s="7"/>
      <c r="S179" s="7"/>
      <c r="T179" s="7"/>
    </row>
    <row r="180" spans="1:20" ht="15.75">
      <c r="A180" s="26"/>
      <c r="B180" s="59" t="s">
        <v>128</v>
      </c>
      <c r="C180" s="116"/>
      <c r="D180" s="102"/>
      <c r="E180" s="116"/>
      <c r="F180" s="27"/>
      <c r="G180" s="116"/>
      <c r="H180" s="102"/>
      <c r="I180" s="116"/>
      <c r="J180" s="58">
        <v>1076</v>
      </c>
      <c r="K180" s="114">
        <f>J180/$J$181</f>
        <v>0.008159551073026466</v>
      </c>
      <c r="L180" s="97"/>
      <c r="M180" s="105"/>
      <c r="N180" s="6"/>
      <c r="O180" s="7"/>
      <c r="P180" s="7"/>
      <c r="Q180" s="7"/>
      <c r="R180" s="7"/>
      <c r="S180" s="7"/>
      <c r="T180" s="7"/>
    </row>
    <row r="181" spans="1:20" ht="15.75">
      <c r="A181" s="26"/>
      <c r="B181" s="27"/>
      <c r="C181" s="27"/>
      <c r="D181" s="27"/>
      <c r="E181" s="27"/>
      <c r="F181" s="27"/>
      <c r="G181" s="27"/>
      <c r="H181" s="57">
        <f>SUM(H175:H179)</f>
        <v>3445</v>
      </c>
      <c r="I181" s="114">
        <f>SUM(I175:I178)</f>
        <v>1</v>
      </c>
      <c r="J181" s="58">
        <f>SUM(J175:J180)</f>
        <v>131870</v>
      </c>
      <c r="K181" s="114">
        <f>SUM(K175:K180)</f>
        <v>1.0000000000000002</v>
      </c>
      <c r="L181" s="97"/>
      <c r="M181" s="27"/>
      <c r="N181" s="6"/>
      <c r="O181" s="7"/>
      <c r="P181" s="7"/>
      <c r="Q181" s="7"/>
      <c r="R181" s="7"/>
      <c r="S181" s="7"/>
      <c r="T181" s="7"/>
    </row>
    <row r="182" spans="1:20" ht="15.75">
      <c r="A182" s="26"/>
      <c r="B182" s="27"/>
      <c r="C182" s="27"/>
      <c r="D182" s="27"/>
      <c r="E182" s="27"/>
      <c r="F182" s="27"/>
      <c r="G182" s="27"/>
      <c r="H182" s="57"/>
      <c r="I182" s="114"/>
      <c r="J182" s="58"/>
      <c r="K182" s="114"/>
      <c r="L182" s="97"/>
      <c r="M182" s="27"/>
      <c r="N182" s="6"/>
      <c r="O182" s="7"/>
      <c r="P182" s="7"/>
      <c r="Q182" s="7"/>
      <c r="R182" s="7"/>
      <c r="S182" s="7"/>
      <c r="T182" s="7"/>
    </row>
    <row r="183" spans="1:20" ht="15.75">
      <c r="A183" s="8"/>
      <c r="B183" s="10"/>
      <c r="C183" s="10"/>
      <c r="D183" s="10"/>
      <c r="E183" s="10"/>
      <c r="F183" s="10"/>
      <c r="G183" s="10"/>
      <c r="H183" s="60"/>
      <c r="I183" s="117"/>
      <c r="J183" s="118"/>
      <c r="K183" s="117"/>
      <c r="L183" s="79"/>
      <c r="M183" s="10"/>
      <c r="N183" s="6"/>
      <c r="O183" s="7"/>
      <c r="P183" s="7"/>
      <c r="Q183" s="7"/>
      <c r="R183" s="7"/>
      <c r="S183" s="7"/>
      <c r="T183" s="7"/>
    </row>
    <row r="184" spans="1:20" ht="15.75">
      <c r="A184" s="119"/>
      <c r="B184" s="17" t="s">
        <v>129</v>
      </c>
      <c r="C184" s="120"/>
      <c r="D184" s="20" t="s">
        <v>144</v>
      </c>
      <c r="E184" s="18"/>
      <c r="F184" s="17" t="s">
        <v>154</v>
      </c>
      <c r="G184" s="121"/>
      <c r="H184" s="15"/>
      <c r="I184" s="15"/>
      <c r="J184" s="15"/>
      <c r="K184" s="15"/>
      <c r="L184" s="15"/>
      <c r="M184" s="15"/>
      <c r="N184" s="6"/>
      <c r="O184" s="7"/>
      <c r="P184" s="7"/>
      <c r="Q184" s="7"/>
      <c r="R184" s="7"/>
      <c r="S184" s="7"/>
      <c r="T184" s="7"/>
    </row>
    <row r="185" spans="1:20" ht="15.75">
      <c r="A185" s="119"/>
      <c r="B185" s="15"/>
      <c r="C185" s="15"/>
      <c r="D185" s="10"/>
      <c r="E185" s="10"/>
      <c r="F185" s="10"/>
      <c r="G185" s="15"/>
      <c r="H185" s="15"/>
      <c r="I185" s="15"/>
      <c r="J185" s="15"/>
      <c r="K185" s="15"/>
      <c r="L185" s="15"/>
      <c r="M185" s="15"/>
      <c r="N185" s="6"/>
      <c r="O185" s="7"/>
      <c r="P185" s="7"/>
      <c r="Q185" s="7"/>
      <c r="R185" s="7"/>
      <c r="S185" s="7"/>
      <c r="T185" s="7"/>
    </row>
    <row r="186" spans="1:20" ht="15.75">
      <c r="A186" s="119"/>
      <c r="B186" s="16" t="s">
        <v>130</v>
      </c>
      <c r="C186" s="124"/>
      <c r="D186" s="125" t="s">
        <v>145</v>
      </c>
      <c r="E186" s="16"/>
      <c r="F186" s="16" t="s">
        <v>155</v>
      </c>
      <c r="G186" s="124"/>
      <c r="H186" s="124"/>
      <c r="I186" s="124"/>
      <c r="J186" s="124"/>
      <c r="K186" s="15"/>
      <c r="L186" s="15"/>
      <c r="M186" s="15"/>
      <c r="N186" s="6"/>
      <c r="O186" s="7"/>
      <c r="P186" s="7"/>
      <c r="Q186" s="7"/>
      <c r="R186" s="7"/>
      <c r="S186" s="7"/>
      <c r="T186" s="7"/>
    </row>
    <row r="187" spans="1:20" ht="15.75">
      <c r="A187" s="119"/>
      <c r="B187" s="16" t="s">
        <v>131</v>
      </c>
      <c r="C187" s="124"/>
      <c r="D187" s="125" t="s">
        <v>146</v>
      </c>
      <c r="E187" s="16"/>
      <c r="F187" s="16" t="s">
        <v>156</v>
      </c>
      <c r="G187" s="124"/>
      <c r="H187" s="124"/>
      <c r="I187" s="124"/>
      <c r="J187" s="124"/>
      <c r="K187" s="15"/>
      <c r="L187" s="15"/>
      <c r="M187" s="15"/>
      <c r="N187" s="6"/>
      <c r="O187" s="7"/>
      <c r="P187" s="7"/>
      <c r="Q187" s="7"/>
      <c r="R187" s="7"/>
      <c r="S187" s="7"/>
      <c r="T187" s="7"/>
    </row>
    <row r="188" spans="1:20" ht="15">
      <c r="A188" s="119"/>
      <c r="B188" s="15"/>
      <c r="C188" s="15"/>
      <c r="D188" s="15"/>
      <c r="E188" s="15"/>
      <c r="F188" s="15"/>
      <c r="G188" s="15"/>
      <c r="H188" s="15"/>
      <c r="I188" s="15"/>
      <c r="J188" s="15"/>
      <c r="K188" s="15"/>
      <c r="L188" s="15"/>
      <c r="M188" s="15"/>
      <c r="N188" s="6"/>
      <c r="O188" s="7"/>
      <c r="P188" s="7"/>
      <c r="Q188" s="7"/>
      <c r="R188" s="7"/>
      <c r="S188" s="7"/>
      <c r="T188" s="7"/>
    </row>
    <row r="189" spans="1:20" ht="15">
      <c r="A189" s="119"/>
      <c r="B189" s="15"/>
      <c r="C189" s="15"/>
      <c r="D189" s="15"/>
      <c r="E189" s="15"/>
      <c r="F189" s="15"/>
      <c r="G189" s="15"/>
      <c r="H189" s="15"/>
      <c r="I189" s="15"/>
      <c r="J189" s="15"/>
      <c r="K189" s="15"/>
      <c r="L189" s="15"/>
      <c r="M189" s="15"/>
      <c r="N189" s="6"/>
      <c r="O189" s="7"/>
      <c r="P189" s="7"/>
      <c r="Q189" s="7"/>
      <c r="R189" s="7"/>
      <c r="S189" s="7"/>
      <c r="T189" s="7"/>
    </row>
    <row r="190" spans="1:20" ht="15">
      <c r="A190" s="119"/>
      <c r="B190" s="15"/>
      <c r="C190" s="15"/>
      <c r="D190" s="15"/>
      <c r="E190" s="15"/>
      <c r="F190" s="15"/>
      <c r="G190" s="15"/>
      <c r="H190" s="15"/>
      <c r="I190" s="15"/>
      <c r="J190" s="15"/>
      <c r="K190" s="15"/>
      <c r="L190" s="15"/>
      <c r="M190" s="15"/>
      <c r="N190" s="6"/>
      <c r="O190" s="7"/>
      <c r="P190" s="7"/>
      <c r="Q190" s="7"/>
      <c r="R190" s="7"/>
      <c r="S190" s="7"/>
      <c r="T190" s="7"/>
    </row>
    <row r="191" spans="1:20" ht="15">
      <c r="A191" s="126"/>
      <c r="B191" s="126"/>
      <c r="C191" s="126"/>
      <c r="D191" s="126"/>
      <c r="E191" s="126"/>
      <c r="F191" s="126"/>
      <c r="G191" s="126"/>
      <c r="H191" s="126"/>
      <c r="I191" s="126"/>
      <c r="J191" s="126"/>
      <c r="K191" s="126"/>
      <c r="L191" s="126"/>
      <c r="M191" s="126"/>
      <c r="N191" s="7"/>
      <c r="O191" s="7"/>
      <c r="P191" s="7"/>
      <c r="Q191" s="7"/>
      <c r="R191" s="7"/>
      <c r="S191" s="7"/>
      <c r="T191" s="7"/>
    </row>
  </sheetData>
  <printOptions/>
  <pageMargins left="0.5" right="0.5" top="0.3" bottom="0.3423611111111111" header="0" footer="0"/>
  <pageSetup orientation="landscape" paperSize="9" scale="63"/>
  <headerFooter alignWithMargins="0">
    <oddFooter>&amp;LFFP1 INVESTOR REPORT QTR END AUGUST 2001</oddFooter>
  </headerFooter>
</worksheet>
</file>

<file path=xl/worksheets/sheet3.xml><?xml version="1.0" encoding="utf-8"?>
<worksheet xmlns="http://schemas.openxmlformats.org/spreadsheetml/2006/main" xmlns:r="http://schemas.openxmlformats.org/officeDocument/2006/relationships">
  <dimension ref="A1:S189"/>
  <sheetViews>
    <sheetView showOutlineSymbols="0" zoomScale="70" zoomScaleNormal="70" workbookViewId="0" topLeftCell="C1">
      <selection activeCell="M10" sqref="M10"/>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9.6640625" style="1" customWidth="1"/>
    <col min="12" max="12" width="13.6640625" style="1" customWidth="1"/>
    <col min="13" max="13" width="19.77734375" style="1" customWidth="1"/>
    <col min="14" max="16384" width="9.6640625" style="1" customWidth="1"/>
  </cols>
  <sheetData>
    <row r="1" spans="1:19" ht="20.25">
      <c r="A1" s="2"/>
      <c r="B1" s="3" t="s">
        <v>0</v>
      </c>
      <c r="C1" s="4"/>
      <c r="D1" s="5"/>
      <c r="E1" s="5"/>
      <c r="F1" s="5"/>
      <c r="G1" s="5"/>
      <c r="H1" s="5"/>
      <c r="I1" s="5"/>
      <c r="J1" s="5"/>
      <c r="K1" s="5"/>
      <c r="L1" s="5"/>
      <c r="M1" s="5"/>
      <c r="N1" s="6"/>
      <c r="O1" s="7"/>
      <c r="P1" s="7"/>
      <c r="Q1" s="7"/>
      <c r="R1" s="7"/>
      <c r="S1" s="7"/>
    </row>
    <row r="2" spans="1:19" ht="15.75">
      <c r="A2" s="8"/>
      <c r="B2" s="9"/>
      <c r="C2" s="9"/>
      <c r="D2" s="10"/>
      <c r="E2" s="10"/>
      <c r="F2" s="10"/>
      <c r="G2" s="10"/>
      <c r="H2" s="10"/>
      <c r="I2" s="10"/>
      <c r="J2" s="10"/>
      <c r="K2" s="10"/>
      <c r="L2" s="10"/>
      <c r="M2" s="10"/>
      <c r="N2" s="6"/>
      <c r="O2" s="7"/>
      <c r="P2" s="7"/>
      <c r="Q2" s="7"/>
      <c r="R2" s="7"/>
      <c r="S2" s="7"/>
    </row>
    <row r="3" spans="1:19" ht="15.75">
      <c r="A3" s="11"/>
      <c r="B3" s="12" t="s">
        <v>1</v>
      </c>
      <c r="C3" s="10"/>
      <c r="D3" s="10"/>
      <c r="E3" s="10"/>
      <c r="F3" s="10"/>
      <c r="G3" s="10"/>
      <c r="H3" s="10"/>
      <c r="I3" s="10"/>
      <c r="J3" s="10"/>
      <c r="K3" s="10"/>
      <c r="L3" s="10"/>
      <c r="M3" s="10"/>
      <c r="N3" s="6"/>
      <c r="O3" s="7"/>
      <c r="P3" s="7"/>
      <c r="Q3" s="7"/>
      <c r="R3" s="7"/>
      <c r="S3" s="7"/>
    </row>
    <row r="4" spans="1:19" ht="15.75">
      <c r="A4" s="8"/>
      <c r="B4" s="9"/>
      <c r="C4" s="9"/>
      <c r="D4" s="10"/>
      <c r="E4" s="10"/>
      <c r="F4" s="10"/>
      <c r="G4" s="10"/>
      <c r="H4" s="10"/>
      <c r="I4" s="10"/>
      <c r="J4" s="10"/>
      <c r="K4" s="10"/>
      <c r="L4" s="10"/>
      <c r="M4" s="10"/>
      <c r="N4" s="6"/>
      <c r="O4" s="7"/>
      <c r="P4" s="7"/>
      <c r="Q4" s="7"/>
      <c r="R4" s="7"/>
      <c r="S4" s="7"/>
    </row>
    <row r="5" spans="1:19" ht="12" customHeight="1">
      <c r="A5" s="8"/>
      <c r="B5" s="13" t="s">
        <v>2</v>
      </c>
      <c r="C5" s="14"/>
      <c r="D5" s="10"/>
      <c r="E5" s="10"/>
      <c r="F5" s="10"/>
      <c r="G5" s="10"/>
      <c r="H5" s="10"/>
      <c r="I5" s="10"/>
      <c r="J5" s="10"/>
      <c r="K5" s="10"/>
      <c r="L5" s="10"/>
      <c r="M5" s="10"/>
      <c r="N5" s="6"/>
      <c r="O5" s="7"/>
      <c r="P5" s="7"/>
      <c r="Q5" s="7"/>
      <c r="R5" s="7"/>
      <c r="S5" s="7"/>
    </row>
    <row r="6" spans="1:19" ht="12" customHeight="1">
      <c r="A6" s="8"/>
      <c r="B6" s="13" t="s">
        <v>3</v>
      </c>
      <c r="C6" s="14"/>
      <c r="D6" s="10"/>
      <c r="E6" s="10"/>
      <c r="F6" s="10"/>
      <c r="G6" s="10"/>
      <c r="H6" s="10"/>
      <c r="I6" s="10"/>
      <c r="J6" s="10"/>
      <c r="K6" s="10"/>
      <c r="L6" s="10"/>
      <c r="M6" s="10"/>
      <c r="N6" s="6"/>
      <c r="O6" s="7"/>
      <c r="P6" s="7"/>
      <c r="Q6" s="7"/>
      <c r="R6" s="7"/>
      <c r="S6" s="7"/>
    </row>
    <row r="7" spans="1:19" ht="12" customHeight="1">
      <c r="A7" s="8"/>
      <c r="B7" s="13" t="s">
        <v>4</v>
      </c>
      <c r="C7" s="14"/>
      <c r="D7" s="10"/>
      <c r="E7" s="10"/>
      <c r="F7" s="10"/>
      <c r="G7" s="10"/>
      <c r="H7" s="10"/>
      <c r="I7" s="10"/>
      <c r="J7" s="10"/>
      <c r="K7" s="10"/>
      <c r="L7" s="10"/>
      <c r="M7" s="10"/>
      <c r="N7" s="6"/>
      <c r="O7" s="7"/>
      <c r="P7" s="7"/>
      <c r="Q7" s="7"/>
      <c r="R7" s="7"/>
      <c r="S7" s="7"/>
    </row>
    <row r="8" spans="1:19" ht="12" customHeight="1">
      <c r="A8" s="8"/>
      <c r="B8" s="15"/>
      <c r="C8" s="14"/>
      <c r="D8" s="10"/>
      <c r="E8" s="10"/>
      <c r="F8" s="10"/>
      <c r="G8" s="10"/>
      <c r="H8" s="10"/>
      <c r="I8" s="10"/>
      <c r="J8" s="10"/>
      <c r="K8" s="10"/>
      <c r="L8" s="10"/>
      <c r="M8" s="10"/>
      <c r="N8" s="6"/>
      <c r="O8" s="7"/>
      <c r="P8" s="7"/>
      <c r="Q8" s="7"/>
      <c r="R8" s="7"/>
      <c r="S8" s="7"/>
    </row>
    <row r="9" spans="1:19" ht="15.75">
      <c r="A9" s="8"/>
      <c r="B9" s="14"/>
      <c r="C9" s="14"/>
      <c r="D9" s="16"/>
      <c r="E9" s="16"/>
      <c r="F9" s="10"/>
      <c r="G9" s="10"/>
      <c r="H9" s="10"/>
      <c r="I9" s="10"/>
      <c r="J9" s="10"/>
      <c r="K9" s="10"/>
      <c r="L9" s="10"/>
      <c r="M9" s="10"/>
      <c r="N9" s="6"/>
      <c r="O9" s="7"/>
      <c r="P9" s="7"/>
      <c r="Q9" s="7"/>
      <c r="R9" s="7"/>
      <c r="S9" s="7"/>
    </row>
    <row r="10" spans="1:19" ht="15.75">
      <c r="A10" s="8"/>
      <c r="B10" s="16" t="s">
        <v>5</v>
      </c>
      <c r="C10" s="16"/>
      <c r="D10" s="10"/>
      <c r="E10" s="10"/>
      <c r="F10" s="10"/>
      <c r="G10" s="10"/>
      <c r="H10" s="10"/>
      <c r="I10" s="10"/>
      <c r="J10" s="10"/>
      <c r="K10" s="10"/>
      <c r="L10" s="10"/>
      <c r="M10" s="10"/>
      <c r="N10" s="6"/>
      <c r="O10" s="7"/>
      <c r="P10" s="7"/>
      <c r="Q10" s="7"/>
      <c r="R10" s="7"/>
      <c r="S10" s="7"/>
    </row>
    <row r="11" spans="1:19" ht="15.75">
      <c r="A11" s="8"/>
      <c r="B11" s="16"/>
      <c r="C11" s="16"/>
      <c r="D11" s="10"/>
      <c r="E11" s="10"/>
      <c r="F11" s="10"/>
      <c r="G11" s="10"/>
      <c r="H11" s="10"/>
      <c r="I11" s="10"/>
      <c r="J11" s="10"/>
      <c r="K11" s="10"/>
      <c r="L11" s="10"/>
      <c r="M11" s="10"/>
      <c r="N11" s="6"/>
      <c r="O11" s="7"/>
      <c r="P11" s="7"/>
      <c r="Q11" s="7"/>
      <c r="R11" s="7"/>
      <c r="S11" s="7"/>
    </row>
    <row r="12" spans="1:19" ht="15.75">
      <c r="A12" s="2"/>
      <c r="B12" s="5"/>
      <c r="C12" s="5"/>
      <c r="D12" s="5"/>
      <c r="E12" s="5"/>
      <c r="F12" s="5"/>
      <c r="G12" s="5"/>
      <c r="H12" s="5"/>
      <c r="I12" s="5"/>
      <c r="J12" s="5"/>
      <c r="K12" s="5"/>
      <c r="L12" s="5"/>
      <c r="M12" s="5"/>
      <c r="N12" s="6"/>
      <c r="O12" s="7"/>
      <c r="P12" s="7"/>
      <c r="Q12" s="7"/>
      <c r="R12" s="7"/>
      <c r="S12" s="7"/>
    </row>
    <row r="13" spans="1:19" ht="15.75">
      <c r="A13" s="8"/>
      <c r="B13" s="17" t="s">
        <v>6</v>
      </c>
      <c r="C13" s="17"/>
      <c r="D13" s="18"/>
      <c r="E13" s="18"/>
      <c r="F13" s="18"/>
      <c r="G13" s="18"/>
      <c r="H13" s="18"/>
      <c r="I13" s="18"/>
      <c r="J13" s="18"/>
      <c r="K13" s="18"/>
      <c r="L13" s="19" t="s">
        <v>183</v>
      </c>
      <c r="M13" s="18"/>
      <c r="N13" s="6"/>
      <c r="O13" s="7"/>
      <c r="P13" s="7"/>
      <c r="Q13" s="7"/>
      <c r="R13" s="7"/>
      <c r="S13" s="7"/>
    </row>
    <row r="14" spans="1:19" ht="15.75">
      <c r="A14" s="8"/>
      <c r="B14" s="17" t="s">
        <v>7</v>
      </c>
      <c r="C14" s="17"/>
      <c r="D14" s="18"/>
      <c r="E14" s="18"/>
      <c r="F14" s="18"/>
      <c r="G14" s="18"/>
      <c r="H14" s="18"/>
      <c r="I14" s="18"/>
      <c r="J14" s="18"/>
      <c r="K14" s="18"/>
      <c r="L14" s="20" t="s">
        <v>184</v>
      </c>
      <c r="M14" s="18"/>
      <c r="N14" s="6"/>
      <c r="O14" s="7"/>
      <c r="P14" s="7"/>
      <c r="Q14" s="7"/>
      <c r="R14" s="7"/>
      <c r="S14" s="7"/>
    </row>
    <row r="15" spans="1:19" ht="15.75">
      <c r="A15" s="8"/>
      <c r="B15" s="17" t="s">
        <v>8</v>
      </c>
      <c r="C15" s="17"/>
      <c r="D15" s="18"/>
      <c r="E15" s="18"/>
      <c r="F15" s="18"/>
      <c r="G15" s="18"/>
      <c r="H15" s="18"/>
      <c r="I15" s="18"/>
      <c r="J15" s="18"/>
      <c r="K15" s="18"/>
      <c r="L15" s="21">
        <v>36507</v>
      </c>
      <c r="M15" s="18"/>
      <c r="N15" s="6"/>
      <c r="O15" s="7"/>
      <c r="P15" s="7"/>
      <c r="Q15" s="7"/>
      <c r="R15" s="7"/>
      <c r="S15" s="7"/>
    </row>
    <row r="16" spans="1:19" ht="15.75">
      <c r="A16" s="8"/>
      <c r="B16" s="10"/>
      <c r="C16" s="10"/>
      <c r="D16" s="10"/>
      <c r="E16" s="10"/>
      <c r="F16" s="10"/>
      <c r="G16" s="10"/>
      <c r="H16" s="10"/>
      <c r="I16" s="10"/>
      <c r="J16" s="10"/>
      <c r="K16" s="10"/>
      <c r="L16" s="22"/>
      <c r="M16" s="10"/>
      <c r="N16" s="6"/>
      <c r="O16" s="7"/>
      <c r="P16" s="7"/>
      <c r="Q16" s="7"/>
      <c r="R16" s="7"/>
      <c r="S16" s="7"/>
    </row>
    <row r="17" spans="1:19" ht="15.75">
      <c r="A17" s="8"/>
      <c r="B17" s="10" t="s">
        <v>9</v>
      </c>
      <c r="C17" s="10"/>
      <c r="D17" s="10"/>
      <c r="E17" s="10"/>
      <c r="F17" s="10"/>
      <c r="G17" s="10"/>
      <c r="H17" s="10"/>
      <c r="I17" s="10"/>
      <c r="J17" s="22" t="s">
        <v>166</v>
      </c>
      <c r="K17" s="10"/>
      <c r="L17" s="15"/>
      <c r="M17" s="10"/>
      <c r="N17" s="6"/>
      <c r="O17" s="7"/>
      <c r="P17" s="7"/>
      <c r="Q17" s="7"/>
      <c r="R17" s="7"/>
      <c r="S17" s="7"/>
    </row>
    <row r="18" spans="1:19" ht="13.5" customHeight="1">
      <c r="A18" s="8"/>
      <c r="B18" s="10"/>
      <c r="C18" s="10"/>
      <c r="D18" s="10"/>
      <c r="E18" s="10"/>
      <c r="F18" s="10"/>
      <c r="G18" s="10"/>
      <c r="H18" s="10"/>
      <c r="I18" s="10"/>
      <c r="J18" s="10"/>
      <c r="K18" s="10"/>
      <c r="L18" s="23"/>
      <c r="M18" s="10"/>
      <c r="N18" s="6"/>
      <c r="O18" s="7"/>
      <c r="P18" s="7"/>
      <c r="Q18" s="7"/>
      <c r="R18" s="7"/>
      <c r="S18" s="7"/>
    </row>
    <row r="19" spans="1:19" ht="13.5" customHeight="1">
      <c r="A19" s="8"/>
      <c r="B19" s="10"/>
      <c r="C19" s="24" t="s">
        <v>132</v>
      </c>
      <c r="D19" s="25" t="s">
        <v>135</v>
      </c>
      <c r="E19" s="25"/>
      <c r="F19" s="25" t="s">
        <v>147</v>
      </c>
      <c r="G19" s="25"/>
      <c r="H19" s="25" t="s">
        <v>157</v>
      </c>
      <c r="I19" s="25"/>
      <c r="J19" s="25" t="s">
        <v>167</v>
      </c>
      <c r="K19" s="15"/>
      <c r="L19" s="15"/>
      <c r="M19" s="10"/>
      <c r="N19" s="6"/>
      <c r="O19" s="7"/>
      <c r="P19" s="7"/>
      <c r="Q19" s="7"/>
      <c r="R19" s="7"/>
      <c r="S19" s="7"/>
    </row>
    <row r="20" spans="1:19" ht="13.5" customHeight="1">
      <c r="A20" s="26"/>
      <c r="B20" s="27" t="s">
        <v>10</v>
      </c>
      <c r="C20" s="28" t="s">
        <v>133</v>
      </c>
      <c r="D20" s="29" t="s">
        <v>136</v>
      </c>
      <c r="E20" s="29"/>
      <c r="F20" s="29" t="s">
        <v>136</v>
      </c>
      <c r="G20" s="29"/>
      <c r="H20" s="29" t="s">
        <v>158</v>
      </c>
      <c r="I20" s="29"/>
      <c r="J20" s="29" t="s">
        <v>168</v>
      </c>
      <c r="K20" s="30"/>
      <c r="L20" s="30"/>
      <c r="M20" s="27"/>
      <c r="N20" s="6"/>
      <c r="O20" s="7"/>
      <c r="P20" s="7"/>
      <c r="Q20" s="7"/>
      <c r="R20" s="7"/>
      <c r="S20" s="7"/>
    </row>
    <row r="21" spans="1:19" ht="13.5" customHeight="1">
      <c r="A21" s="26"/>
      <c r="B21" s="27" t="s">
        <v>11</v>
      </c>
      <c r="C21" s="27"/>
      <c r="D21" s="29" t="s">
        <v>136</v>
      </c>
      <c r="E21" s="29"/>
      <c r="F21" s="29" t="s">
        <v>136</v>
      </c>
      <c r="G21" s="29"/>
      <c r="H21" s="29" t="s">
        <v>158</v>
      </c>
      <c r="I21" s="29"/>
      <c r="J21" s="29" t="s">
        <v>168</v>
      </c>
      <c r="K21" s="30"/>
      <c r="L21" s="30"/>
      <c r="M21" s="27"/>
      <c r="N21" s="6"/>
      <c r="O21" s="7"/>
      <c r="P21" s="7"/>
      <c r="Q21" s="7"/>
      <c r="R21" s="7"/>
      <c r="S21" s="7"/>
    </row>
    <row r="22" spans="1:19" ht="13.5" customHeight="1">
      <c r="A22" s="26"/>
      <c r="B22" s="27" t="s">
        <v>12</v>
      </c>
      <c r="C22" s="27"/>
      <c r="D22" s="33" t="s">
        <v>137</v>
      </c>
      <c r="E22" s="29"/>
      <c r="F22" s="33" t="s">
        <v>148</v>
      </c>
      <c r="G22" s="29"/>
      <c r="H22" s="33" t="s">
        <v>159</v>
      </c>
      <c r="I22" s="29"/>
      <c r="J22" s="33" t="s">
        <v>169</v>
      </c>
      <c r="K22" s="30"/>
      <c r="L22" s="30"/>
      <c r="M22" s="27"/>
      <c r="N22" s="6"/>
      <c r="O22" s="7"/>
      <c r="P22" s="7"/>
      <c r="Q22" s="7"/>
      <c r="R22" s="7"/>
      <c r="S22" s="7"/>
    </row>
    <row r="23" spans="1:19" ht="13.5" customHeight="1">
      <c r="A23" s="26"/>
      <c r="B23" s="27"/>
      <c r="C23" s="27"/>
      <c r="D23" s="27"/>
      <c r="E23" s="29"/>
      <c r="F23" s="29"/>
      <c r="G23" s="29"/>
      <c r="H23" s="29"/>
      <c r="I23" s="29"/>
      <c r="J23" s="29"/>
      <c r="K23" s="30"/>
      <c r="L23" s="30"/>
      <c r="M23" s="27"/>
      <c r="N23" s="6"/>
      <c r="O23" s="7"/>
      <c r="P23" s="7"/>
      <c r="Q23" s="7"/>
      <c r="R23" s="7"/>
      <c r="S23" s="7"/>
    </row>
    <row r="24" spans="1:19" ht="13.5" customHeight="1">
      <c r="A24" s="26"/>
      <c r="B24" s="27" t="s">
        <v>13</v>
      </c>
      <c r="C24" s="27"/>
      <c r="D24" s="34">
        <v>67000</v>
      </c>
      <c r="E24" s="35"/>
      <c r="F24" s="34">
        <v>128780</v>
      </c>
      <c r="G24" s="34"/>
      <c r="H24" s="34">
        <v>16920</v>
      </c>
      <c r="I24" s="34"/>
      <c r="J24" s="34">
        <v>11290</v>
      </c>
      <c r="K24" s="36"/>
      <c r="L24" s="34">
        <f>J24+H24+F24+D24</f>
        <v>223990</v>
      </c>
      <c r="M24" s="37"/>
      <c r="N24" s="6"/>
      <c r="O24" s="7"/>
      <c r="P24" s="7"/>
      <c r="Q24" s="7"/>
      <c r="R24" s="7"/>
      <c r="S24" s="7"/>
    </row>
    <row r="25" spans="1:19" ht="13.5" customHeight="1">
      <c r="A25" s="26"/>
      <c r="B25" s="27" t="s">
        <v>14</v>
      </c>
      <c r="C25" s="27">
        <v>0.822419</v>
      </c>
      <c r="D25" s="34">
        <v>0</v>
      </c>
      <c r="E25" s="35"/>
      <c r="F25" s="34">
        <f>120780*C25</f>
        <v>99331.76682</v>
      </c>
      <c r="G25" s="34"/>
      <c r="H25" s="34">
        <v>16920</v>
      </c>
      <c r="I25" s="34"/>
      <c r="J25" s="34">
        <v>11290</v>
      </c>
      <c r="K25" s="36"/>
      <c r="L25" s="34">
        <f>J25+H25+F25+D25</f>
        <v>127541.76682</v>
      </c>
      <c r="M25" s="37"/>
      <c r="N25" s="6"/>
      <c r="O25" s="7"/>
      <c r="P25" s="7"/>
      <c r="Q25" s="7"/>
      <c r="R25" s="7"/>
      <c r="S25" s="7"/>
    </row>
    <row r="26" spans="1:19" ht="13.5" customHeight="1">
      <c r="A26" s="26"/>
      <c r="B26" s="31" t="s">
        <v>15</v>
      </c>
      <c r="C26" s="93">
        <v>0.761818</v>
      </c>
      <c r="D26" s="40">
        <v>0</v>
      </c>
      <c r="E26" s="41"/>
      <c r="F26" s="40">
        <f>120780*C26</f>
        <v>92012.37804</v>
      </c>
      <c r="G26" s="40"/>
      <c r="H26" s="40">
        <v>16920</v>
      </c>
      <c r="I26" s="40"/>
      <c r="J26" s="40">
        <v>11290</v>
      </c>
      <c r="K26" s="42"/>
      <c r="L26" s="40">
        <f>J26+H26+F26+D26</f>
        <v>120222.37804</v>
      </c>
      <c r="M26" s="31"/>
      <c r="N26" s="6"/>
      <c r="O26" s="7"/>
      <c r="P26" s="7"/>
      <c r="Q26" s="7"/>
      <c r="R26" s="7"/>
      <c r="S26" s="7"/>
    </row>
    <row r="27" spans="1:19" ht="13.5" customHeight="1">
      <c r="A27" s="26"/>
      <c r="B27" s="27" t="s">
        <v>16</v>
      </c>
      <c r="C27" s="27"/>
      <c r="D27" s="33" t="s">
        <v>138</v>
      </c>
      <c r="E27" s="27"/>
      <c r="F27" s="33" t="s">
        <v>149</v>
      </c>
      <c r="G27" s="33"/>
      <c r="H27" s="33" t="s">
        <v>160</v>
      </c>
      <c r="I27" s="33"/>
      <c r="J27" s="33" t="s">
        <v>170</v>
      </c>
      <c r="K27" s="30"/>
      <c r="L27" s="30"/>
      <c r="M27" s="27"/>
      <c r="N27" s="6"/>
      <c r="O27" s="7"/>
      <c r="P27" s="7"/>
      <c r="Q27" s="7"/>
      <c r="R27" s="7"/>
      <c r="S27" s="7"/>
    </row>
    <row r="28" spans="1:19" ht="13.5" customHeight="1">
      <c r="A28" s="26"/>
      <c r="B28" s="27" t="s">
        <v>17</v>
      </c>
      <c r="C28" s="27"/>
      <c r="D28" s="33" t="s">
        <v>139</v>
      </c>
      <c r="E28" s="27"/>
      <c r="F28" s="43">
        <f>(5.21656+0.13)/100</f>
        <v>0.0534656</v>
      </c>
      <c r="G28" s="44"/>
      <c r="H28" s="43">
        <f>(5.21656+0.35)/100</f>
        <v>0.0556656</v>
      </c>
      <c r="I28" s="44"/>
      <c r="J28" s="43">
        <f>(5.21656+0.69)/100</f>
        <v>0.05906560000000001</v>
      </c>
      <c r="K28" s="30"/>
      <c r="L28" s="44">
        <f>SUMPRODUCT(D28:J28,D25:J25)/L25</f>
        <v>0.05425316945669227</v>
      </c>
      <c r="M28" s="27"/>
      <c r="N28" s="6"/>
      <c r="O28" s="7"/>
      <c r="P28" s="7"/>
      <c r="Q28" s="7"/>
      <c r="R28" s="7"/>
      <c r="S28" s="7"/>
    </row>
    <row r="29" spans="1:19" ht="13.5" customHeight="1">
      <c r="A29" s="26"/>
      <c r="B29" s="27" t="s">
        <v>18</v>
      </c>
      <c r="C29" s="27"/>
      <c r="D29" s="33" t="s">
        <v>139</v>
      </c>
      <c r="E29" s="27"/>
      <c r="F29" s="43">
        <f>(5.37313+0.13)/100</f>
        <v>0.0550313</v>
      </c>
      <c r="G29" s="44"/>
      <c r="H29" s="43">
        <f>(5.37313+0.35)/100</f>
        <v>0.05723129999999999</v>
      </c>
      <c r="I29" s="44"/>
      <c r="J29" s="43">
        <f>(5.37313+0.69)/100</f>
        <v>0.06063129999999999</v>
      </c>
      <c r="K29" s="30"/>
      <c r="L29" s="30"/>
      <c r="M29" s="27"/>
      <c r="N29" s="6"/>
      <c r="O29" s="7"/>
      <c r="P29" s="7"/>
      <c r="Q29" s="7"/>
      <c r="R29" s="7"/>
      <c r="S29" s="7"/>
    </row>
    <row r="30" spans="1:19" ht="15.75">
      <c r="A30" s="26"/>
      <c r="B30" s="27" t="s">
        <v>19</v>
      </c>
      <c r="C30" s="27"/>
      <c r="D30" s="33" t="s">
        <v>140</v>
      </c>
      <c r="E30" s="27"/>
      <c r="F30" s="33" t="s">
        <v>150</v>
      </c>
      <c r="G30" s="33"/>
      <c r="H30" s="33" t="s">
        <v>150</v>
      </c>
      <c r="I30" s="33"/>
      <c r="J30" s="33" t="s">
        <v>150</v>
      </c>
      <c r="K30" s="30"/>
      <c r="L30" s="30"/>
      <c r="M30" s="27"/>
      <c r="N30" s="6"/>
      <c r="O30" s="7"/>
      <c r="P30" s="7"/>
      <c r="Q30" s="7"/>
      <c r="R30" s="7"/>
      <c r="S30" s="7"/>
    </row>
    <row r="31" spans="1:19" ht="15.75">
      <c r="A31" s="26"/>
      <c r="B31" s="27" t="s">
        <v>20</v>
      </c>
      <c r="C31" s="27"/>
      <c r="D31" s="33" t="s">
        <v>141</v>
      </c>
      <c r="E31" s="27"/>
      <c r="F31" s="33" t="s">
        <v>151</v>
      </c>
      <c r="G31" s="33"/>
      <c r="H31" s="33" t="s">
        <v>151</v>
      </c>
      <c r="I31" s="33"/>
      <c r="J31" s="33" t="s">
        <v>151</v>
      </c>
      <c r="K31" s="30"/>
      <c r="L31" s="30"/>
      <c r="M31" s="27"/>
      <c r="N31" s="6"/>
      <c r="O31" s="7"/>
      <c r="P31" s="7"/>
      <c r="Q31" s="7"/>
      <c r="R31" s="7"/>
      <c r="S31" s="7"/>
    </row>
    <row r="32" spans="1:19" ht="15.75">
      <c r="A32" s="26"/>
      <c r="B32" s="27" t="s">
        <v>21</v>
      </c>
      <c r="C32" s="27"/>
      <c r="D32" s="33" t="s">
        <v>142</v>
      </c>
      <c r="E32" s="27"/>
      <c r="F32" s="33" t="s">
        <v>152</v>
      </c>
      <c r="G32" s="33"/>
      <c r="H32" s="33" t="s">
        <v>161</v>
      </c>
      <c r="I32" s="33"/>
      <c r="J32" s="33" t="s">
        <v>171</v>
      </c>
      <c r="K32" s="30"/>
      <c r="L32" s="30"/>
      <c r="M32" s="27"/>
      <c r="N32" s="6"/>
      <c r="O32" s="7"/>
      <c r="P32" s="7"/>
      <c r="Q32" s="7"/>
      <c r="R32" s="7"/>
      <c r="S32" s="7"/>
    </row>
    <row r="33" spans="1:19" ht="15.75">
      <c r="A33" s="26"/>
      <c r="B33" s="27"/>
      <c r="C33" s="27"/>
      <c r="D33" s="45"/>
      <c r="E33" s="45"/>
      <c r="F33" s="27"/>
      <c r="G33" s="45"/>
      <c r="H33" s="45"/>
      <c r="I33" s="45"/>
      <c r="J33" s="45"/>
      <c r="K33" s="45"/>
      <c r="L33" s="45"/>
      <c r="M33" s="27"/>
      <c r="N33" s="6"/>
      <c r="O33" s="7"/>
      <c r="P33" s="7"/>
      <c r="Q33" s="7"/>
      <c r="R33" s="7"/>
      <c r="S33" s="7"/>
    </row>
    <row r="34" spans="1:19" ht="15.75">
      <c r="A34" s="26"/>
      <c r="B34" s="27" t="s">
        <v>22</v>
      </c>
      <c r="C34" s="27"/>
      <c r="D34" s="27"/>
      <c r="E34" s="27"/>
      <c r="F34" s="27"/>
      <c r="G34" s="27"/>
      <c r="H34" s="27"/>
      <c r="I34" s="27"/>
      <c r="J34" s="27"/>
      <c r="K34" s="27"/>
      <c r="L34" s="44">
        <f>(H24+J24)/(D24+F24)</f>
        <v>0.14409030544488713</v>
      </c>
      <c r="M34" s="27"/>
      <c r="N34" s="6"/>
      <c r="O34" s="7"/>
      <c r="P34" s="7"/>
      <c r="Q34" s="7"/>
      <c r="R34" s="7"/>
      <c r="S34" s="7"/>
    </row>
    <row r="35" spans="1:19" ht="15.75">
      <c r="A35" s="26"/>
      <c r="B35" s="27" t="s">
        <v>23</v>
      </c>
      <c r="C35" s="27"/>
      <c r="D35" s="27"/>
      <c r="E35" s="27"/>
      <c r="F35" s="27"/>
      <c r="G35" s="27"/>
      <c r="H35" s="27"/>
      <c r="I35" s="27"/>
      <c r="J35" s="27"/>
      <c r="K35" s="27"/>
      <c r="L35" s="44">
        <f>(H26+J26)/(D26+F26)</f>
        <v>0.30658918507395205</v>
      </c>
      <c r="M35" s="27"/>
      <c r="N35" s="6"/>
      <c r="O35" s="7"/>
      <c r="P35" s="7"/>
      <c r="Q35" s="7"/>
      <c r="R35" s="7"/>
      <c r="S35" s="7"/>
    </row>
    <row r="36" spans="1:19" ht="15.75">
      <c r="A36" s="26"/>
      <c r="B36" s="27" t="s">
        <v>24</v>
      </c>
      <c r="C36" s="27"/>
      <c r="D36" s="27"/>
      <c r="E36" s="27"/>
      <c r="F36" s="27"/>
      <c r="G36" s="27"/>
      <c r="H36" s="27"/>
      <c r="I36" s="27"/>
      <c r="J36" s="33" t="s">
        <v>172</v>
      </c>
      <c r="K36" s="33" t="s">
        <v>182</v>
      </c>
      <c r="L36" s="34">
        <v>83785000</v>
      </c>
      <c r="M36" s="27"/>
      <c r="N36" s="6"/>
      <c r="O36" s="7"/>
      <c r="P36" s="7"/>
      <c r="Q36" s="7"/>
      <c r="R36" s="7"/>
      <c r="S36" s="7"/>
    </row>
    <row r="37" spans="1:19" ht="15.75">
      <c r="A37" s="26"/>
      <c r="B37" s="27"/>
      <c r="C37" s="27"/>
      <c r="D37" s="27"/>
      <c r="E37" s="27"/>
      <c r="F37" s="27"/>
      <c r="G37" s="27"/>
      <c r="H37" s="27"/>
      <c r="I37" s="27"/>
      <c r="J37" s="27"/>
      <c r="K37" s="27"/>
      <c r="L37" s="46"/>
      <c r="M37" s="27"/>
      <c r="N37" s="6"/>
      <c r="O37" s="7"/>
      <c r="P37" s="7"/>
      <c r="Q37" s="7"/>
      <c r="R37" s="7"/>
      <c r="S37" s="7"/>
    </row>
    <row r="38" spans="1:19" ht="15.75">
      <c r="A38" s="26"/>
      <c r="B38" s="27" t="s">
        <v>25</v>
      </c>
      <c r="C38" s="27"/>
      <c r="D38" s="27"/>
      <c r="E38" s="27"/>
      <c r="F38" s="27"/>
      <c r="G38" s="27"/>
      <c r="H38" s="27"/>
      <c r="I38" s="27"/>
      <c r="J38" s="33"/>
      <c r="K38" s="33"/>
      <c r="L38" s="33" t="s">
        <v>185</v>
      </c>
      <c r="M38" s="27"/>
      <c r="N38" s="6"/>
      <c r="O38" s="7"/>
      <c r="P38" s="7"/>
      <c r="Q38" s="7"/>
      <c r="R38" s="7"/>
      <c r="S38" s="7"/>
    </row>
    <row r="39" spans="1:19" ht="15.75">
      <c r="A39" s="129"/>
      <c r="B39" s="31" t="s">
        <v>26</v>
      </c>
      <c r="C39" s="31"/>
      <c r="D39" s="31"/>
      <c r="E39" s="31"/>
      <c r="F39" s="31"/>
      <c r="G39" s="31"/>
      <c r="H39" s="31"/>
      <c r="I39" s="31"/>
      <c r="J39" s="47"/>
      <c r="K39" s="47"/>
      <c r="L39" s="48">
        <v>36494</v>
      </c>
      <c r="M39" s="27"/>
      <c r="N39" s="6"/>
      <c r="O39" s="7"/>
      <c r="P39" s="7"/>
      <c r="Q39" s="7"/>
      <c r="R39" s="7"/>
      <c r="S39" s="7"/>
    </row>
    <row r="40" spans="1:19" ht="15.75">
      <c r="A40" s="26"/>
      <c r="B40" s="27" t="s">
        <v>27</v>
      </c>
      <c r="C40" s="27"/>
      <c r="D40" s="27"/>
      <c r="E40" s="27"/>
      <c r="F40" s="27"/>
      <c r="G40" s="27"/>
      <c r="H40" s="30"/>
      <c r="I40" s="27">
        <f>L40-J40+1</f>
        <v>95</v>
      </c>
      <c r="J40" s="49">
        <v>36308</v>
      </c>
      <c r="K40" s="50"/>
      <c r="L40" s="49">
        <v>36402</v>
      </c>
      <c r="M40" s="27"/>
      <c r="N40" s="6"/>
      <c r="O40" s="7"/>
      <c r="P40" s="7"/>
      <c r="Q40" s="7"/>
      <c r="R40" s="7"/>
      <c r="S40" s="7"/>
    </row>
    <row r="41" spans="1:19" ht="15.75">
      <c r="A41" s="26"/>
      <c r="B41" s="27" t="s">
        <v>28</v>
      </c>
      <c r="C41" s="27"/>
      <c r="D41" s="27"/>
      <c r="E41" s="27"/>
      <c r="F41" s="27"/>
      <c r="G41" s="27"/>
      <c r="H41" s="30"/>
      <c r="I41" s="27">
        <f>L41-J41+1</f>
        <v>91</v>
      </c>
      <c r="J41" s="49">
        <v>36403</v>
      </c>
      <c r="K41" s="50"/>
      <c r="L41" s="49">
        <v>36493</v>
      </c>
      <c r="M41" s="27"/>
      <c r="N41" s="6"/>
      <c r="O41" s="7"/>
      <c r="P41" s="7"/>
      <c r="Q41" s="7"/>
      <c r="R41" s="7"/>
      <c r="S41" s="7"/>
    </row>
    <row r="42" spans="1:19" ht="15.75">
      <c r="A42" s="26"/>
      <c r="B42" s="27" t="s">
        <v>29</v>
      </c>
      <c r="C42" s="27"/>
      <c r="D42" s="27"/>
      <c r="E42" s="27"/>
      <c r="F42" s="27"/>
      <c r="G42" s="27"/>
      <c r="H42" s="27"/>
      <c r="I42" s="27"/>
      <c r="J42" s="49"/>
      <c r="K42" s="50"/>
      <c r="L42" s="49" t="s">
        <v>186</v>
      </c>
      <c r="M42" s="27"/>
      <c r="N42" s="6"/>
      <c r="O42" s="7"/>
      <c r="P42" s="7"/>
      <c r="Q42" s="7"/>
      <c r="R42" s="7"/>
      <c r="S42" s="7"/>
    </row>
    <row r="43" spans="1:19" ht="15.75">
      <c r="A43" s="26"/>
      <c r="B43" s="27" t="s">
        <v>30</v>
      </c>
      <c r="C43" s="27"/>
      <c r="D43" s="27"/>
      <c r="E43" s="27"/>
      <c r="F43" s="27"/>
      <c r="G43" s="27"/>
      <c r="H43" s="27"/>
      <c r="I43" s="27"/>
      <c r="J43" s="49"/>
      <c r="K43" s="50"/>
      <c r="L43" s="49">
        <v>36486</v>
      </c>
      <c r="M43" s="27"/>
      <c r="N43" s="6"/>
      <c r="O43" s="7"/>
      <c r="P43" s="7"/>
      <c r="Q43" s="7"/>
      <c r="R43" s="7"/>
      <c r="S43" s="7"/>
    </row>
    <row r="44" spans="1:19" ht="15.75">
      <c r="A44" s="26"/>
      <c r="B44" s="27"/>
      <c r="C44" s="27"/>
      <c r="D44" s="27"/>
      <c r="E44" s="27"/>
      <c r="F44" s="27"/>
      <c r="G44" s="27"/>
      <c r="H44" s="27"/>
      <c r="I44" s="27"/>
      <c r="J44" s="27"/>
      <c r="K44" s="27"/>
      <c r="L44" s="51"/>
      <c r="M44" s="27"/>
      <c r="N44" s="6"/>
      <c r="O44" s="7"/>
      <c r="P44" s="7"/>
      <c r="Q44" s="7"/>
      <c r="R44" s="7"/>
      <c r="S44" s="7"/>
    </row>
    <row r="45" spans="1:19" ht="15.75">
      <c r="A45" s="2"/>
      <c r="B45" s="5"/>
      <c r="C45" s="5"/>
      <c r="D45" s="5"/>
      <c r="E45" s="5"/>
      <c r="F45" s="5"/>
      <c r="G45" s="5"/>
      <c r="H45" s="5"/>
      <c r="I45" s="5"/>
      <c r="J45" s="5"/>
      <c r="K45" s="5"/>
      <c r="L45" s="52"/>
      <c r="M45" s="5"/>
      <c r="N45" s="6"/>
      <c r="O45" s="7"/>
      <c r="P45" s="7"/>
      <c r="Q45" s="7"/>
      <c r="R45" s="7"/>
      <c r="S45" s="7"/>
    </row>
    <row r="46" spans="1:19" ht="15.75">
      <c r="A46" s="8"/>
      <c r="B46" s="63" t="s">
        <v>31</v>
      </c>
      <c r="C46" s="16"/>
      <c r="D46" s="10"/>
      <c r="E46" s="10"/>
      <c r="F46" s="10"/>
      <c r="G46" s="10"/>
      <c r="H46" s="10"/>
      <c r="I46" s="10"/>
      <c r="J46" s="10"/>
      <c r="K46" s="10"/>
      <c r="L46" s="53"/>
      <c r="M46" s="10"/>
      <c r="N46" s="6"/>
      <c r="O46" s="7"/>
      <c r="P46" s="7"/>
      <c r="Q46" s="7"/>
      <c r="R46" s="7"/>
      <c r="S46" s="7"/>
    </row>
    <row r="47" spans="1:19" ht="15.75">
      <c r="A47" s="8"/>
      <c r="B47" s="16"/>
      <c r="C47" s="16"/>
      <c r="D47" s="10"/>
      <c r="E47" s="10"/>
      <c r="F47" s="10"/>
      <c r="G47" s="10"/>
      <c r="H47" s="10"/>
      <c r="I47" s="10"/>
      <c r="J47" s="10"/>
      <c r="K47" s="10"/>
      <c r="L47" s="53"/>
      <c r="M47" s="10"/>
      <c r="N47" s="6"/>
      <c r="O47" s="7"/>
      <c r="P47" s="7"/>
      <c r="Q47" s="7"/>
      <c r="R47" s="7"/>
      <c r="S47" s="7"/>
    </row>
    <row r="48" spans="1:19" ht="63">
      <c r="A48" s="8"/>
      <c r="B48" s="54" t="s">
        <v>32</v>
      </c>
      <c r="C48" s="55" t="s">
        <v>134</v>
      </c>
      <c r="D48" s="55" t="s">
        <v>143</v>
      </c>
      <c r="E48" s="55"/>
      <c r="F48" s="55" t="s">
        <v>153</v>
      </c>
      <c r="G48" s="55"/>
      <c r="H48" s="55" t="s">
        <v>162</v>
      </c>
      <c r="I48" s="55"/>
      <c r="J48" s="55" t="s">
        <v>173</v>
      </c>
      <c r="K48" s="55"/>
      <c r="L48" s="56" t="s">
        <v>187</v>
      </c>
      <c r="M48" s="10"/>
      <c r="N48" s="6"/>
      <c r="O48" s="7"/>
      <c r="P48" s="7"/>
      <c r="Q48" s="7"/>
      <c r="R48" s="7"/>
      <c r="S48" s="7"/>
    </row>
    <row r="49" spans="1:19" ht="15.75">
      <c r="A49" s="26"/>
      <c r="B49" s="27" t="s">
        <v>33</v>
      </c>
      <c r="C49" s="57">
        <v>220604</v>
      </c>
      <c r="D49" s="58">
        <v>130794</v>
      </c>
      <c r="E49" s="57"/>
      <c r="F49" s="57">
        <f>7525+269+379-33</f>
        <v>8140</v>
      </c>
      <c r="G49" s="57"/>
      <c r="H49" s="57">
        <v>269</v>
      </c>
      <c r="I49" s="57"/>
      <c r="J49" s="57">
        <v>0</v>
      </c>
      <c r="K49" s="57"/>
      <c r="L49" s="58">
        <f>D49-F49+H49-J49</f>
        <v>122923</v>
      </c>
      <c r="M49" s="27"/>
      <c r="N49" s="6"/>
      <c r="O49" s="7"/>
      <c r="P49" s="7"/>
      <c r="Q49" s="7"/>
      <c r="R49" s="7"/>
      <c r="S49" s="7"/>
    </row>
    <row r="50" spans="1:19" ht="15.75">
      <c r="A50" s="26"/>
      <c r="B50" s="27" t="s">
        <v>34</v>
      </c>
      <c r="C50" s="57">
        <v>5129</v>
      </c>
      <c r="D50" s="58">
        <v>1076</v>
      </c>
      <c r="E50" s="57"/>
      <c r="F50" s="57">
        <v>156</v>
      </c>
      <c r="G50" s="57"/>
      <c r="H50" s="57">
        <v>0</v>
      </c>
      <c r="I50" s="57"/>
      <c r="J50" s="57">
        <v>0</v>
      </c>
      <c r="K50" s="57"/>
      <c r="L50" s="58">
        <f>D50-F50</f>
        <v>920</v>
      </c>
      <c r="M50" s="27"/>
      <c r="N50" s="6"/>
      <c r="O50" s="7"/>
      <c r="P50" s="7"/>
      <c r="Q50" s="7"/>
      <c r="R50" s="7"/>
      <c r="S50" s="7"/>
    </row>
    <row r="51" spans="1:19" ht="15.75">
      <c r="A51" s="26"/>
      <c r="B51" s="27"/>
      <c r="C51" s="57"/>
      <c r="D51" s="57"/>
      <c r="E51" s="57"/>
      <c r="F51" s="57"/>
      <c r="G51" s="57"/>
      <c r="H51" s="57"/>
      <c r="I51" s="57"/>
      <c r="J51" s="57"/>
      <c r="K51" s="57"/>
      <c r="L51" s="58"/>
      <c r="M51" s="27"/>
      <c r="N51" s="6"/>
      <c r="O51" s="7"/>
      <c r="P51" s="7"/>
      <c r="Q51" s="7"/>
      <c r="R51" s="7"/>
      <c r="S51" s="7"/>
    </row>
    <row r="52" spans="1:19" ht="15.75">
      <c r="A52" s="26"/>
      <c r="B52" s="27" t="s">
        <v>35</v>
      </c>
      <c r="C52" s="57">
        <f>SUM(C49:C51)</f>
        <v>225733</v>
      </c>
      <c r="D52" s="57">
        <f>SUM(D49:D51)</f>
        <v>131870</v>
      </c>
      <c r="E52" s="57"/>
      <c r="F52" s="57">
        <f>SUM(F49:F51)</f>
        <v>8296</v>
      </c>
      <c r="G52" s="57"/>
      <c r="H52" s="57">
        <f>SUM(H49:H51)</f>
        <v>269</v>
      </c>
      <c r="I52" s="57"/>
      <c r="J52" s="57">
        <f>SUM(J49:J51)</f>
        <v>0</v>
      </c>
      <c r="K52" s="57"/>
      <c r="L52" s="59">
        <f>SUM(L49:L51)</f>
        <v>123843</v>
      </c>
      <c r="M52" s="27"/>
      <c r="N52" s="6"/>
      <c r="O52" s="7"/>
      <c r="P52" s="7"/>
      <c r="Q52" s="7"/>
      <c r="R52" s="7"/>
      <c r="S52" s="7"/>
    </row>
    <row r="53" spans="1:19" ht="15.75">
      <c r="A53" s="26"/>
      <c r="B53" s="27"/>
      <c r="C53" s="57"/>
      <c r="D53" s="57"/>
      <c r="E53" s="57"/>
      <c r="F53" s="57"/>
      <c r="G53" s="57"/>
      <c r="H53" s="57"/>
      <c r="I53" s="57"/>
      <c r="J53" s="57"/>
      <c r="K53" s="57"/>
      <c r="L53" s="59"/>
      <c r="M53" s="27"/>
      <c r="N53" s="6"/>
      <c r="O53" s="7"/>
      <c r="P53" s="7"/>
      <c r="Q53" s="7"/>
      <c r="R53" s="7"/>
      <c r="S53" s="7"/>
    </row>
    <row r="54" spans="1:19" ht="15.75">
      <c r="A54" s="8"/>
      <c r="B54" s="12" t="s">
        <v>36</v>
      </c>
      <c r="C54" s="60"/>
      <c r="D54" s="60"/>
      <c r="E54" s="60"/>
      <c r="F54" s="61"/>
      <c r="G54" s="60"/>
      <c r="H54" s="60"/>
      <c r="I54" s="60"/>
      <c r="J54" s="60"/>
      <c r="K54" s="60"/>
      <c r="L54" s="62"/>
      <c r="M54" s="10"/>
      <c r="N54" s="6"/>
      <c r="O54" s="7"/>
      <c r="P54" s="7"/>
      <c r="Q54" s="7"/>
      <c r="R54" s="7"/>
      <c r="S54" s="7"/>
    </row>
    <row r="55" spans="1:19" ht="15.75">
      <c r="A55" s="8"/>
      <c r="B55" s="10"/>
      <c r="C55" s="60"/>
      <c r="D55" s="60"/>
      <c r="E55" s="60"/>
      <c r="F55" s="60"/>
      <c r="G55" s="60"/>
      <c r="H55" s="60"/>
      <c r="I55" s="60"/>
      <c r="J55" s="60"/>
      <c r="K55" s="60"/>
      <c r="L55" s="118"/>
      <c r="M55" s="10"/>
      <c r="N55" s="6"/>
      <c r="O55" s="7"/>
      <c r="P55" s="7"/>
      <c r="Q55" s="7"/>
      <c r="R55" s="7"/>
      <c r="S55" s="7"/>
    </row>
    <row r="56" spans="1:19" ht="15.75">
      <c r="A56" s="26"/>
      <c r="B56" s="27" t="s">
        <v>33</v>
      </c>
      <c r="C56" s="57"/>
      <c r="D56" s="57"/>
      <c r="E56" s="57"/>
      <c r="F56" s="57"/>
      <c r="G56" s="57"/>
      <c r="H56" s="57"/>
      <c r="I56" s="57"/>
      <c r="J56" s="57"/>
      <c r="K56" s="57"/>
      <c r="L56" s="59"/>
      <c r="M56" s="27"/>
      <c r="N56" s="6"/>
      <c r="O56" s="7"/>
      <c r="P56" s="7"/>
      <c r="Q56" s="7"/>
      <c r="R56" s="7"/>
      <c r="S56" s="7"/>
    </row>
    <row r="57" spans="1:19" ht="15.75">
      <c r="A57" s="26"/>
      <c r="B57" s="27" t="s">
        <v>34</v>
      </c>
      <c r="C57" s="57"/>
      <c r="D57" s="57"/>
      <c r="E57" s="57"/>
      <c r="F57" s="57"/>
      <c r="G57" s="57"/>
      <c r="H57" s="57"/>
      <c r="I57" s="57"/>
      <c r="J57" s="57"/>
      <c r="K57" s="57"/>
      <c r="L57" s="59"/>
      <c r="M57" s="27"/>
      <c r="N57" s="6"/>
      <c r="O57" s="7"/>
      <c r="P57" s="7"/>
      <c r="Q57" s="7"/>
      <c r="R57" s="7"/>
      <c r="S57" s="7"/>
    </row>
    <row r="58" spans="1:19" ht="15.75">
      <c r="A58" s="26"/>
      <c r="B58" s="27"/>
      <c r="C58" s="57"/>
      <c r="D58" s="57"/>
      <c r="E58" s="57"/>
      <c r="F58" s="57"/>
      <c r="G58" s="57"/>
      <c r="H58" s="57"/>
      <c r="I58" s="57"/>
      <c r="J58" s="57"/>
      <c r="K58" s="57"/>
      <c r="L58" s="59"/>
      <c r="M58" s="27"/>
      <c r="N58" s="6"/>
      <c r="O58" s="7"/>
      <c r="P58" s="7"/>
      <c r="Q58" s="7"/>
      <c r="R58" s="7"/>
      <c r="S58" s="7"/>
    </row>
    <row r="59" spans="1:19" ht="15.75">
      <c r="A59" s="26"/>
      <c r="B59" s="27" t="s">
        <v>35</v>
      </c>
      <c r="C59" s="57"/>
      <c r="D59" s="57"/>
      <c r="E59" s="57"/>
      <c r="F59" s="57"/>
      <c r="G59" s="57"/>
      <c r="H59" s="57"/>
      <c r="I59" s="57"/>
      <c r="J59" s="57"/>
      <c r="K59" s="57"/>
      <c r="L59" s="59"/>
      <c r="M59" s="27"/>
      <c r="N59" s="6"/>
      <c r="O59" s="7"/>
      <c r="P59" s="7"/>
      <c r="Q59" s="7"/>
      <c r="R59" s="7"/>
      <c r="S59" s="7"/>
    </row>
    <row r="60" spans="1:19" ht="15.75">
      <c r="A60" s="26"/>
      <c r="B60" s="27"/>
      <c r="C60" s="57"/>
      <c r="D60" s="57"/>
      <c r="E60" s="57"/>
      <c r="F60" s="57"/>
      <c r="G60" s="57"/>
      <c r="H60" s="57"/>
      <c r="I60" s="57"/>
      <c r="J60" s="57"/>
      <c r="K60" s="57"/>
      <c r="L60" s="59"/>
      <c r="M60" s="27"/>
      <c r="N60" s="6"/>
      <c r="O60" s="7"/>
      <c r="P60" s="7"/>
      <c r="Q60" s="7"/>
      <c r="R60" s="7"/>
      <c r="S60" s="7"/>
    </row>
    <row r="61" spans="1:19" ht="15.75">
      <c r="A61" s="26"/>
      <c r="B61" s="27" t="s">
        <v>37</v>
      </c>
      <c r="C61" s="57">
        <v>-1743</v>
      </c>
      <c r="D61" s="57">
        <v>-1743</v>
      </c>
      <c r="E61" s="57"/>
      <c r="F61" s="57"/>
      <c r="G61" s="57"/>
      <c r="H61" s="57"/>
      <c r="I61" s="57"/>
      <c r="J61" s="57"/>
      <c r="K61" s="57"/>
      <c r="L61" s="57">
        <v>-1743</v>
      </c>
      <c r="M61" s="27"/>
      <c r="N61" s="6"/>
      <c r="O61" s="7"/>
      <c r="P61" s="7"/>
      <c r="Q61" s="7"/>
      <c r="R61" s="7"/>
      <c r="S61" s="7"/>
    </row>
    <row r="62" spans="1:19" ht="15.75">
      <c r="A62" s="26"/>
      <c r="B62" s="27" t="s">
        <v>38</v>
      </c>
      <c r="C62" s="57">
        <v>0</v>
      </c>
      <c r="D62" s="57">
        <v>-2257</v>
      </c>
      <c r="E62" s="57"/>
      <c r="F62" s="57"/>
      <c r="G62" s="57"/>
      <c r="H62" s="57"/>
      <c r="I62" s="57"/>
      <c r="J62" s="57"/>
      <c r="K62" s="57"/>
      <c r="L62" s="59">
        <v>-2257</v>
      </c>
      <c r="M62" s="27"/>
      <c r="N62" s="6"/>
      <c r="O62" s="7"/>
      <c r="P62" s="7"/>
      <c r="Q62" s="7"/>
      <c r="R62" s="7"/>
      <c r="S62" s="7"/>
    </row>
    <row r="63" spans="1:19" ht="15.75">
      <c r="A63" s="26"/>
      <c r="B63" s="27" t="s">
        <v>198</v>
      </c>
      <c r="C63" s="57">
        <v>0</v>
      </c>
      <c r="D63" s="57">
        <v>-328</v>
      </c>
      <c r="E63" s="57"/>
      <c r="F63" s="57"/>
      <c r="G63" s="57"/>
      <c r="H63" s="57"/>
      <c r="I63" s="57"/>
      <c r="J63" s="57"/>
      <c r="K63" s="57"/>
      <c r="L63" s="59">
        <v>379</v>
      </c>
      <c r="M63" s="27"/>
      <c r="N63" s="6"/>
      <c r="O63" s="7"/>
      <c r="P63" s="7"/>
      <c r="Q63" s="7"/>
      <c r="R63" s="7"/>
      <c r="S63" s="7"/>
    </row>
    <row r="64" spans="1:19" ht="15.75">
      <c r="A64" s="26"/>
      <c r="B64" s="27" t="s">
        <v>15</v>
      </c>
      <c r="C64" s="59">
        <f>SUM(C52:C63)</f>
        <v>223990</v>
      </c>
      <c r="D64" s="59">
        <f>SUM(D52:D63)</f>
        <v>127542</v>
      </c>
      <c r="E64" s="57"/>
      <c r="F64" s="57"/>
      <c r="G64" s="57"/>
      <c r="H64" s="57"/>
      <c r="I64" s="57"/>
      <c r="J64" s="57"/>
      <c r="K64" s="57"/>
      <c r="L64" s="59">
        <f>SUM(L52:L63)</f>
        <v>120222</v>
      </c>
      <c r="M64" s="27"/>
      <c r="N64" s="6"/>
      <c r="O64" s="7"/>
      <c r="P64" s="7"/>
      <c r="Q64" s="7"/>
      <c r="R64" s="7"/>
      <c r="S64" s="7"/>
    </row>
    <row r="65" spans="1:19" ht="15.75">
      <c r="A65" s="26"/>
      <c r="B65" s="27"/>
      <c r="C65" s="57"/>
      <c r="D65" s="57"/>
      <c r="E65" s="57"/>
      <c r="F65" s="57"/>
      <c r="G65" s="57"/>
      <c r="H65" s="57"/>
      <c r="I65" s="57"/>
      <c r="J65" s="57"/>
      <c r="K65" s="57"/>
      <c r="L65" s="59"/>
      <c r="M65" s="27"/>
      <c r="N65" s="6"/>
      <c r="O65" s="7"/>
      <c r="P65" s="7"/>
      <c r="Q65" s="7"/>
      <c r="R65" s="7"/>
      <c r="S65" s="7"/>
    </row>
    <row r="66" spans="1:19" ht="15.75">
      <c r="A66" s="8"/>
      <c r="B66" s="10"/>
      <c r="C66" s="10"/>
      <c r="D66" s="10"/>
      <c r="E66" s="10"/>
      <c r="F66" s="10"/>
      <c r="G66" s="10"/>
      <c r="H66" s="10"/>
      <c r="I66" s="10"/>
      <c r="J66" s="10"/>
      <c r="K66" s="10"/>
      <c r="L66" s="10"/>
      <c r="M66" s="10"/>
      <c r="N66" s="6"/>
      <c r="O66" s="7"/>
      <c r="P66" s="7"/>
      <c r="Q66" s="7"/>
      <c r="R66" s="7"/>
      <c r="S66" s="7"/>
    </row>
    <row r="67" spans="1:19" ht="15.75">
      <c r="A67" s="8"/>
      <c r="B67" s="63" t="s">
        <v>40</v>
      </c>
      <c r="C67" s="17"/>
      <c r="D67" s="17"/>
      <c r="E67" s="17"/>
      <c r="F67" s="17"/>
      <c r="G67" s="17"/>
      <c r="H67" s="17"/>
      <c r="I67" s="20"/>
      <c r="J67" s="20" t="s">
        <v>174</v>
      </c>
      <c r="K67" s="20"/>
      <c r="L67" s="20" t="s">
        <v>188</v>
      </c>
      <c r="M67" s="17"/>
      <c r="N67" s="6"/>
      <c r="O67" s="7"/>
      <c r="P67" s="7"/>
      <c r="Q67" s="7"/>
      <c r="R67" s="7"/>
      <c r="S67" s="7"/>
    </row>
    <row r="68" spans="1:19" ht="15.75">
      <c r="A68" s="26"/>
      <c r="B68" s="27" t="s">
        <v>41</v>
      </c>
      <c r="C68" s="27"/>
      <c r="D68" s="27"/>
      <c r="E68" s="27"/>
      <c r="F68" s="27"/>
      <c r="G68" s="27"/>
      <c r="H68" s="27"/>
      <c r="I68" s="27"/>
      <c r="J68" s="57">
        <v>0</v>
      </c>
      <c r="K68" s="27"/>
      <c r="L68" s="58">
        <v>0</v>
      </c>
      <c r="M68" s="27"/>
      <c r="N68" s="6"/>
      <c r="O68" s="7"/>
      <c r="P68" s="7"/>
      <c r="Q68" s="7"/>
      <c r="R68" s="7"/>
      <c r="S68" s="7"/>
    </row>
    <row r="69" spans="1:19" ht="15.75">
      <c r="A69" s="26"/>
      <c r="B69" s="27" t="s">
        <v>42</v>
      </c>
      <c r="C69" s="45"/>
      <c r="D69" s="64"/>
      <c r="E69" s="27"/>
      <c r="F69" s="27"/>
      <c r="G69" s="27"/>
      <c r="H69" s="27"/>
      <c r="I69" s="27"/>
      <c r="J69" s="57">
        <f>117+3011+1935+2265+618+91-618+13</f>
        <v>7432</v>
      </c>
      <c r="K69" s="27"/>
      <c r="L69" s="58"/>
      <c r="M69" s="27"/>
      <c r="N69" s="6"/>
      <c r="O69" s="7"/>
      <c r="P69" s="7"/>
      <c r="Q69" s="7"/>
      <c r="R69" s="7"/>
      <c r="S69" s="7"/>
    </row>
    <row r="70" spans="1:19" ht="15.75">
      <c r="A70" s="26"/>
      <c r="B70" s="27" t="s">
        <v>43</v>
      </c>
      <c r="C70" s="27"/>
      <c r="D70" s="27"/>
      <c r="E70" s="27"/>
      <c r="F70" s="27"/>
      <c r="G70" s="27"/>
      <c r="H70" s="27"/>
      <c r="I70" s="27"/>
      <c r="J70" s="57"/>
      <c r="K70" s="27"/>
      <c r="L70" s="58">
        <v>3031</v>
      </c>
      <c r="M70" s="27"/>
      <c r="N70" s="6"/>
      <c r="O70" s="7"/>
      <c r="P70" s="7"/>
      <c r="Q70" s="7"/>
      <c r="R70" s="7"/>
      <c r="S70" s="7"/>
    </row>
    <row r="71" spans="1:19" ht="15.75">
      <c r="A71" s="26"/>
      <c r="B71" s="27" t="s">
        <v>44</v>
      </c>
      <c r="C71" s="27"/>
      <c r="D71" s="27"/>
      <c r="E71" s="27"/>
      <c r="F71" s="27"/>
      <c r="G71" s="27"/>
      <c r="H71" s="27"/>
      <c r="I71" s="27"/>
      <c r="J71" s="57"/>
      <c r="K71" s="27"/>
      <c r="L71" s="58"/>
      <c r="M71" s="27"/>
      <c r="N71" s="6"/>
      <c r="O71" s="7"/>
      <c r="P71" s="7"/>
      <c r="Q71" s="7"/>
      <c r="R71" s="7"/>
      <c r="S71" s="7"/>
    </row>
    <row r="72" spans="1:19" ht="15.75">
      <c r="A72" s="26"/>
      <c r="B72" s="27" t="s">
        <v>45</v>
      </c>
      <c r="C72" s="27"/>
      <c r="D72" s="27"/>
      <c r="E72" s="27"/>
      <c r="F72" s="27"/>
      <c r="G72" s="27"/>
      <c r="H72" s="27"/>
      <c r="I72" s="27"/>
      <c r="J72" s="57">
        <f>SUM(J68:J71)</f>
        <v>7432</v>
      </c>
      <c r="K72" s="27"/>
      <c r="L72" s="59">
        <f>SUM(L68:L71)</f>
        <v>3031</v>
      </c>
      <c r="M72" s="27"/>
      <c r="N72" s="6"/>
      <c r="O72" s="7"/>
      <c r="P72" s="7"/>
      <c r="Q72" s="7"/>
      <c r="R72" s="7"/>
      <c r="S72" s="7"/>
    </row>
    <row r="73" spans="1:19" ht="15.75">
      <c r="A73" s="26"/>
      <c r="B73" s="27" t="s">
        <v>46</v>
      </c>
      <c r="C73" s="27"/>
      <c r="D73" s="27"/>
      <c r="E73" s="27"/>
      <c r="F73" s="27"/>
      <c r="G73" s="27"/>
      <c r="H73" s="27"/>
      <c r="I73" s="27"/>
      <c r="J73" s="57">
        <v>156</v>
      </c>
      <c r="K73" s="27"/>
      <c r="L73" s="58">
        <v>-156</v>
      </c>
      <c r="M73" s="27"/>
      <c r="N73" s="6"/>
      <c r="O73" s="7"/>
      <c r="P73" s="7"/>
      <c r="Q73" s="7"/>
      <c r="R73" s="7"/>
      <c r="S73" s="7"/>
    </row>
    <row r="74" spans="1:19" ht="15.75">
      <c r="A74" s="26"/>
      <c r="B74" s="27" t="s">
        <v>47</v>
      </c>
      <c r="C74" s="27"/>
      <c r="D74" s="27"/>
      <c r="E74" s="27"/>
      <c r="F74" s="27"/>
      <c r="G74" s="27"/>
      <c r="H74" s="27"/>
      <c r="I74" s="27"/>
      <c r="J74" s="57">
        <f>J72+J73</f>
        <v>7588</v>
      </c>
      <c r="K74" s="27"/>
      <c r="L74" s="59">
        <f>L72+L73</f>
        <v>2875</v>
      </c>
      <c r="M74" s="27"/>
      <c r="N74" s="6"/>
      <c r="O74" s="7"/>
      <c r="P74" s="7"/>
      <c r="Q74" s="7"/>
      <c r="R74" s="7"/>
      <c r="S74" s="7"/>
    </row>
    <row r="75" spans="1:19" ht="15.75">
      <c r="A75" s="26"/>
      <c r="B75" s="65" t="s">
        <v>48</v>
      </c>
      <c r="C75" s="66"/>
      <c r="D75" s="27"/>
      <c r="E75" s="27"/>
      <c r="F75" s="27"/>
      <c r="G75" s="27"/>
      <c r="H75" s="27"/>
      <c r="I75" s="27"/>
      <c r="J75" s="57"/>
      <c r="K75" s="27"/>
      <c r="L75" s="58"/>
      <c r="M75" s="27"/>
      <c r="N75" s="6"/>
      <c r="O75" s="7"/>
      <c r="P75" s="7"/>
      <c r="Q75" s="7"/>
      <c r="R75" s="7"/>
      <c r="S75" s="7"/>
    </row>
    <row r="76" spans="1:19" ht="15.75">
      <c r="A76" s="26">
        <v>1</v>
      </c>
      <c r="B76" s="27" t="s">
        <v>49</v>
      </c>
      <c r="C76" s="27"/>
      <c r="D76" s="27"/>
      <c r="E76" s="27"/>
      <c r="F76" s="27"/>
      <c r="G76" s="27"/>
      <c r="H76" s="27"/>
      <c r="I76" s="27"/>
      <c r="J76" s="27"/>
      <c r="K76" s="27"/>
      <c r="L76" s="58"/>
      <c r="M76" s="27"/>
      <c r="N76" s="6"/>
      <c r="O76" s="7"/>
      <c r="P76" s="7"/>
      <c r="Q76" s="7"/>
      <c r="R76" s="7"/>
      <c r="S76" s="7"/>
    </row>
    <row r="77" spans="1:19" ht="15.75">
      <c r="A77" s="26">
        <v>2</v>
      </c>
      <c r="B77" s="27" t="s">
        <v>50</v>
      </c>
      <c r="C77" s="27"/>
      <c r="D77" s="27"/>
      <c r="E77" s="27"/>
      <c r="F77" s="27"/>
      <c r="G77" s="27"/>
      <c r="H77" s="27"/>
      <c r="I77" s="27"/>
      <c r="J77" s="27"/>
      <c r="K77" s="27"/>
      <c r="L77" s="58">
        <v>-5</v>
      </c>
      <c r="M77" s="27"/>
      <c r="N77" s="6"/>
      <c r="O77" s="7"/>
      <c r="P77" s="7"/>
      <c r="Q77" s="7"/>
      <c r="R77" s="7"/>
      <c r="S77" s="7"/>
    </row>
    <row r="78" spans="1:19" ht="15.75">
      <c r="A78" s="26">
        <v>3</v>
      </c>
      <c r="B78" s="27" t="s">
        <v>51</v>
      </c>
      <c r="C78" s="27"/>
      <c r="D78" s="27"/>
      <c r="E78" s="27"/>
      <c r="F78" s="27"/>
      <c r="G78" s="27"/>
      <c r="H78" s="27"/>
      <c r="I78" s="27"/>
      <c r="J78" s="27"/>
      <c r="K78" s="27"/>
      <c r="L78" s="58">
        <f>-137-5</f>
        <v>-142</v>
      </c>
      <c r="M78" s="27"/>
      <c r="N78" s="6"/>
      <c r="O78" s="7"/>
      <c r="P78" s="7"/>
      <c r="Q78" s="7"/>
      <c r="R78" s="7"/>
      <c r="S78" s="7"/>
    </row>
    <row r="79" spans="1:19" ht="15.75">
      <c r="A79" s="26">
        <v>4</v>
      </c>
      <c r="B79" s="27" t="s">
        <v>52</v>
      </c>
      <c r="C79" s="27"/>
      <c r="D79" s="27"/>
      <c r="E79" s="27"/>
      <c r="F79" s="27"/>
      <c r="G79" s="27"/>
      <c r="H79" s="27"/>
      <c r="I79" s="27"/>
      <c r="J79" s="27"/>
      <c r="K79" s="27"/>
      <c r="L79" s="58">
        <v>-8</v>
      </c>
      <c r="M79" s="27"/>
      <c r="N79" s="6"/>
      <c r="O79" s="7"/>
      <c r="P79" s="7"/>
      <c r="Q79" s="7"/>
      <c r="R79" s="7"/>
      <c r="S79" s="7"/>
    </row>
    <row r="80" spans="1:19" ht="15.75">
      <c r="A80" s="26">
        <v>5</v>
      </c>
      <c r="B80" s="27" t="s">
        <v>53</v>
      </c>
      <c r="C80" s="27"/>
      <c r="D80" s="27"/>
      <c r="E80" s="27"/>
      <c r="F80" s="27"/>
      <c r="G80" s="27"/>
      <c r="H80" s="27"/>
      <c r="I80" s="27"/>
      <c r="J80" s="27"/>
      <c r="K80" s="27"/>
      <c r="L80" s="58">
        <v>-1324</v>
      </c>
      <c r="M80" s="27"/>
      <c r="N80" s="6"/>
      <c r="O80" s="7"/>
      <c r="P80" s="7"/>
      <c r="Q80" s="7"/>
      <c r="R80" s="7"/>
      <c r="S80" s="7"/>
    </row>
    <row r="81" spans="1:19" ht="15.75">
      <c r="A81" s="26">
        <v>6</v>
      </c>
      <c r="B81" s="27" t="s">
        <v>54</v>
      </c>
      <c r="C81" s="27"/>
      <c r="D81" s="27"/>
      <c r="E81" s="27"/>
      <c r="F81" s="27"/>
      <c r="G81" s="27"/>
      <c r="H81" s="27"/>
      <c r="I81" s="27"/>
      <c r="J81" s="27"/>
      <c r="K81" s="27"/>
      <c r="L81" s="58">
        <v>-3</v>
      </c>
      <c r="M81" s="27"/>
      <c r="N81" s="6"/>
      <c r="O81" s="7"/>
      <c r="P81" s="7"/>
      <c r="Q81" s="7"/>
      <c r="R81" s="7"/>
      <c r="S81" s="7"/>
    </row>
    <row r="82" spans="1:19" ht="15.75">
      <c r="A82" s="26">
        <v>7</v>
      </c>
      <c r="B82" s="27" t="s">
        <v>55</v>
      </c>
      <c r="C82" s="27"/>
      <c r="D82" s="27"/>
      <c r="E82" s="27"/>
      <c r="F82" s="27"/>
      <c r="G82" s="27"/>
      <c r="H82" s="27"/>
      <c r="I82" s="27"/>
      <c r="J82" s="27"/>
      <c r="K82" s="27"/>
      <c r="L82" s="58">
        <v>-235</v>
      </c>
      <c r="M82" s="27"/>
      <c r="N82" s="6"/>
      <c r="O82" s="7"/>
      <c r="P82" s="7"/>
      <c r="Q82" s="7"/>
      <c r="R82" s="7"/>
      <c r="S82" s="7"/>
    </row>
    <row r="83" spans="1:19" ht="15.75">
      <c r="A83" s="26">
        <v>8</v>
      </c>
      <c r="B83" s="27" t="s">
        <v>56</v>
      </c>
      <c r="C83" s="27"/>
      <c r="D83" s="27"/>
      <c r="E83" s="27"/>
      <c r="F83" s="27"/>
      <c r="G83" s="27"/>
      <c r="H83" s="27"/>
      <c r="I83" s="27"/>
      <c r="J83" s="27"/>
      <c r="K83" s="27"/>
      <c r="L83" s="58">
        <v>-166</v>
      </c>
      <c r="M83" s="27"/>
      <c r="N83" s="6"/>
      <c r="O83" s="7"/>
      <c r="P83" s="7"/>
      <c r="Q83" s="7"/>
      <c r="R83" s="7"/>
      <c r="S83" s="7"/>
    </row>
    <row r="84" spans="1:19" ht="15.75">
      <c r="A84" s="26">
        <v>9</v>
      </c>
      <c r="B84" s="27" t="s">
        <v>57</v>
      </c>
      <c r="C84" s="27"/>
      <c r="D84" s="27"/>
      <c r="E84" s="27"/>
      <c r="F84" s="27"/>
      <c r="G84" s="27"/>
      <c r="H84" s="27"/>
      <c r="I84" s="27"/>
      <c r="J84" s="27"/>
      <c r="K84" s="27"/>
      <c r="L84" s="58">
        <v>0</v>
      </c>
      <c r="M84" s="27"/>
      <c r="N84" s="6"/>
      <c r="O84" s="7"/>
      <c r="P84" s="7"/>
      <c r="Q84" s="7"/>
      <c r="R84" s="7"/>
      <c r="S84" s="7"/>
    </row>
    <row r="85" spans="1:19" ht="15.75">
      <c r="A85" s="26">
        <v>10</v>
      </c>
      <c r="B85" s="27" t="s">
        <v>58</v>
      </c>
      <c r="C85" s="27"/>
      <c r="D85" s="27"/>
      <c r="E85" s="27"/>
      <c r="F85" s="27"/>
      <c r="G85" s="27"/>
      <c r="H85" s="27"/>
      <c r="I85" s="27"/>
      <c r="J85" s="27"/>
      <c r="K85" s="27"/>
      <c r="L85" s="58">
        <v>-379</v>
      </c>
      <c r="M85" s="27"/>
      <c r="N85" s="6"/>
      <c r="O85" s="7"/>
      <c r="P85" s="7"/>
      <c r="Q85" s="7"/>
      <c r="R85" s="7"/>
      <c r="S85" s="7"/>
    </row>
    <row r="86" spans="1:19" ht="15.75">
      <c r="A86" s="26">
        <v>11</v>
      </c>
      <c r="B86" s="27" t="s">
        <v>59</v>
      </c>
      <c r="C86" s="27"/>
      <c r="D86" s="27"/>
      <c r="E86" s="27"/>
      <c r="F86" s="27"/>
      <c r="G86" s="27"/>
      <c r="H86" s="27"/>
      <c r="I86" s="27"/>
      <c r="J86" s="27"/>
      <c r="K86" s="27"/>
      <c r="L86" s="58">
        <v>0</v>
      </c>
      <c r="M86" s="27"/>
      <c r="N86" s="6"/>
      <c r="O86" s="7"/>
      <c r="P86" s="7"/>
      <c r="Q86" s="7"/>
      <c r="R86" s="7"/>
      <c r="S86" s="7"/>
    </row>
    <row r="87" spans="1:19" ht="15.75">
      <c r="A87" s="26">
        <v>12</v>
      </c>
      <c r="B87" s="27" t="s">
        <v>60</v>
      </c>
      <c r="C87" s="27"/>
      <c r="D87" s="27"/>
      <c r="E87" s="27"/>
      <c r="F87" s="27"/>
      <c r="G87" s="27"/>
      <c r="H87" s="27"/>
      <c r="I87" s="27"/>
      <c r="J87" s="27"/>
      <c r="K87" s="27"/>
      <c r="L87" s="58">
        <f>SUM(L74:L85)*-1</f>
        <v>-613</v>
      </c>
      <c r="M87" s="27"/>
      <c r="N87" s="6"/>
      <c r="O87" s="7"/>
      <c r="P87" s="7"/>
      <c r="Q87" s="7"/>
      <c r="R87" s="7"/>
      <c r="S87" s="7"/>
    </row>
    <row r="88" spans="1:19" ht="15.75">
      <c r="A88" s="26"/>
      <c r="B88" s="65" t="s">
        <v>61</v>
      </c>
      <c r="C88" s="66"/>
      <c r="D88" s="27"/>
      <c r="E88" s="27"/>
      <c r="F88" s="27"/>
      <c r="G88" s="27"/>
      <c r="H88" s="27"/>
      <c r="I88" s="27"/>
      <c r="J88" s="27"/>
      <c r="K88" s="27"/>
      <c r="L88" s="68"/>
      <c r="M88" s="27"/>
      <c r="N88" s="6"/>
      <c r="O88" s="7"/>
      <c r="P88" s="7"/>
      <c r="Q88" s="7"/>
      <c r="R88" s="7"/>
      <c r="S88" s="7"/>
    </row>
    <row r="89" spans="1:19" ht="15.75">
      <c r="A89" s="26"/>
      <c r="B89" s="27" t="s">
        <v>62</v>
      </c>
      <c r="C89" s="66"/>
      <c r="D89" s="27"/>
      <c r="E89" s="27"/>
      <c r="F89" s="27"/>
      <c r="G89" s="27"/>
      <c r="H89" s="27"/>
      <c r="I89" s="27"/>
      <c r="J89" s="57">
        <v>-3</v>
      </c>
      <c r="K89" s="57"/>
      <c r="L89" s="58"/>
      <c r="M89" s="27"/>
      <c r="N89" s="6"/>
      <c r="O89" s="7"/>
      <c r="P89" s="7"/>
      <c r="Q89" s="7"/>
      <c r="R89" s="7"/>
      <c r="S89" s="7"/>
    </row>
    <row r="90" spans="1:19" ht="15.75">
      <c r="A90" s="26"/>
      <c r="B90" s="27" t="s">
        <v>63</v>
      </c>
      <c r="C90" s="27"/>
      <c r="D90" s="27"/>
      <c r="E90" s="27"/>
      <c r="F90" s="27"/>
      <c r="G90" s="27"/>
      <c r="H90" s="27"/>
      <c r="I90" s="27"/>
      <c r="J90" s="57">
        <v>-266</v>
      </c>
      <c r="K90" s="57"/>
      <c r="L90" s="58"/>
      <c r="M90" s="27"/>
      <c r="N90" s="6"/>
      <c r="O90" s="7"/>
      <c r="P90" s="7"/>
      <c r="Q90" s="7"/>
      <c r="R90" s="7"/>
      <c r="S90" s="7"/>
    </row>
    <row r="91" spans="1:19" ht="15.75">
      <c r="A91" s="26"/>
      <c r="B91" s="27" t="s">
        <v>64</v>
      </c>
      <c r="C91" s="27"/>
      <c r="D91" s="27"/>
      <c r="E91" s="27"/>
      <c r="F91" s="27"/>
      <c r="G91" s="27"/>
      <c r="H91" s="27"/>
      <c r="I91" s="27"/>
      <c r="J91" s="57">
        <v>0</v>
      </c>
      <c r="K91" s="57"/>
      <c r="L91" s="58"/>
      <c r="M91" s="27"/>
      <c r="N91" s="6"/>
      <c r="O91" s="7"/>
      <c r="P91" s="7"/>
      <c r="Q91" s="7"/>
      <c r="R91" s="7"/>
      <c r="S91" s="7"/>
    </row>
    <row r="92" spans="1:19" ht="15.75">
      <c r="A92" s="26"/>
      <c r="B92" s="27" t="s">
        <v>65</v>
      </c>
      <c r="C92" s="27"/>
      <c r="D92" s="27"/>
      <c r="E92" s="27"/>
      <c r="F92" s="27"/>
      <c r="G92" s="27"/>
      <c r="H92" s="27"/>
      <c r="I92" s="27"/>
      <c r="J92" s="57">
        <v>-7319</v>
      </c>
      <c r="K92" s="57"/>
      <c r="L92" s="58"/>
      <c r="M92" s="27"/>
      <c r="N92" s="6"/>
      <c r="O92" s="7"/>
      <c r="P92" s="7"/>
      <c r="Q92" s="7"/>
      <c r="R92" s="7"/>
      <c r="S92" s="7"/>
    </row>
    <row r="93" spans="1:19" ht="15.75">
      <c r="A93" s="26"/>
      <c r="B93" s="27" t="s">
        <v>66</v>
      </c>
      <c r="C93" s="27"/>
      <c r="D93" s="27"/>
      <c r="E93" s="27"/>
      <c r="F93" s="27"/>
      <c r="G93" s="27"/>
      <c r="H93" s="27"/>
      <c r="I93" s="27"/>
      <c r="J93" s="57">
        <v>0</v>
      </c>
      <c r="K93" s="57"/>
      <c r="L93" s="58"/>
      <c r="M93" s="27"/>
      <c r="N93" s="6"/>
      <c r="O93" s="7"/>
      <c r="P93" s="7"/>
      <c r="Q93" s="7"/>
      <c r="R93" s="7"/>
      <c r="S93" s="7"/>
    </row>
    <row r="94" spans="1:19" ht="15.75">
      <c r="A94" s="26"/>
      <c r="B94" s="27" t="s">
        <v>67</v>
      </c>
      <c r="C94" s="27"/>
      <c r="D94" s="27"/>
      <c r="E94" s="27"/>
      <c r="F94" s="27"/>
      <c r="G94" s="27"/>
      <c r="H94" s="27"/>
      <c r="I94" s="27"/>
      <c r="J94" s="57">
        <f>SUM(J75:J93)</f>
        <v>-7588</v>
      </c>
      <c r="K94" s="57"/>
      <c r="L94" s="57">
        <f>SUM(L75:L93)</f>
        <v>-2875</v>
      </c>
      <c r="M94" s="27"/>
      <c r="N94" s="6"/>
      <c r="O94" s="7"/>
      <c r="P94" s="7"/>
      <c r="Q94" s="7"/>
      <c r="R94" s="7"/>
      <c r="S94" s="7"/>
    </row>
    <row r="95" spans="1:19" ht="15.75">
      <c r="A95" s="26"/>
      <c r="B95" s="27" t="s">
        <v>68</v>
      </c>
      <c r="C95" s="27"/>
      <c r="D95" s="27"/>
      <c r="E95" s="27"/>
      <c r="F95" s="27"/>
      <c r="G95" s="27"/>
      <c r="H95" s="27"/>
      <c r="I95" s="27"/>
      <c r="J95" s="57">
        <f>J74+J94</f>
        <v>0</v>
      </c>
      <c r="K95" s="57"/>
      <c r="L95" s="57">
        <f>L74+L94</f>
        <v>0</v>
      </c>
      <c r="M95" s="27"/>
      <c r="N95" s="6"/>
      <c r="O95" s="7"/>
      <c r="P95" s="7"/>
      <c r="Q95" s="7"/>
      <c r="R95" s="7"/>
      <c r="S95" s="7"/>
    </row>
    <row r="96" spans="1:19" ht="15.75">
      <c r="A96" s="26"/>
      <c r="B96" s="27"/>
      <c r="C96" s="27"/>
      <c r="D96" s="27"/>
      <c r="E96" s="27"/>
      <c r="F96" s="27"/>
      <c r="G96" s="27"/>
      <c r="H96" s="27"/>
      <c r="I96" s="27"/>
      <c r="J96" s="57"/>
      <c r="K96" s="57"/>
      <c r="L96" s="57"/>
      <c r="M96" s="27"/>
      <c r="N96" s="6"/>
      <c r="O96" s="7"/>
      <c r="P96" s="7"/>
      <c r="Q96" s="7"/>
      <c r="R96" s="7"/>
      <c r="S96" s="7"/>
    </row>
    <row r="97" spans="1:19" ht="15.75">
      <c r="A97" s="8"/>
      <c r="B97" s="15"/>
      <c r="C97" s="10"/>
      <c r="D97" s="10"/>
      <c r="E97" s="10"/>
      <c r="F97" s="10"/>
      <c r="G97" s="10"/>
      <c r="H97" s="10"/>
      <c r="I97" s="10"/>
      <c r="J97" s="60"/>
      <c r="K97" s="60"/>
      <c r="L97" s="60"/>
      <c r="M97" s="10"/>
      <c r="N97" s="6"/>
      <c r="O97" s="7"/>
      <c r="P97" s="7"/>
      <c r="Q97" s="7"/>
      <c r="R97" s="7"/>
      <c r="S97" s="7"/>
    </row>
    <row r="98" spans="1:19" ht="15.75">
      <c r="A98" s="8"/>
      <c r="B98" s="10"/>
      <c r="C98" s="10"/>
      <c r="D98" s="10"/>
      <c r="E98" s="10"/>
      <c r="F98" s="10"/>
      <c r="G98" s="10"/>
      <c r="H98" s="10"/>
      <c r="I98" s="10"/>
      <c r="J98" s="60"/>
      <c r="K98" s="60"/>
      <c r="L98" s="60"/>
      <c r="M98" s="10"/>
      <c r="N98" s="6"/>
      <c r="O98" s="7"/>
      <c r="P98" s="7"/>
      <c r="Q98" s="7"/>
      <c r="R98" s="7"/>
      <c r="S98" s="7"/>
    </row>
    <row r="99" spans="1:19" ht="15.75">
      <c r="A99" s="8"/>
      <c r="B99" s="10"/>
      <c r="C99" s="10"/>
      <c r="D99" s="10"/>
      <c r="E99" s="10"/>
      <c r="F99" s="10"/>
      <c r="G99" s="10"/>
      <c r="H99" s="10"/>
      <c r="I99" s="10"/>
      <c r="J99" s="10"/>
      <c r="K99" s="10"/>
      <c r="L99" s="53"/>
      <c r="M99" s="10"/>
      <c r="N99" s="6"/>
      <c r="O99" s="7"/>
      <c r="P99" s="7"/>
      <c r="Q99" s="7"/>
      <c r="R99" s="7"/>
      <c r="S99" s="7"/>
    </row>
    <row r="100" spans="1:19" ht="15.75">
      <c r="A100" s="8"/>
      <c r="B100" s="10"/>
      <c r="C100" s="9"/>
      <c r="D100" s="10"/>
      <c r="E100" s="10"/>
      <c r="F100" s="10"/>
      <c r="G100" s="10"/>
      <c r="H100" s="10"/>
      <c r="I100" s="10"/>
      <c r="J100" s="10"/>
      <c r="K100" s="10"/>
      <c r="L100" s="53"/>
      <c r="M100" s="10"/>
      <c r="N100" s="6"/>
      <c r="O100" s="7"/>
      <c r="P100" s="7"/>
      <c r="Q100" s="7"/>
      <c r="R100" s="7"/>
      <c r="S100" s="7"/>
    </row>
    <row r="101" spans="1:19" ht="15.75">
      <c r="A101" s="2"/>
      <c r="B101" s="83" t="s">
        <v>69</v>
      </c>
      <c r="C101" s="5"/>
      <c r="D101" s="5"/>
      <c r="E101" s="5"/>
      <c r="F101" s="5"/>
      <c r="G101" s="5"/>
      <c r="H101" s="5"/>
      <c r="I101" s="5"/>
      <c r="J101" s="5"/>
      <c r="K101" s="5"/>
      <c r="L101" s="52"/>
      <c r="M101" s="70"/>
      <c r="N101" s="6"/>
      <c r="O101" s="7"/>
      <c r="P101" s="7"/>
      <c r="Q101" s="7"/>
      <c r="R101" s="7"/>
      <c r="S101" s="7"/>
    </row>
    <row r="102" spans="1:19" ht="15.75">
      <c r="A102" s="8"/>
      <c r="B102" s="10"/>
      <c r="C102" s="10"/>
      <c r="D102" s="10"/>
      <c r="E102" s="10"/>
      <c r="F102" s="10"/>
      <c r="G102" s="10"/>
      <c r="H102" s="10"/>
      <c r="I102" s="10"/>
      <c r="J102" s="10"/>
      <c r="K102" s="10"/>
      <c r="L102" s="53"/>
      <c r="M102" s="10"/>
      <c r="N102" s="6"/>
      <c r="O102" s="7"/>
      <c r="P102" s="7"/>
      <c r="Q102" s="7"/>
      <c r="R102" s="7"/>
      <c r="S102" s="7"/>
    </row>
    <row r="103" spans="1:19" ht="15.75">
      <c r="A103" s="8"/>
      <c r="B103" s="73" t="s">
        <v>70</v>
      </c>
      <c r="C103" s="16"/>
      <c r="D103" s="10"/>
      <c r="E103" s="10"/>
      <c r="F103" s="10"/>
      <c r="G103" s="10"/>
      <c r="H103" s="10"/>
      <c r="I103" s="10"/>
      <c r="J103" s="10"/>
      <c r="K103" s="10"/>
      <c r="L103" s="53"/>
      <c r="M103" s="10"/>
      <c r="N103" s="6"/>
      <c r="O103" s="7"/>
      <c r="P103" s="7"/>
      <c r="Q103" s="7"/>
      <c r="R103" s="7"/>
      <c r="S103" s="7"/>
    </row>
    <row r="104" spans="1:19" ht="15.75">
      <c r="A104" s="26"/>
      <c r="B104" s="27" t="s">
        <v>71</v>
      </c>
      <c r="C104" s="27"/>
      <c r="D104" s="27"/>
      <c r="E104" s="27"/>
      <c r="F104" s="27"/>
      <c r="G104" s="27"/>
      <c r="H104" s="27"/>
      <c r="I104" s="27"/>
      <c r="J104" s="27"/>
      <c r="K104" s="27"/>
      <c r="L104" s="58">
        <v>4515</v>
      </c>
      <c r="M104" s="27"/>
      <c r="N104" s="6"/>
      <c r="O104" s="7"/>
      <c r="P104" s="7"/>
      <c r="Q104" s="7"/>
      <c r="R104" s="7"/>
      <c r="S104" s="7"/>
    </row>
    <row r="105" spans="1:19" ht="15.75">
      <c r="A105" s="26"/>
      <c r="B105" s="27" t="s">
        <v>72</v>
      </c>
      <c r="C105" s="27"/>
      <c r="D105" s="27"/>
      <c r="E105" s="27"/>
      <c r="F105" s="27"/>
      <c r="G105" s="27"/>
      <c r="H105" s="27"/>
      <c r="I105" s="27"/>
      <c r="J105" s="27"/>
      <c r="K105" s="27"/>
      <c r="L105" s="58">
        <v>4515</v>
      </c>
      <c r="M105" s="27"/>
      <c r="N105" s="6"/>
      <c r="O105" s="7"/>
      <c r="P105" s="7"/>
      <c r="Q105" s="7"/>
      <c r="R105" s="7"/>
      <c r="S105" s="7"/>
    </row>
    <row r="106" spans="1:19" ht="15.75">
      <c r="A106" s="26"/>
      <c r="B106" s="27" t="s">
        <v>73</v>
      </c>
      <c r="C106" s="27"/>
      <c r="D106" s="27"/>
      <c r="E106" s="27"/>
      <c r="F106" s="27"/>
      <c r="G106" s="27"/>
      <c r="H106" s="27"/>
      <c r="I106" s="27"/>
      <c r="J106" s="27"/>
      <c r="K106" s="27"/>
      <c r="L106" s="58"/>
      <c r="M106" s="27"/>
      <c r="N106" s="6"/>
      <c r="O106" s="7"/>
      <c r="P106" s="7"/>
      <c r="Q106" s="7"/>
      <c r="R106" s="7"/>
      <c r="S106" s="7"/>
    </row>
    <row r="107" spans="1:19" ht="15.75">
      <c r="A107" s="26"/>
      <c r="B107" s="27" t="s">
        <v>74</v>
      </c>
      <c r="C107" s="27"/>
      <c r="D107" s="27"/>
      <c r="E107" s="27"/>
      <c r="F107" s="27"/>
      <c r="G107" s="27"/>
      <c r="H107" s="27"/>
      <c r="I107" s="27"/>
      <c r="J107" s="27"/>
      <c r="K107" s="27"/>
      <c r="L107" s="58">
        <v>0</v>
      </c>
      <c r="M107" s="27"/>
      <c r="N107" s="6"/>
      <c r="O107" s="7"/>
      <c r="P107" s="7"/>
      <c r="Q107" s="7"/>
      <c r="R107" s="7"/>
      <c r="S107" s="7"/>
    </row>
    <row r="108" spans="1:19" ht="15.75">
      <c r="A108" s="26"/>
      <c r="B108" s="27" t="s">
        <v>75</v>
      </c>
      <c r="C108" s="27"/>
      <c r="D108" s="27"/>
      <c r="E108" s="27"/>
      <c r="F108" s="27"/>
      <c r="G108" s="27"/>
      <c r="H108" s="27"/>
      <c r="I108" s="27"/>
      <c r="J108" s="27"/>
      <c r="K108" s="27"/>
      <c r="L108" s="58"/>
      <c r="M108" s="27"/>
      <c r="N108" s="6"/>
      <c r="O108" s="7"/>
      <c r="P108" s="7"/>
      <c r="Q108" s="7"/>
      <c r="R108" s="7"/>
      <c r="S108" s="7"/>
    </row>
    <row r="109" spans="1:19" ht="15.75">
      <c r="A109" s="26"/>
      <c r="B109" s="27" t="s">
        <v>53</v>
      </c>
      <c r="C109" s="27"/>
      <c r="D109" s="27"/>
      <c r="E109" s="27"/>
      <c r="F109" s="27"/>
      <c r="G109" s="27"/>
      <c r="H109" s="27"/>
      <c r="I109" s="27"/>
      <c r="J109" s="27"/>
      <c r="K109" s="27"/>
      <c r="L109" s="58"/>
      <c r="M109" s="27"/>
      <c r="N109" s="6"/>
      <c r="O109" s="7"/>
      <c r="P109" s="7"/>
      <c r="Q109" s="7"/>
      <c r="R109" s="7"/>
      <c r="S109" s="7"/>
    </row>
    <row r="110" spans="1:19" ht="15.75">
      <c r="A110" s="26"/>
      <c r="B110" s="27" t="s">
        <v>55</v>
      </c>
      <c r="C110" s="27"/>
      <c r="D110" s="27"/>
      <c r="E110" s="27"/>
      <c r="F110" s="27"/>
      <c r="G110" s="27"/>
      <c r="H110" s="27"/>
      <c r="I110" s="27"/>
      <c r="J110" s="27"/>
      <c r="K110" s="27"/>
      <c r="L110" s="58"/>
      <c r="M110" s="27"/>
      <c r="N110" s="6"/>
      <c r="O110" s="7"/>
      <c r="P110" s="7"/>
      <c r="Q110" s="7"/>
      <c r="R110" s="7"/>
      <c r="S110" s="7"/>
    </row>
    <row r="111" spans="1:19" ht="15.75">
      <c r="A111" s="26"/>
      <c r="B111" s="27" t="s">
        <v>76</v>
      </c>
      <c r="C111" s="27"/>
      <c r="D111" s="27"/>
      <c r="E111" s="27"/>
      <c r="F111" s="27"/>
      <c r="G111" s="27"/>
      <c r="H111" s="27"/>
      <c r="I111" s="27"/>
      <c r="J111" s="27"/>
      <c r="K111" s="27"/>
      <c r="L111" s="58">
        <f>L105-L107</f>
        <v>4515</v>
      </c>
      <c r="M111" s="27"/>
      <c r="N111" s="6"/>
      <c r="O111" s="7"/>
      <c r="P111" s="7"/>
      <c r="Q111" s="7"/>
      <c r="R111" s="7"/>
      <c r="S111" s="7"/>
    </row>
    <row r="112" spans="1:19" ht="15.75">
      <c r="A112" s="26"/>
      <c r="B112" s="27"/>
      <c r="C112" s="27"/>
      <c r="D112" s="27"/>
      <c r="E112" s="27"/>
      <c r="F112" s="27"/>
      <c r="G112" s="27"/>
      <c r="H112" s="27"/>
      <c r="I112" s="27"/>
      <c r="J112" s="27"/>
      <c r="K112" s="27"/>
      <c r="L112" s="72"/>
      <c r="M112" s="27"/>
      <c r="N112" s="6"/>
      <c r="O112" s="7"/>
      <c r="P112" s="7"/>
      <c r="Q112" s="7"/>
      <c r="R112" s="7"/>
      <c r="S112" s="7"/>
    </row>
    <row r="113" spans="1:19" ht="15.75">
      <c r="A113" s="2"/>
      <c r="B113" s="5"/>
      <c r="C113" s="5"/>
      <c r="D113" s="5"/>
      <c r="E113" s="5"/>
      <c r="F113" s="5"/>
      <c r="G113" s="5"/>
      <c r="H113" s="5"/>
      <c r="I113" s="5"/>
      <c r="J113" s="5"/>
      <c r="K113" s="5"/>
      <c r="L113" s="52"/>
      <c r="M113" s="5"/>
      <c r="N113" s="6"/>
      <c r="O113" s="7"/>
      <c r="P113" s="7"/>
      <c r="Q113" s="7"/>
      <c r="R113" s="7"/>
      <c r="S113" s="7"/>
    </row>
    <row r="114" spans="1:19" ht="15.75">
      <c r="A114" s="8"/>
      <c r="B114" s="73" t="s">
        <v>77</v>
      </c>
      <c r="C114" s="16"/>
      <c r="D114" s="10"/>
      <c r="E114" s="10"/>
      <c r="F114" s="10"/>
      <c r="G114" s="10"/>
      <c r="H114" s="10"/>
      <c r="I114" s="10"/>
      <c r="J114" s="10"/>
      <c r="K114" s="10"/>
      <c r="L114" s="74"/>
      <c r="M114" s="10"/>
      <c r="N114" s="6"/>
      <c r="O114" s="7"/>
      <c r="P114" s="7"/>
      <c r="Q114" s="7"/>
      <c r="R114" s="7"/>
      <c r="S114" s="7"/>
    </row>
    <row r="115" spans="1:19" ht="15.75">
      <c r="A115" s="8"/>
      <c r="B115" s="16"/>
      <c r="C115" s="16"/>
      <c r="D115" s="10"/>
      <c r="E115" s="10"/>
      <c r="F115" s="10"/>
      <c r="G115" s="10"/>
      <c r="H115" s="10"/>
      <c r="I115" s="10"/>
      <c r="J115" s="10"/>
      <c r="K115" s="10"/>
      <c r="L115" s="74"/>
      <c r="M115" s="10"/>
      <c r="N115" s="6"/>
      <c r="O115" s="7"/>
      <c r="P115" s="7"/>
      <c r="Q115" s="7"/>
      <c r="R115" s="7"/>
      <c r="S115" s="7"/>
    </row>
    <row r="116" spans="1:19" ht="15.75">
      <c r="A116" s="26"/>
      <c r="B116" s="27" t="s">
        <v>78</v>
      </c>
      <c r="C116" s="27"/>
      <c r="D116" s="27"/>
      <c r="E116" s="27"/>
      <c r="F116" s="27"/>
      <c r="G116" s="27"/>
      <c r="H116" s="27"/>
      <c r="I116" s="27"/>
      <c r="J116" s="27"/>
      <c r="K116" s="27"/>
      <c r="L116" s="58">
        <v>0</v>
      </c>
      <c r="M116" s="27"/>
      <c r="N116" s="6"/>
      <c r="O116" s="7"/>
      <c r="P116" s="7"/>
      <c r="Q116" s="7"/>
      <c r="R116" s="7"/>
      <c r="S116" s="7"/>
    </row>
    <row r="117" spans="1:19" ht="15.75">
      <c r="A117" s="26"/>
      <c r="B117" s="27" t="s">
        <v>79</v>
      </c>
      <c r="C117" s="27"/>
      <c r="D117" s="27"/>
      <c r="E117" s="27"/>
      <c r="F117" s="27"/>
      <c r="G117" s="27"/>
      <c r="H117" s="27"/>
      <c r="I117" s="27"/>
      <c r="J117" s="27"/>
      <c r="K117" s="27"/>
      <c r="L117" s="58">
        <v>-379</v>
      </c>
      <c r="M117" s="27"/>
      <c r="N117" s="6"/>
      <c r="O117" s="7"/>
      <c r="P117" s="7"/>
      <c r="Q117" s="7"/>
      <c r="R117" s="7"/>
      <c r="S117" s="7"/>
    </row>
    <row r="118" spans="1:19" ht="15.75">
      <c r="A118" s="26"/>
      <c r="B118" s="27" t="s">
        <v>80</v>
      </c>
      <c r="C118" s="27"/>
      <c r="D118" s="27"/>
      <c r="E118" s="27"/>
      <c r="F118" s="27"/>
      <c r="G118" s="27"/>
      <c r="H118" s="27"/>
      <c r="I118" s="27"/>
      <c r="J118" s="27"/>
      <c r="K118" s="27"/>
      <c r="L118" s="58">
        <f>L117+L116</f>
        <v>-379</v>
      </c>
      <c r="M118" s="27"/>
      <c r="N118" s="6"/>
      <c r="O118" s="7"/>
      <c r="P118" s="7"/>
      <c r="Q118" s="7"/>
      <c r="R118" s="7"/>
      <c r="S118" s="7"/>
    </row>
    <row r="119" spans="1:19" ht="15.75">
      <c r="A119" s="26"/>
      <c r="B119" s="27" t="s">
        <v>81</v>
      </c>
      <c r="C119" s="27"/>
      <c r="D119" s="27"/>
      <c r="E119" s="27"/>
      <c r="F119" s="27"/>
      <c r="G119" s="27"/>
      <c r="H119" s="75"/>
      <c r="I119" s="27"/>
      <c r="J119" s="27"/>
      <c r="K119" s="27"/>
      <c r="L119" s="58">
        <f>-L85</f>
        <v>379</v>
      </c>
      <c r="M119" s="27"/>
      <c r="N119" s="6"/>
      <c r="O119" s="7"/>
      <c r="P119" s="7"/>
      <c r="Q119" s="7"/>
      <c r="R119" s="7"/>
      <c r="S119" s="7"/>
    </row>
    <row r="120" spans="1:19" ht="15.75">
      <c r="A120" s="26"/>
      <c r="B120" s="27" t="s">
        <v>82</v>
      </c>
      <c r="C120" s="27"/>
      <c r="D120" s="27"/>
      <c r="E120" s="27"/>
      <c r="F120" s="27"/>
      <c r="G120" s="27"/>
      <c r="H120" s="27"/>
      <c r="I120" s="27"/>
      <c r="J120" s="27"/>
      <c r="K120" s="27"/>
      <c r="L120" s="58">
        <f>L118+L119</f>
        <v>0</v>
      </c>
      <c r="M120" s="27"/>
      <c r="N120" s="6"/>
      <c r="O120" s="7"/>
      <c r="P120" s="7"/>
      <c r="Q120" s="7"/>
      <c r="R120" s="7"/>
      <c r="S120" s="7"/>
    </row>
    <row r="121" spans="1:19" ht="7.5" customHeight="1">
      <c r="A121" s="26"/>
      <c r="B121" s="27"/>
      <c r="C121" s="27"/>
      <c r="D121" s="27"/>
      <c r="E121" s="27"/>
      <c r="F121" s="27"/>
      <c r="G121" s="27"/>
      <c r="H121" s="27"/>
      <c r="I121" s="27"/>
      <c r="J121" s="27"/>
      <c r="K121" s="27"/>
      <c r="L121" s="72"/>
      <c r="M121" s="27"/>
      <c r="N121" s="6"/>
      <c r="O121" s="7"/>
      <c r="P121" s="7"/>
      <c r="Q121" s="7"/>
      <c r="R121" s="7"/>
      <c r="S121" s="7"/>
    </row>
    <row r="122" spans="1:19" ht="6" customHeight="1">
      <c r="A122" s="2"/>
      <c r="B122" s="5"/>
      <c r="C122" s="5"/>
      <c r="D122" s="5"/>
      <c r="E122" s="5"/>
      <c r="F122" s="5"/>
      <c r="G122" s="5"/>
      <c r="H122" s="5"/>
      <c r="I122" s="5"/>
      <c r="J122" s="5"/>
      <c r="K122" s="5"/>
      <c r="L122" s="52"/>
      <c r="M122" s="5"/>
      <c r="N122" s="6"/>
      <c r="O122" s="7"/>
      <c r="P122" s="7"/>
      <c r="Q122" s="7"/>
      <c r="R122" s="7"/>
      <c r="S122" s="7"/>
    </row>
    <row r="123" spans="1:19" ht="15.75">
      <c r="A123" s="8"/>
      <c r="B123" s="73" t="s">
        <v>83</v>
      </c>
      <c r="C123" s="16"/>
      <c r="D123" s="10"/>
      <c r="E123" s="10"/>
      <c r="F123" s="10"/>
      <c r="G123" s="10"/>
      <c r="H123" s="10"/>
      <c r="I123" s="10"/>
      <c r="J123" s="10"/>
      <c r="K123" s="10"/>
      <c r="L123" s="53"/>
      <c r="M123" s="10"/>
      <c r="N123" s="6"/>
      <c r="O123" s="7"/>
      <c r="P123" s="7"/>
      <c r="Q123" s="7"/>
      <c r="R123" s="7"/>
      <c r="S123" s="7"/>
    </row>
    <row r="124" spans="1:19" ht="15.75">
      <c r="A124" s="8"/>
      <c r="B124" s="76"/>
      <c r="C124" s="16"/>
      <c r="D124" s="10"/>
      <c r="E124" s="10"/>
      <c r="F124" s="10"/>
      <c r="G124" s="10"/>
      <c r="H124" s="10"/>
      <c r="I124" s="10"/>
      <c r="J124" s="10"/>
      <c r="K124" s="10"/>
      <c r="L124" s="53"/>
      <c r="M124" s="10"/>
      <c r="N124" s="6"/>
      <c r="O124" s="7"/>
      <c r="P124" s="7"/>
      <c r="Q124" s="7"/>
      <c r="R124" s="7"/>
      <c r="S124" s="7"/>
    </row>
    <row r="125" spans="1:19" ht="15.75">
      <c r="A125" s="26"/>
      <c r="B125" s="27" t="s">
        <v>84</v>
      </c>
      <c r="C125" s="71"/>
      <c r="D125" s="27"/>
      <c r="E125" s="27"/>
      <c r="F125" s="27"/>
      <c r="G125" s="27"/>
      <c r="H125" s="27"/>
      <c r="I125" s="27"/>
      <c r="J125" s="27"/>
      <c r="K125" s="27"/>
      <c r="L125" s="58">
        <f>L52</f>
        <v>123843</v>
      </c>
      <c r="M125" s="27"/>
      <c r="N125" s="6"/>
      <c r="O125" s="7"/>
      <c r="P125" s="7"/>
      <c r="Q125" s="7"/>
      <c r="R125" s="7"/>
      <c r="S125" s="7"/>
    </row>
    <row r="126" spans="1:19" ht="15.75">
      <c r="A126" s="26"/>
      <c r="B126" s="27" t="s">
        <v>85</v>
      </c>
      <c r="C126" s="71"/>
      <c r="D126" s="27"/>
      <c r="E126" s="27"/>
      <c r="F126" s="27"/>
      <c r="G126" s="27"/>
      <c r="H126" s="27"/>
      <c r="I126" s="27"/>
      <c r="J126" s="27"/>
      <c r="K126" s="27"/>
      <c r="L126" s="58">
        <f>L64</f>
        <v>120222</v>
      </c>
      <c r="M126" s="27"/>
      <c r="N126" s="6"/>
      <c r="O126" s="7"/>
      <c r="P126" s="7"/>
      <c r="Q126" s="7"/>
      <c r="R126" s="7"/>
      <c r="S126" s="7"/>
    </row>
    <row r="127" spans="1:19" ht="7.5" customHeight="1">
      <c r="A127" s="26"/>
      <c r="B127" s="27"/>
      <c r="C127" s="27"/>
      <c r="D127" s="27"/>
      <c r="E127" s="27"/>
      <c r="F127" s="27"/>
      <c r="G127" s="27"/>
      <c r="H127" s="27"/>
      <c r="I127" s="27"/>
      <c r="J127" s="27"/>
      <c r="K127" s="27"/>
      <c r="L127" s="72"/>
      <c r="M127" s="27"/>
      <c r="N127" s="6"/>
      <c r="O127" s="7"/>
      <c r="P127" s="7"/>
      <c r="Q127" s="7"/>
      <c r="R127" s="7"/>
      <c r="S127" s="7"/>
    </row>
    <row r="128" spans="1:19" ht="15.75">
      <c r="A128" s="2"/>
      <c r="B128" s="5"/>
      <c r="C128" s="5"/>
      <c r="D128" s="5"/>
      <c r="E128" s="5"/>
      <c r="F128" s="5"/>
      <c r="G128" s="5"/>
      <c r="H128" s="5"/>
      <c r="I128" s="5"/>
      <c r="J128" s="5"/>
      <c r="K128" s="5"/>
      <c r="L128" s="52"/>
      <c r="M128" s="5"/>
      <c r="N128" s="6"/>
      <c r="O128" s="7"/>
      <c r="P128" s="7"/>
      <c r="Q128" s="7"/>
      <c r="R128" s="7"/>
      <c r="S128" s="7"/>
    </row>
    <row r="129" spans="1:19" ht="15.75">
      <c r="A129" s="8"/>
      <c r="B129" s="73" t="s">
        <v>86</v>
      </c>
      <c r="C129" s="12"/>
      <c r="D129" s="12"/>
      <c r="E129" s="12"/>
      <c r="F129" s="12"/>
      <c r="G129" s="12"/>
      <c r="H129" s="77" t="s">
        <v>163</v>
      </c>
      <c r="I129" s="77"/>
      <c r="J129" s="77" t="s">
        <v>175</v>
      </c>
      <c r="K129" s="12"/>
      <c r="L129" s="78" t="s">
        <v>189</v>
      </c>
      <c r="M129" s="12"/>
      <c r="N129" s="6"/>
      <c r="O129" s="7"/>
      <c r="P129" s="7"/>
      <c r="Q129" s="7"/>
      <c r="R129" s="7"/>
      <c r="S129" s="7"/>
    </row>
    <row r="130" spans="1:19" ht="15.75">
      <c r="A130" s="26"/>
      <c r="B130" s="27" t="s">
        <v>87</v>
      </c>
      <c r="C130" s="27"/>
      <c r="D130" s="27"/>
      <c r="E130" s="27"/>
      <c r="F130" s="27"/>
      <c r="G130" s="27"/>
      <c r="H130" s="58">
        <v>40000</v>
      </c>
      <c r="I130" s="27"/>
      <c r="J130" s="45" t="s">
        <v>176</v>
      </c>
      <c r="K130" s="27"/>
      <c r="L130" s="58"/>
      <c r="M130" s="27"/>
      <c r="N130" s="6"/>
      <c r="O130" s="7"/>
      <c r="P130" s="7"/>
      <c r="Q130" s="7"/>
      <c r="R130" s="7"/>
      <c r="S130" s="7"/>
    </row>
    <row r="131" spans="1:19" ht="15.75">
      <c r="A131" s="26"/>
      <c r="B131" s="27" t="s">
        <v>88</v>
      </c>
      <c r="C131" s="27"/>
      <c r="D131" s="27"/>
      <c r="E131" s="27"/>
      <c r="F131" s="27"/>
      <c r="G131" s="27"/>
      <c r="H131" s="58">
        <v>896</v>
      </c>
      <c r="I131" s="27"/>
      <c r="J131" s="27">
        <v>107</v>
      </c>
      <c r="K131" s="27"/>
      <c r="L131" s="58">
        <f>J131+H131</f>
        <v>1003</v>
      </c>
      <c r="M131" s="27"/>
      <c r="N131" s="6"/>
      <c r="O131" s="7"/>
      <c r="P131" s="7"/>
      <c r="Q131" s="7"/>
      <c r="R131" s="7"/>
      <c r="S131" s="7"/>
    </row>
    <row r="132" spans="1:19" ht="15.75">
      <c r="A132" s="26"/>
      <c r="B132" s="27" t="s">
        <v>89</v>
      </c>
      <c r="C132" s="27"/>
      <c r="D132" s="27"/>
      <c r="E132" s="27"/>
      <c r="F132" s="27"/>
      <c r="G132" s="27"/>
      <c r="H132" s="58">
        <v>266</v>
      </c>
      <c r="I132" s="27"/>
      <c r="J132" s="27">
        <v>3</v>
      </c>
      <c r="K132" s="27"/>
      <c r="L132" s="58">
        <f>J132+H132</f>
        <v>269</v>
      </c>
      <c r="M132" s="27"/>
      <c r="N132" s="6"/>
      <c r="O132" s="7"/>
      <c r="P132" s="7"/>
      <c r="Q132" s="7"/>
      <c r="R132" s="7"/>
      <c r="S132" s="7"/>
    </row>
    <row r="133" spans="1:19" ht="15.75">
      <c r="A133" s="26"/>
      <c r="B133" s="27" t="s">
        <v>90</v>
      </c>
      <c r="C133" s="27"/>
      <c r="D133" s="27"/>
      <c r="E133" s="27"/>
      <c r="F133" s="27"/>
      <c r="G133" s="27"/>
      <c r="H133" s="58">
        <f>H132+H131</f>
        <v>1162</v>
      </c>
      <c r="I133" s="27"/>
      <c r="J133" s="58">
        <f>J132+J131</f>
        <v>110</v>
      </c>
      <c r="K133" s="27"/>
      <c r="L133" s="58">
        <f>J133+H133</f>
        <v>1272</v>
      </c>
      <c r="M133" s="27"/>
      <c r="N133" s="6"/>
      <c r="O133" s="7"/>
      <c r="P133" s="7"/>
      <c r="Q133" s="7"/>
      <c r="R133" s="7"/>
      <c r="S133" s="7"/>
    </row>
    <row r="134" spans="1:19" ht="15.75">
      <c r="A134" s="26"/>
      <c r="B134" s="27" t="s">
        <v>91</v>
      </c>
      <c r="C134" s="27"/>
      <c r="D134" s="27"/>
      <c r="E134" s="27"/>
      <c r="F134" s="27"/>
      <c r="G134" s="27"/>
      <c r="H134" s="58">
        <f>H130-H133</f>
        <v>38838</v>
      </c>
      <c r="I134" s="27"/>
      <c r="J134" s="45" t="s">
        <v>176</v>
      </c>
      <c r="K134" s="27"/>
      <c r="L134" s="58"/>
      <c r="M134" s="27"/>
      <c r="N134" s="6"/>
      <c r="O134" s="7"/>
      <c r="P134" s="7"/>
      <c r="Q134" s="7"/>
      <c r="R134" s="7"/>
      <c r="S134" s="7"/>
    </row>
    <row r="135" spans="1:19" ht="7.5" customHeight="1">
      <c r="A135" s="26"/>
      <c r="B135" s="27"/>
      <c r="C135" s="27"/>
      <c r="D135" s="27"/>
      <c r="E135" s="27"/>
      <c r="F135" s="27"/>
      <c r="G135" s="27"/>
      <c r="H135" s="27"/>
      <c r="I135" s="27"/>
      <c r="J135" s="27"/>
      <c r="K135" s="27"/>
      <c r="L135" s="72"/>
      <c r="M135" s="27"/>
      <c r="N135" s="6"/>
      <c r="O135" s="7"/>
      <c r="P135" s="7"/>
      <c r="Q135" s="7"/>
      <c r="R135" s="7"/>
      <c r="S135" s="7"/>
    </row>
    <row r="136" spans="1:19" ht="9" customHeight="1">
      <c r="A136" s="2"/>
      <c r="B136" s="5"/>
      <c r="C136" s="5"/>
      <c r="D136" s="5"/>
      <c r="E136" s="5"/>
      <c r="F136" s="5"/>
      <c r="G136" s="5"/>
      <c r="H136" s="5"/>
      <c r="I136" s="5"/>
      <c r="J136" s="5"/>
      <c r="K136" s="5"/>
      <c r="L136" s="52"/>
      <c r="M136" s="5"/>
      <c r="N136" s="6"/>
      <c r="O136" s="7"/>
      <c r="P136" s="7"/>
      <c r="Q136" s="7"/>
      <c r="R136" s="7"/>
      <c r="S136" s="7"/>
    </row>
    <row r="137" spans="1:19" ht="15.75">
      <c r="A137" s="8"/>
      <c r="B137" s="73" t="s">
        <v>92</v>
      </c>
      <c r="C137" s="16"/>
      <c r="D137" s="10"/>
      <c r="E137" s="10"/>
      <c r="F137" s="10"/>
      <c r="G137" s="10"/>
      <c r="H137" s="10"/>
      <c r="I137" s="10"/>
      <c r="J137" s="10"/>
      <c r="K137" s="10"/>
      <c r="L137" s="79"/>
      <c r="M137" s="10"/>
      <c r="N137" s="6"/>
      <c r="O137" s="7"/>
      <c r="P137" s="7"/>
      <c r="Q137" s="7"/>
      <c r="R137" s="7"/>
      <c r="S137" s="7"/>
    </row>
    <row r="138" spans="1:19" ht="15.75">
      <c r="A138" s="26"/>
      <c r="B138" s="27" t="s">
        <v>93</v>
      </c>
      <c r="C138" s="27"/>
      <c r="D138" s="27"/>
      <c r="E138" s="27"/>
      <c r="F138" s="27"/>
      <c r="G138" s="27"/>
      <c r="H138" s="27"/>
      <c r="I138" s="27"/>
      <c r="J138" s="27"/>
      <c r="K138" s="27"/>
      <c r="L138" s="68">
        <f>(L74+L77+L78+L79)/-L80</f>
        <v>2.054380664652568</v>
      </c>
      <c r="M138" s="27" t="s">
        <v>190</v>
      </c>
      <c r="N138" s="6"/>
      <c r="O138" s="7"/>
      <c r="P138" s="7"/>
      <c r="Q138" s="7"/>
      <c r="R138" s="7"/>
      <c r="S138" s="7"/>
    </row>
    <row r="139" spans="1:19" ht="15.75">
      <c r="A139" s="26"/>
      <c r="B139" s="27" t="s">
        <v>94</v>
      </c>
      <c r="C139" s="27"/>
      <c r="D139" s="27"/>
      <c r="E139" s="27"/>
      <c r="F139" s="27"/>
      <c r="G139" s="27"/>
      <c r="H139" s="27"/>
      <c r="I139" s="27"/>
      <c r="J139" s="27"/>
      <c r="K139" s="27"/>
      <c r="L139" s="68">
        <v>1.5</v>
      </c>
      <c r="M139" s="27" t="s">
        <v>190</v>
      </c>
      <c r="N139" s="6"/>
      <c r="O139" s="7"/>
      <c r="P139" s="7"/>
      <c r="Q139" s="7"/>
      <c r="R139" s="7"/>
      <c r="S139" s="7"/>
    </row>
    <row r="140" spans="1:19" ht="15.75">
      <c r="A140" s="26"/>
      <c r="B140" s="27" t="s">
        <v>95</v>
      </c>
      <c r="C140" s="27"/>
      <c r="D140" s="27"/>
      <c r="E140" s="27"/>
      <c r="F140" s="27"/>
      <c r="G140" s="27"/>
      <c r="H140" s="27"/>
      <c r="I140" s="27"/>
      <c r="J140" s="27"/>
      <c r="K140" s="27"/>
      <c r="L140" s="68">
        <f>(L74+SUM(L77:L81))/-L82</f>
        <v>5.927659574468085</v>
      </c>
      <c r="M140" s="27" t="s">
        <v>190</v>
      </c>
      <c r="N140" s="6"/>
      <c r="O140" s="7"/>
      <c r="P140" s="7"/>
      <c r="Q140" s="7"/>
      <c r="R140" s="7"/>
      <c r="S140" s="7"/>
    </row>
    <row r="141" spans="1:19" ht="15.75">
      <c r="A141" s="26"/>
      <c r="B141" s="27" t="s">
        <v>96</v>
      </c>
      <c r="C141" s="27"/>
      <c r="D141" s="27"/>
      <c r="E141" s="27"/>
      <c r="F141" s="27"/>
      <c r="G141" s="27"/>
      <c r="H141" s="27"/>
      <c r="I141" s="27"/>
      <c r="J141" s="27"/>
      <c r="K141" s="27"/>
      <c r="L141" s="81">
        <v>4.19</v>
      </c>
      <c r="M141" s="27" t="s">
        <v>190</v>
      </c>
      <c r="N141" s="6"/>
      <c r="O141" s="7"/>
      <c r="P141" s="7"/>
      <c r="Q141" s="7"/>
      <c r="R141" s="7"/>
      <c r="S141" s="7"/>
    </row>
    <row r="142" spans="1:19" ht="15.75">
      <c r="A142" s="26"/>
      <c r="B142" s="27" t="s">
        <v>97</v>
      </c>
      <c r="C142" s="27"/>
      <c r="D142" s="27"/>
      <c r="E142" s="27"/>
      <c r="F142" s="27"/>
      <c r="G142" s="27"/>
      <c r="H142" s="27"/>
      <c r="I142" s="27"/>
      <c r="J142" s="27"/>
      <c r="K142" s="27"/>
      <c r="L142" s="68">
        <f>(L74+L77+L78+L79+L80+L81+L82)/-L83</f>
        <v>6.975903614457831</v>
      </c>
      <c r="M142" s="27" t="s">
        <v>190</v>
      </c>
      <c r="N142" s="6"/>
      <c r="O142" s="7"/>
      <c r="P142" s="7"/>
      <c r="Q142" s="7"/>
      <c r="R142" s="7"/>
      <c r="S142" s="7"/>
    </row>
    <row r="143" spans="1:19" ht="15.75">
      <c r="A143" s="26"/>
      <c r="B143" s="27" t="s">
        <v>98</v>
      </c>
      <c r="C143" s="27"/>
      <c r="D143" s="27"/>
      <c r="E143" s="27"/>
      <c r="F143" s="27"/>
      <c r="G143" s="27"/>
      <c r="H143" s="27"/>
      <c r="I143" s="27"/>
      <c r="J143" s="27"/>
      <c r="K143" s="27"/>
      <c r="L143" s="80">
        <v>4.56</v>
      </c>
      <c r="M143" s="27" t="s">
        <v>190</v>
      </c>
      <c r="N143" s="6"/>
      <c r="O143" s="7"/>
      <c r="P143" s="7"/>
      <c r="Q143" s="7"/>
      <c r="R143" s="7"/>
      <c r="S143" s="7"/>
    </row>
    <row r="144" spans="1:19" ht="7.5" customHeight="1">
      <c r="A144" s="26"/>
      <c r="B144" s="27"/>
      <c r="C144" s="27"/>
      <c r="D144" s="27"/>
      <c r="E144" s="27"/>
      <c r="F144" s="27"/>
      <c r="G144" s="27"/>
      <c r="H144" s="27"/>
      <c r="I144" s="27"/>
      <c r="J144" s="27"/>
      <c r="K144" s="27"/>
      <c r="L144" s="27"/>
      <c r="M144" s="27"/>
      <c r="N144" s="6"/>
      <c r="O144" s="7"/>
      <c r="P144" s="7"/>
      <c r="Q144" s="7"/>
      <c r="R144" s="7"/>
      <c r="S144" s="7"/>
    </row>
    <row r="145" spans="1:19" ht="15.75">
      <c r="A145" s="8"/>
      <c r="B145" s="15"/>
      <c r="C145" s="15"/>
      <c r="D145" s="15"/>
      <c r="E145" s="15"/>
      <c r="F145" s="15"/>
      <c r="G145" s="15"/>
      <c r="H145" s="15"/>
      <c r="I145" s="15"/>
      <c r="J145" s="15"/>
      <c r="K145" s="15"/>
      <c r="L145" s="15"/>
      <c r="M145" s="15"/>
      <c r="N145" s="6"/>
      <c r="O145" s="7"/>
      <c r="P145" s="7"/>
      <c r="Q145" s="7"/>
      <c r="R145" s="7"/>
      <c r="S145" s="7"/>
    </row>
    <row r="146" spans="1:19" ht="15.75">
      <c r="A146" s="134"/>
      <c r="B146" s="83" t="s">
        <v>99</v>
      </c>
      <c r="C146" s="84"/>
      <c r="D146" s="84"/>
      <c r="E146" s="84"/>
      <c r="F146" s="84"/>
      <c r="G146" s="85"/>
      <c r="H146" s="85"/>
      <c r="I146" s="85"/>
      <c r="J146" s="85">
        <v>36494</v>
      </c>
      <c r="K146" s="86"/>
      <c r="L146" s="5"/>
      <c r="M146" s="5"/>
      <c r="N146" s="6"/>
      <c r="O146" s="7"/>
      <c r="P146" s="7"/>
      <c r="Q146" s="7"/>
      <c r="R146" s="7"/>
      <c r="S146" s="7"/>
    </row>
    <row r="147" spans="1:19" ht="15.75">
      <c r="A147" s="88"/>
      <c r="B147" s="89"/>
      <c r="C147" s="90"/>
      <c r="D147" s="90"/>
      <c r="E147" s="90"/>
      <c r="F147" s="90"/>
      <c r="G147" s="91"/>
      <c r="H147" s="91"/>
      <c r="I147" s="91"/>
      <c r="J147" s="91"/>
      <c r="K147" s="10"/>
      <c r="L147" s="10"/>
      <c r="M147" s="10"/>
      <c r="N147" s="6"/>
      <c r="O147" s="7"/>
      <c r="P147" s="7"/>
      <c r="Q147" s="7"/>
      <c r="R147" s="7"/>
      <c r="S147" s="7"/>
    </row>
    <row r="148" spans="1:19" ht="15.75">
      <c r="A148" s="92"/>
      <c r="B148" s="93" t="s">
        <v>100</v>
      </c>
      <c r="C148" s="94"/>
      <c r="D148" s="94"/>
      <c r="E148" s="94"/>
      <c r="F148" s="94"/>
      <c r="G148" s="75"/>
      <c r="H148" s="75"/>
      <c r="I148" s="75"/>
      <c r="J148" s="95">
        <v>0.0981</v>
      </c>
      <c r="K148" s="27"/>
      <c r="L148" s="27"/>
      <c r="M148" s="27"/>
      <c r="N148" s="6"/>
      <c r="O148" s="7"/>
      <c r="P148" s="7"/>
      <c r="Q148" s="7"/>
      <c r="R148" s="7"/>
      <c r="S148" s="7"/>
    </row>
    <row r="149" spans="1:19" ht="15.75">
      <c r="A149" s="92"/>
      <c r="B149" s="93" t="s">
        <v>101</v>
      </c>
      <c r="C149" s="94"/>
      <c r="D149" s="94"/>
      <c r="E149" s="94"/>
      <c r="F149" s="94"/>
      <c r="G149" s="75"/>
      <c r="H149" s="75"/>
      <c r="I149" s="75"/>
      <c r="J149" s="44">
        <f>6.96640642439395/100</f>
        <v>0.0696640642439395</v>
      </c>
      <c r="K149" s="27"/>
      <c r="L149" s="27"/>
      <c r="M149" s="27"/>
      <c r="N149" s="6"/>
      <c r="O149" s="7"/>
      <c r="P149" s="7"/>
      <c r="Q149" s="7"/>
      <c r="R149" s="7"/>
      <c r="S149" s="7"/>
    </row>
    <row r="150" spans="1:19" ht="15.75">
      <c r="A150" s="92"/>
      <c r="B150" s="93" t="s">
        <v>102</v>
      </c>
      <c r="C150" s="94"/>
      <c r="D150" s="94"/>
      <c r="E150" s="94"/>
      <c r="F150" s="94"/>
      <c r="G150" s="75"/>
      <c r="H150" s="75"/>
      <c r="I150" s="75"/>
      <c r="J150" s="95">
        <f>J148-J149</f>
        <v>0.0284359357560605</v>
      </c>
      <c r="K150" s="27"/>
      <c r="L150" s="27"/>
      <c r="M150" s="27"/>
      <c r="N150" s="6"/>
      <c r="O150" s="7"/>
      <c r="P150" s="7"/>
      <c r="Q150" s="7"/>
      <c r="R150" s="7"/>
      <c r="S150" s="7"/>
    </row>
    <row r="151" spans="1:19" ht="15.75">
      <c r="A151" s="92"/>
      <c r="B151" s="93" t="s">
        <v>103</v>
      </c>
      <c r="C151" s="94"/>
      <c r="D151" s="94"/>
      <c r="E151" s="94"/>
      <c r="F151" s="94"/>
      <c r="G151" s="75"/>
      <c r="H151" s="75"/>
      <c r="I151" s="75"/>
      <c r="J151" s="95">
        <v>0.08606</v>
      </c>
      <c r="K151" s="27"/>
      <c r="L151" s="27"/>
      <c r="M151" s="27"/>
      <c r="N151" s="6"/>
      <c r="O151" s="7"/>
      <c r="P151" s="7"/>
      <c r="Q151" s="7"/>
      <c r="R151" s="7"/>
      <c r="S151" s="7"/>
    </row>
    <row r="152" spans="1:19" ht="15.75">
      <c r="A152" s="92"/>
      <c r="B152" s="93" t="s">
        <v>104</v>
      </c>
      <c r="C152" s="94"/>
      <c r="D152" s="94"/>
      <c r="E152" s="94"/>
      <c r="F152" s="94"/>
      <c r="G152" s="75"/>
      <c r="H152" s="75"/>
      <c r="I152" s="75"/>
      <c r="J152" s="95">
        <f>L28</f>
        <v>0.05425316945669227</v>
      </c>
      <c r="K152" s="27"/>
      <c r="L152" s="27"/>
      <c r="M152" s="27"/>
      <c r="N152" s="6"/>
      <c r="O152" s="7"/>
      <c r="P152" s="7"/>
      <c r="Q152" s="7"/>
      <c r="R152" s="7"/>
      <c r="S152" s="7"/>
    </row>
    <row r="153" spans="1:19" ht="15.75">
      <c r="A153" s="92"/>
      <c r="B153" s="93" t="s">
        <v>105</v>
      </c>
      <c r="C153" s="94"/>
      <c r="D153" s="94"/>
      <c r="E153" s="94"/>
      <c r="F153" s="94"/>
      <c r="G153" s="75"/>
      <c r="H153" s="75"/>
      <c r="I153" s="75"/>
      <c r="J153" s="95">
        <f>J151-J152</f>
        <v>0.031806830543307726</v>
      </c>
      <c r="K153" s="27"/>
      <c r="L153" s="27"/>
      <c r="M153" s="27"/>
      <c r="N153" s="6"/>
      <c r="O153" s="7"/>
      <c r="P153" s="7"/>
      <c r="Q153" s="7"/>
      <c r="R153" s="7"/>
      <c r="S153" s="7"/>
    </row>
    <row r="154" spans="1:19" ht="15.75">
      <c r="A154" s="92"/>
      <c r="B154" s="93" t="s">
        <v>106</v>
      </c>
      <c r="C154" s="94"/>
      <c r="D154" s="94"/>
      <c r="E154" s="94"/>
      <c r="F154" s="94"/>
      <c r="G154" s="75"/>
      <c r="H154" s="75"/>
      <c r="I154" s="75"/>
      <c r="J154" s="95" t="s">
        <v>177</v>
      </c>
      <c r="K154" s="27"/>
      <c r="L154" s="27"/>
      <c r="M154" s="27"/>
      <c r="N154" s="6"/>
      <c r="O154" s="7"/>
      <c r="P154" s="7"/>
      <c r="Q154" s="7"/>
      <c r="R154" s="7"/>
      <c r="S154" s="7"/>
    </row>
    <row r="155" spans="1:19" ht="15.75">
      <c r="A155" s="92"/>
      <c r="B155" s="93" t="s">
        <v>107</v>
      </c>
      <c r="C155" s="94"/>
      <c r="D155" s="94"/>
      <c r="E155" s="94"/>
      <c r="F155" s="94"/>
      <c r="G155" s="75"/>
      <c r="H155" s="75"/>
      <c r="I155" s="75"/>
      <c r="J155" s="95" t="s">
        <v>178</v>
      </c>
      <c r="K155" s="27"/>
      <c r="L155" s="27"/>
      <c r="M155" s="27"/>
      <c r="N155" s="6"/>
      <c r="O155" s="7"/>
      <c r="P155" s="7"/>
      <c r="Q155" s="7"/>
      <c r="R155" s="7"/>
      <c r="S155" s="7"/>
    </row>
    <row r="156" spans="1:19" ht="15.75">
      <c r="A156" s="92"/>
      <c r="B156" s="93" t="s">
        <v>108</v>
      </c>
      <c r="C156" s="94"/>
      <c r="D156" s="94"/>
      <c r="E156" s="94"/>
      <c r="F156" s="94"/>
      <c r="G156" s="75"/>
      <c r="H156" s="75"/>
      <c r="I156" s="75"/>
      <c r="J156" s="95" t="s">
        <v>179</v>
      </c>
      <c r="K156" s="27"/>
      <c r="L156" s="27"/>
      <c r="M156" s="27"/>
      <c r="N156" s="6"/>
      <c r="O156" s="7"/>
      <c r="P156" s="7"/>
      <c r="Q156" s="7"/>
      <c r="R156" s="7"/>
      <c r="S156" s="7"/>
    </row>
    <row r="157" spans="1:19" ht="15.75">
      <c r="A157" s="92"/>
      <c r="B157" s="93" t="s">
        <v>109</v>
      </c>
      <c r="C157" s="94"/>
      <c r="D157" s="94"/>
      <c r="E157" s="94"/>
      <c r="F157" s="94"/>
      <c r="G157" s="75"/>
      <c r="H157" s="133"/>
      <c r="I157" s="75"/>
      <c r="J157" s="95">
        <f>F52/D52*4</f>
        <v>0.2516417684082809</v>
      </c>
      <c r="K157" s="27"/>
      <c r="L157" s="27"/>
      <c r="M157" s="27"/>
      <c r="N157" s="6"/>
      <c r="O157" s="7"/>
      <c r="P157" s="7"/>
      <c r="Q157" s="7"/>
      <c r="R157" s="7"/>
      <c r="S157" s="7"/>
    </row>
    <row r="158" spans="1:19" ht="15.75">
      <c r="A158" s="92"/>
      <c r="B158" s="93"/>
      <c r="C158" s="93"/>
      <c r="D158" s="93"/>
      <c r="E158" s="93"/>
      <c r="F158" s="93"/>
      <c r="G158" s="27"/>
      <c r="H158" s="27"/>
      <c r="I158" s="27"/>
      <c r="J158" s="72"/>
      <c r="K158" s="27"/>
      <c r="L158" s="97"/>
      <c r="M158" s="27"/>
      <c r="N158" s="6"/>
      <c r="O158" s="7"/>
      <c r="P158" s="7"/>
      <c r="Q158" s="7"/>
      <c r="R158" s="7"/>
      <c r="S158" s="7"/>
    </row>
    <row r="159" spans="1:19" ht="15.75">
      <c r="A159" s="98"/>
      <c r="B159" s="17" t="s">
        <v>110</v>
      </c>
      <c r="C159" s="20"/>
      <c r="D159" s="99"/>
      <c r="E159" s="20"/>
      <c r="F159" s="99"/>
      <c r="G159" s="20"/>
      <c r="H159" s="99"/>
      <c r="I159" s="20" t="s">
        <v>164</v>
      </c>
      <c r="J159" s="99" t="s">
        <v>180</v>
      </c>
      <c r="K159" s="18"/>
      <c r="L159" s="18"/>
      <c r="M159" s="10"/>
      <c r="N159" s="6"/>
      <c r="O159" s="7"/>
      <c r="P159" s="7"/>
      <c r="Q159" s="7"/>
      <c r="R159" s="7"/>
      <c r="S159" s="7"/>
    </row>
    <row r="160" spans="1:19" ht="15.75">
      <c r="A160" s="101"/>
      <c r="B160" s="93" t="s">
        <v>111</v>
      </c>
      <c r="C160" s="59"/>
      <c r="D160" s="59"/>
      <c r="E160" s="59"/>
      <c r="F160" s="27"/>
      <c r="G160" s="27"/>
      <c r="H160" s="27"/>
      <c r="I160" s="27">
        <v>144</v>
      </c>
      <c r="J160" s="58">
        <v>9826</v>
      </c>
      <c r="K160" s="27"/>
      <c r="L160" s="97"/>
      <c r="M160" s="102"/>
      <c r="N160" s="6"/>
      <c r="O160" s="7"/>
      <c r="P160" s="7"/>
      <c r="Q160" s="7"/>
      <c r="R160" s="7"/>
      <c r="S160" s="7"/>
    </row>
    <row r="161" spans="1:19" ht="15.75">
      <c r="A161" s="101"/>
      <c r="B161" s="93" t="s">
        <v>112</v>
      </c>
      <c r="C161" s="59"/>
      <c r="D161" s="59"/>
      <c r="E161" s="59"/>
      <c r="F161" s="27"/>
      <c r="G161" s="27"/>
      <c r="H161" s="27"/>
      <c r="I161" s="27">
        <v>15</v>
      </c>
      <c r="J161" s="58">
        <v>684</v>
      </c>
      <c r="K161" s="27"/>
      <c r="L161" s="97"/>
      <c r="M161" s="102"/>
      <c r="N161" s="6"/>
      <c r="O161" s="7"/>
      <c r="P161" s="7"/>
      <c r="Q161" s="7"/>
      <c r="R161" s="7"/>
      <c r="S161" s="7"/>
    </row>
    <row r="162" spans="1:19" ht="15.75">
      <c r="A162" s="101"/>
      <c r="B162" s="103" t="s">
        <v>113</v>
      </c>
      <c r="C162" s="59"/>
      <c r="D162" s="59"/>
      <c r="E162" s="59"/>
      <c r="F162" s="27"/>
      <c r="G162" s="27"/>
      <c r="H162" s="27"/>
      <c r="I162" s="27"/>
      <c r="J162" s="58">
        <v>0</v>
      </c>
      <c r="K162" s="27"/>
      <c r="L162" s="97"/>
      <c r="M162" s="102"/>
      <c r="N162" s="6"/>
      <c r="O162" s="7"/>
      <c r="P162" s="7"/>
      <c r="Q162" s="7"/>
      <c r="R162" s="7"/>
      <c r="S162" s="7"/>
    </row>
    <row r="163" spans="1:19" ht="15.75">
      <c r="A163" s="101"/>
      <c r="B163" s="103" t="s">
        <v>114</v>
      </c>
      <c r="C163" s="59"/>
      <c r="D163" s="59"/>
      <c r="E163" s="59"/>
      <c r="F163" s="27"/>
      <c r="G163" s="27"/>
      <c r="H163" s="27"/>
      <c r="I163" s="27"/>
      <c r="J163" s="68" t="s">
        <v>139</v>
      </c>
      <c r="K163" s="27"/>
      <c r="L163" s="97"/>
      <c r="M163" s="102"/>
      <c r="N163" s="6"/>
      <c r="O163" s="7"/>
      <c r="P163" s="7"/>
      <c r="Q163" s="7"/>
      <c r="R163" s="7"/>
      <c r="S163" s="7"/>
    </row>
    <row r="164" spans="1:19" ht="15.75">
      <c r="A164" s="104"/>
      <c r="B164" s="103" t="s">
        <v>115</v>
      </c>
      <c r="C164" s="59"/>
      <c r="D164" s="93"/>
      <c r="E164" s="93"/>
      <c r="F164" s="93"/>
      <c r="G164" s="27"/>
      <c r="H164" s="27"/>
      <c r="I164" s="27"/>
      <c r="J164" s="68"/>
      <c r="K164" s="27"/>
      <c r="L164" s="97"/>
      <c r="M164" s="105"/>
      <c r="N164" s="6"/>
      <c r="O164" s="7"/>
      <c r="P164" s="7"/>
      <c r="Q164" s="7"/>
      <c r="R164" s="7"/>
      <c r="S164" s="7"/>
    </row>
    <row r="165" spans="1:19" ht="15.75">
      <c r="A165" s="101"/>
      <c r="B165" s="93" t="s">
        <v>116</v>
      </c>
      <c r="C165" s="59"/>
      <c r="D165" s="59"/>
      <c r="E165" s="59"/>
      <c r="F165" s="59"/>
      <c r="G165" s="27"/>
      <c r="H165" s="27"/>
      <c r="I165" s="27">
        <v>7</v>
      </c>
      <c r="J165" s="58">
        <f>L63</f>
        <v>379</v>
      </c>
      <c r="K165" s="27"/>
      <c r="L165" s="97"/>
      <c r="M165" s="105"/>
      <c r="N165" s="6"/>
      <c r="O165" s="7"/>
      <c r="P165" s="7"/>
      <c r="Q165" s="7"/>
      <c r="R165" s="7"/>
      <c r="S165" s="7"/>
    </row>
    <row r="166" spans="1:19" ht="15.75">
      <c r="A166" s="101"/>
      <c r="B166" s="93" t="s">
        <v>117</v>
      </c>
      <c r="C166" s="59"/>
      <c r="D166" s="59"/>
      <c r="E166" s="59"/>
      <c r="F166" s="59"/>
      <c r="G166" s="27"/>
      <c r="H166" s="27"/>
      <c r="I166" s="58">
        <f>'Aug 99'!I167+I165</f>
        <v>69</v>
      </c>
      <c r="J166" s="58">
        <f>'Aug 99'!J167+J165</f>
        <v>1168</v>
      </c>
      <c r="K166" s="27"/>
      <c r="L166" s="97"/>
      <c r="M166" s="105"/>
      <c r="N166" s="6"/>
      <c r="O166" s="7"/>
      <c r="P166" s="7"/>
      <c r="Q166" s="7"/>
      <c r="R166" s="7"/>
      <c r="S166" s="7"/>
    </row>
    <row r="167" spans="1:19" ht="15.75">
      <c r="A167" s="104"/>
      <c r="B167" s="103" t="s">
        <v>118</v>
      </c>
      <c r="C167" s="59"/>
      <c r="D167" s="93"/>
      <c r="E167" s="93"/>
      <c r="F167" s="93"/>
      <c r="G167" s="27"/>
      <c r="H167" s="27"/>
      <c r="I167" s="27"/>
      <c r="J167" s="58"/>
      <c r="K167" s="27"/>
      <c r="L167" s="97"/>
      <c r="M167" s="105"/>
      <c r="N167" s="6"/>
      <c r="O167" s="7"/>
      <c r="P167" s="7"/>
      <c r="Q167" s="7"/>
      <c r="R167" s="7"/>
      <c r="S167" s="7"/>
    </row>
    <row r="168" spans="1:19" ht="15.75">
      <c r="A168" s="104"/>
      <c r="B168" s="93" t="s">
        <v>119</v>
      </c>
      <c r="C168" s="59"/>
      <c r="D168" s="93"/>
      <c r="E168" s="93"/>
      <c r="F168" s="93"/>
      <c r="G168" s="27"/>
      <c r="H168" s="27"/>
      <c r="I168" s="27">
        <v>4</v>
      </c>
      <c r="J168" s="58">
        <v>226</v>
      </c>
      <c r="K168" s="27"/>
      <c r="L168" s="97"/>
      <c r="M168" s="105"/>
      <c r="N168" s="6"/>
      <c r="O168" s="7"/>
      <c r="P168" s="7"/>
      <c r="Q168" s="7"/>
      <c r="R168" s="7"/>
      <c r="S168" s="7"/>
    </row>
    <row r="169" spans="1:19" ht="15.75">
      <c r="A169" s="101"/>
      <c r="B169" s="93" t="s">
        <v>120</v>
      </c>
      <c r="C169" s="59"/>
      <c r="D169" s="106"/>
      <c r="E169" s="106"/>
      <c r="F169" s="107"/>
      <c r="G169" s="27"/>
      <c r="H169" s="27"/>
      <c r="I169" s="27"/>
      <c r="J169" s="68">
        <v>19.12</v>
      </c>
      <c r="K169" s="27"/>
      <c r="L169" s="97"/>
      <c r="M169" s="105"/>
      <c r="N169" s="6"/>
      <c r="O169" s="7"/>
      <c r="P169" s="7"/>
      <c r="Q169" s="7"/>
      <c r="R169" s="7"/>
      <c r="S169" s="7"/>
    </row>
    <row r="170" spans="1:19" ht="15.75">
      <c r="A170" s="101"/>
      <c r="B170" s="93" t="s">
        <v>197</v>
      </c>
      <c r="C170" s="59"/>
      <c r="D170" s="106"/>
      <c r="E170" s="106"/>
      <c r="F170" s="107"/>
      <c r="G170" s="27"/>
      <c r="H170" s="27"/>
      <c r="I170" s="27"/>
      <c r="J170" s="68">
        <v>4.75</v>
      </c>
      <c r="K170" s="27"/>
      <c r="L170" s="97"/>
      <c r="M170" s="105"/>
      <c r="N170" s="6"/>
      <c r="O170" s="7"/>
      <c r="P170" s="7"/>
      <c r="Q170" s="7"/>
      <c r="R170" s="7"/>
      <c r="S170" s="7"/>
    </row>
    <row r="171" spans="1:19" ht="15.75">
      <c r="A171" s="101"/>
      <c r="B171" s="93" t="s">
        <v>122</v>
      </c>
      <c r="C171" s="59"/>
      <c r="D171" s="108"/>
      <c r="E171" s="106"/>
      <c r="F171" s="107"/>
      <c r="G171" s="27"/>
      <c r="H171" s="27"/>
      <c r="I171" s="27"/>
      <c r="J171" s="109">
        <v>0.8747</v>
      </c>
      <c r="K171" s="27"/>
      <c r="L171" s="97"/>
      <c r="M171" s="105"/>
      <c r="N171" s="6"/>
      <c r="O171" s="7"/>
      <c r="P171" s="7"/>
      <c r="Q171" s="7"/>
      <c r="R171" s="7"/>
      <c r="S171" s="7"/>
    </row>
    <row r="172" spans="1:19" ht="15.75">
      <c r="A172" s="101"/>
      <c r="B172" s="93"/>
      <c r="C172" s="59"/>
      <c r="D172" s="108"/>
      <c r="E172" s="106"/>
      <c r="F172" s="107"/>
      <c r="G172" s="27"/>
      <c r="H172" s="27"/>
      <c r="I172" s="27"/>
      <c r="J172" s="109"/>
      <c r="K172" s="27"/>
      <c r="L172" s="97"/>
      <c r="M172" s="105"/>
      <c r="N172" s="6"/>
      <c r="O172" s="7"/>
      <c r="P172" s="7"/>
      <c r="Q172" s="7"/>
      <c r="R172" s="7"/>
      <c r="S172" s="7"/>
    </row>
    <row r="173" spans="1:19" ht="15.75">
      <c r="A173" s="8"/>
      <c r="B173" s="17" t="s">
        <v>123</v>
      </c>
      <c r="C173" s="20"/>
      <c r="D173" s="99"/>
      <c r="E173" s="20"/>
      <c r="F173" s="99"/>
      <c r="G173" s="20"/>
      <c r="H173" s="99" t="s">
        <v>164</v>
      </c>
      <c r="I173" s="20" t="s">
        <v>165</v>
      </c>
      <c r="J173" s="99" t="s">
        <v>181</v>
      </c>
      <c r="K173" s="20" t="s">
        <v>165</v>
      </c>
      <c r="L173" s="18"/>
      <c r="M173" s="112"/>
      <c r="N173" s="6"/>
      <c r="O173" s="7"/>
      <c r="P173" s="7"/>
      <c r="Q173" s="7"/>
      <c r="R173" s="7"/>
      <c r="S173" s="7"/>
    </row>
    <row r="174" spans="1:19" ht="15.75">
      <c r="A174" s="26"/>
      <c r="B174" s="59" t="s">
        <v>124</v>
      </c>
      <c r="C174" s="113"/>
      <c r="D174" s="59"/>
      <c r="E174" s="113"/>
      <c r="F174" s="27"/>
      <c r="G174" s="113"/>
      <c r="H174" s="59">
        <f>1003+1561</f>
        <v>2564</v>
      </c>
      <c r="I174" s="113">
        <f>H174/$H$180</f>
        <v>0.7916023464032109</v>
      </c>
      <c r="J174" s="58">
        <v>93847</v>
      </c>
      <c r="K174" s="114">
        <f>J174/$J$180</f>
        <v>0.7577901052138595</v>
      </c>
      <c r="L174" s="97"/>
      <c r="M174" s="105"/>
      <c r="N174" s="6"/>
      <c r="O174" s="7"/>
      <c r="P174" s="7"/>
      <c r="Q174" s="7"/>
      <c r="R174" s="7"/>
      <c r="S174" s="7"/>
    </row>
    <row r="175" spans="1:19" ht="15.75">
      <c r="A175" s="26"/>
      <c r="B175" s="59" t="s">
        <v>125</v>
      </c>
      <c r="C175" s="113"/>
      <c r="D175" s="59"/>
      <c r="E175" s="113"/>
      <c r="F175" s="27"/>
      <c r="G175" s="115"/>
      <c r="H175" s="59">
        <f>65+45</f>
        <v>110</v>
      </c>
      <c r="I175" s="113">
        <f>H175/$H$180</f>
        <v>0.03396109910466193</v>
      </c>
      <c r="J175" s="58">
        <f>2570+1768</f>
        <v>4338</v>
      </c>
      <c r="K175" s="114">
        <f>J175/$J$180</f>
        <v>0.03502822121557133</v>
      </c>
      <c r="L175" s="97"/>
      <c r="M175" s="105"/>
      <c r="N175" s="6"/>
      <c r="O175" s="7"/>
      <c r="P175" s="7"/>
      <c r="Q175" s="7"/>
      <c r="R175" s="7"/>
      <c r="S175" s="7"/>
    </row>
    <row r="176" spans="1:19" ht="15.75">
      <c r="A176" s="26"/>
      <c r="B176" s="59" t="s">
        <v>126</v>
      </c>
      <c r="C176" s="113"/>
      <c r="D176" s="59"/>
      <c r="E176" s="113"/>
      <c r="F176" s="27"/>
      <c r="G176" s="115"/>
      <c r="H176" s="59">
        <f>37+26</f>
        <v>63</v>
      </c>
      <c r="I176" s="113">
        <f>H176/$H$180</f>
        <v>0.019450447669033654</v>
      </c>
      <c r="J176" s="58">
        <f>1621+1003</f>
        <v>2624</v>
      </c>
      <c r="K176" s="114">
        <f>J176/$J$180</f>
        <v>0.021188117212922814</v>
      </c>
      <c r="L176" s="97"/>
      <c r="M176" s="105"/>
      <c r="N176" s="6"/>
      <c r="O176" s="7"/>
      <c r="P176" s="7"/>
      <c r="Q176" s="7"/>
      <c r="R176" s="7"/>
      <c r="S176" s="7"/>
    </row>
    <row r="177" spans="1:19" ht="15.75">
      <c r="A177" s="26"/>
      <c r="B177" s="59" t="s">
        <v>127</v>
      </c>
      <c r="C177" s="113"/>
      <c r="D177" s="59"/>
      <c r="E177" s="113"/>
      <c r="F177" s="27"/>
      <c r="G177" s="115"/>
      <c r="H177" s="59">
        <f>33+17+356+96</f>
        <v>502</v>
      </c>
      <c r="I177" s="113">
        <f>H177/$H$180</f>
        <v>0.15498610682309355</v>
      </c>
      <c r="J177" s="58">
        <f>22199-85</f>
        <v>22114</v>
      </c>
      <c r="K177" s="114">
        <f>J177/$J$180</f>
        <v>0.17856479574945697</v>
      </c>
      <c r="L177" s="97"/>
      <c r="M177" s="105"/>
      <c r="N177" s="6"/>
      <c r="O177" s="7"/>
      <c r="P177" s="7"/>
      <c r="Q177" s="7"/>
      <c r="R177" s="7"/>
      <c r="S177" s="7"/>
    </row>
    <row r="178" spans="1:19" ht="15.75">
      <c r="A178" s="26"/>
      <c r="B178" s="30"/>
      <c r="C178" s="113"/>
      <c r="D178" s="59"/>
      <c r="E178" s="113"/>
      <c r="F178" s="27"/>
      <c r="G178" s="115"/>
      <c r="H178" s="59"/>
      <c r="I178" s="113"/>
      <c r="J178" s="58"/>
      <c r="K178" s="114"/>
      <c r="L178" s="97"/>
      <c r="M178" s="105"/>
      <c r="N178" s="6"/>
      <c r="O178" s="7"/>
      <c r="P178" s="7"/>
      <c r="Q178" s="7"/>
      <c r="R178" s="7"/>
      <c r="S178" s="7"/>
    </row>
    <row r="179" spans="1:19" ht="15.75">
      <c r="A179" s="26"/>
      <c r="B179" s="59" t="s">
        <v>128</v>
      </c>
      <c r="C179" s="116"/>
      <c r="D179" s="102"/>
      <c r="E179" s="116"/>
      <c r="F179" s="27"/>
      <c r="G179" s="116"/>
      <c r="H179" s="102"/>
      <c r="I179" s="116"/>
      <c r="J179" s="58">
        <v>920</v>
      </c>
      <c r="K179" s="114">
        <f>J179/$J$180</f>
        <v>0.007428760608189401</v>
      </c>
      <c r="L179" s="97"/>
      <c r="M179" s="105"/>
      <c r="N179" s="6"/>
      <c r="O179" s="7"/>
      <c r="P179" s="7"/>
      <c r="Q179" s="7"/>
      <c r="R179" s="7"/>
      <c r="S179" s="7"/>
    </row>
    <row r="180" spans="1:19" ht="15.75">
      <c r="A180" s="26"/>
      <c r="B180" s="27"/>
      <c r="C180" s="27"/>
      <c r="D180" s="27"/>
      <c r="E180" s="27"/>
      <c r="F180" s="27"/>
      <c r="G180" s="27"/>
      <c r="H180" s="57">
        <f>SUM(H174:H178)</f>
        <v>3239</v>
      </c>
      <c r="I180" s="114">
        <f>SUM(I174:I177)</f>
        <v>1</v>
      </c>
      <c r="J180" s="58">
        <f>SUM(J174:J179)</f>
        <v>123843</v>
      </c>
      <c r="K180" s="114">
        <f>SUM(K174:K179)</f>
        <v>1</v>
      </c>
      <c r="L180" s="97"/>
      <c r="M180" s="27"/>
      <c r="N180" s="6"/>
      <c r="O180" s="7"/>
      <c r="P180" s="7"/>
      <c r="Q180" s="7"/>
      <c r="R180" s="7"/>
      <c r="S180" s="7"/>
    </row>
    <row r="181" spans="1:19" ht="15.75">
      <c r="A181" s="26"/>
      <c r="B181" s="27"/>
      <c r="C181" s="27"/>
      <c r="D181" s="27"/>
      <c r="E181" s="27"/>
      <c r="F181" s="27"/>
      <c r="G181" s="27"/>
      <c r="H181" s="57"/>
      <c r="I181" s="114"/>
      <c r="J181" s="58"/>
      <c r="K181" s="114"/>
      <c r="L181" s="97"/>
      <c r="M181" s="27"/>
      <c r="N181" s="6"/>
      <c r="O181" s="7"/>
      <c r="P181" s="7"/>
      <c r="Q181" s="7"/>
      <c r="R181" s="7"/>
      <c r="S181" s="7"/>
    </row>
    <row r="182" spans="1:19" ht="15.75">
      <c r="A182" s="8"/>
      <c r="B182" s="10"/>
      <c r="C182" s="10"/>
      <c r="D182" s="10"/>
      <c r="E182" s="10"/>
      <c r="F182" s="10"/>
      <c r="G182" s="10"/>
      <c r="H182" s="60"/>
      <c r="I182" s="117"/>
      <c r="J182" s="118"/>
      <c r="K182" s="117"/>
      <c r="L182" s="79"/>
      <c r="M182" s="10"/>
      <c r="N182" s="6"/>
      <c r="O182" s="7"/>
      <c r="P182" s="7"/>
      <c r="Q182" s="7"/>
      <c r="R182" s="7"/>
      <c r="S182" s="7"/>
    </row>
    <row r="183" spans="1:19" ht="15.75">
      <c r="A183" s="119"/>
      <c r="B183" s="17" t="s">
        <v>129</v>
      </c>
      <c r="C183" s="120"/>
      <c r="D183" s="20" t="s">
        <v>144</v>
      </c>
      <c r="E183" s="18"/>
      <c r="F183" s="17" t="s">
        <v>154</v>
      </c>
      <c r="G183" s="121"/>
      <c r="H183" s="121"/>
      <c r="I183" s="15"/>
      <c r="J183" s="15"/>
      <c r="K183" s="15"/>
      <c r="L183" s="15"/>
      <c r="M183" s="15"/>
      <c r="N183" s="6"/>
      <c r="O183" s="7"/>
      <c r="P183" s="7"/>
      <c r="Q183" s="7"/>
      <c r="R183" s="7"/>
      <c r="S183" s="7"/>
    </row>
    <row r="184" spans="1:19" ht="15.75">
      <c r="A184" s="119"/>
      <c r="B184" s="15"/>
      <c r="C184" s="15"/>
      <c r="D184" s="10"/>
      <c r="E184" s="10"/>
      <c r="F184" s="10"/>
      <c r="G184" s="15"/>
      <c r="H184" s="15"/>
      <c r="I184" s="15"/>
      <c r="J184" s="15"/>
      <c r="K184" s="15"/>
      <c r="L184" s="15"/>
      <c r="M184" s="15"/>
      <c r="N184" s="6"/>
      <c r="O184" s="7"/>
      <c r="P184" s="7"/>
      <c r="Q184" s="7"/>
      <c r="R184" s="7"/>
      <c r="S184" s="7"/>
    </row>
    <row r="185" spans="1:19" ht="15.75">
      <c r="A185" s="119"/>
      <c r="B185" s="16" t="s">
        <v>130</v>
      </c>
      <c r="C185" s="124"/>
      <c r="D185" s="125" t="s">
        <v>145</v>
      </c>
      <c r="E185" s="16"/>
      <c r="F185" s="16" t="s">
        <v>155</v>
      </c>
      <c r="G185" s="124"/>
      <c r="H185" s="124"/>
      <c r="I185" s="124"/>
      <c r="J185" s="15"/>
      <c r="K185" s="15"/>
      <c r="L185" s="15"/>
      <c r="M185" s="15"/>
      <c r="N185" s="6"/>
      <c r="O185" s="7"/>
      <c r="P185" s="7"/>
      <c r="Q185" s="7"/>
      <c r="R185" s="7"/>
      <c r="S185" s="7"/>
    </row>
    <row r="186" spans="1:19" ht="15.75">
      <c r="A186" s="119"/>
      <c r="B186" s="16" t="s">
        <v>131</v>
      </c>
      <c r="C186" s="124"/>
      <c r="D186" s="125" t="s">
        <v>146</v>
      </c>
      <c r="E186" s="16"/>
      <c r="F186" s="16" t="s">
        <v>156</v>
      </c>
      <c r="G186" s="124"/>
      <c r="H186" s="124"/>
      <c r="I186" s="124"/>
      <c r="J186" s="15"/>
      <c r="K186" s="15"/>
      <c r="L186" s="15"/>
      <c r="M186" s="15"/>
      <c r="N186" s="6"/>
      <c r="O186" s="7"/>
      <c r="P186" s="7"/>
      <c r="Q186" s="7"/>
      <c r="R186" s="7"/>
      <c r="S186" s="7"/>
    </row>
    <row r="187" spans="1:19" ht="15">
      <c r="A187" s="119"/>
      <c r="B187" s="15"/>
      <c r="C187" s="15"/>
      <c r="D187" s="15"/>
      <c r="E187" s="15"/>
      <c r="F187" s="15"/>
      <c r="G187" s="15"/>
      <c r="H187" s="15"/>
      <c r="I187" s="15"/>
      <c r="J187" s="15"/>
      <c r="K187" s="15"/>
      <c r="L187" s="15"/>
      <c r="M187" s="15"/>
      <c r="N187" s="6"/>
      <c r="O187" s="7"/>
      <c r="P187" s="7"/>
      <c r="Q187" s="7"/>
      <c r="R187" s="7"/>
      <c r="S187" s="7"/>
    </row>
    <row r="188" spans="1:19" ht="15">
      <c r="A188" s="119"/>
      <c r="B188" s="15"/>
      <c r="C188" s="15"/>
      <c r="D188" s="15"/>
      <c r="E188" s="15"/>
      <c r="F188" s="15"/>
      <c r="G188" s="15"/>
      <c r="H188" s="15"/>
      <c r="I188" s="15"/>
      <c r="J188" s="15"/>
      <c r="K188" s="15"/>
      <c r="L188" s="15"/>
      <c r="M188" s="15"/>
      <c r="N188" s="6"/>
      <c r="O188" s="7"/>
      <c r="P188" s="7"/>
      <c r="Q188" s="7"/>
      <c r="R188" s="7"/>
      <c r="S188" s="7"/>
    </row>
    <row r="189" spans="1:19" ht="15">
      <c r="A189" s="126"/>
      <c r="B189" s="126"/>
      <c r="C189" s="126"/>
      <c r="D189" s="126"/>
      <c r="E189" s="126"/>
      <c r="F189" s="126"/>
      <c r="G189" s="126"/>
      <c r="H189" s="126"/>
      <c r="I189" s="126"/>
      <c r="J189" s="126"/>
      <c r="K189" s="126"/>
      <c r="L189" s="126"/>
      <c r="M189" s="126"/>
      <c r="N189" s="7"/>
      <c r="O189" s="7"/>
      <c r="P189" s="7"/>
      <c r="Q189" s="7"/>
      <c r="R189" s="7"/>
      <c r="S189" s="7"/>
    </row>
  </sheetData>
  <printOptions/>
  <pageMargins left="0.5" right="0.5" top="0.3" bottom="0.3423611111111111" header="0" footer="0"/>
  <pageSetup orientation="landscape" paperSize="9" scale="63"/>
  <headerFooter alignWithMargins="0">
    <oddFooter>&amp;LFFP1 INVESTOR REPORT QTR END AUGUST 2001</oddFooter>
  </headerFooter>
</worksheet>
</file>

<file path=xl/worksheets/sheet4.xml><?xml version="1.0" encoding="utf-8"?>
<worksheet xmlns="http://schemas.openxmlformats.org/spreadsheetml/2006/main" xmlns:r="http://schemas.openxmlformats.org/officeDocument/2006/relationships">
  <dimension ref="A1:N188"/>
  <sheetViews>
    <sheetView showOutlineSymbols="0" zoomScale="70" zoomScaleNormal="70" workbookViewId="0" topLeftCell="D1">
      <selection activeCell="O1" sqref="O1"/>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9.6640625" style="1" customWidth="1"/>
    <col min="12" max="12" width="13.6640625" style="1" customWidth="1"/>
    <col min="13" max="13" width="19.3359375" style="1" customWidth="1"/>
    <col min="14" max="16384" width="9.6640625" style="1" customWidth="1"/>
  </cols>
  <sheetData>
    <row r="1" spans="1:14" ht="20.25">
      <c r="A1" s="135"/>
      <c r="B1" s="3" t="s">
        <v>0</v>
      </c>
      <c r="C1" s="4"/>
      <c r="D1" s="5"/>
      <c r="E1" s="5"/>
      <c r="F1" s="5"/>
      <c r="G1" s="5"/>
      <c r="H1" s="5"/>
      <c r="I1" s="5"/>
      <c r="J1" s="5"/>
      <c r="K1" s="5"/>
      <c r="L1" s="5"/>
      <c r="M1" s="5"/>
      <c r="N1" s="6"/>
    </row>
    <row r="2" spans="1:14" ht="15.75">
      <c r="A2" s="119"/>
      <c r="B2" s="9"/>
      <c r="C2" s="9"/>
      <c r="D2" s="10"/>
      <c r="E2" s="10"/>
      <c r="F2" s="10"/>
      <c r="G2" s="10"/>
      <c r="H2" s="10"/>
      <c r="I2" s="10"/>
      <c r="J2" s="10"/>
      <c r="K2" s="10"/>
      <c r="L2" s="10"/>
      <c r="M2" s="10"/>
      <c r="N2" s="6"/>
    </row>
    <row r="3" spans="1:14" ht="15.75">
      <c r="A3" s="119"/>
      <c r="B3" s="12" t="s">
        <v>1</v>
      </c>
      <c r="C3" s="10"/>
      <c r="D3" s="10"/>
      <c r="E3" s="10"/>
      <c r="F3" s="10"/>
      <c r="G3" s="10"/>
      <c r="H3" s="10"/>
      <c r="I3" s="10"/>
      <c r="J3" s="10"/>
      <c r="K3" s="10"/>
      <c r="L3" s="10"/>
      <c r="M3" s="10"/>
      <c r="N3" s="6"/>
    </row>
    <row r="4" spans="1:14" ht="15.75">
      <c r="A4" s="119"/>
      <c r="B4" s="9"/>
      <c r="C4" s="9"/>
      <c r="D4" s="10"/>
      <c r="E4" s="10"/>
      <c r="F4" s="10"/>
      <c r="G4" s="10"/>
      <c r="H4" s="10"/>
      <c r="I4" s="10"/>
      <c r="J4" s="10"/>
      <c r="K4" s="10"/>
      <c r="L4" s="10"/>
      <c r="M4" s="10"/>
      <c r="N4" s="6"/>
    </row>
    <row r="5" spans="1:14" ht="15.75">
      <c r="A5" s="119"/>
      <c r="B5" s="13" t="s">
        <v>2</v>
      </c>
      <c r="C5" s="14"/>
      <c r="D5" s="10"/>
      <c r="E5" s="10"/>
      <c r="F5" s="10"/>
      <c r="G5" s="10"/>
      <c r="H5" s="10"/>
      <c r="I5" s="10"/>
      <c r="J5" s="10"/>
      <c r="K5" s="10"/>
      <c r="L5" s="10"/>
      <c r="M5" s="10"/>
      <c r="N5" s="6"/>
    </row>
    <row r="6" spans="1:14" ht="15.75">
      <c r="A6" s="119"/>
      <c r="B6" s="13" t="s">
        <v>3</v>
      </c>
      <c r="C6" s="14"/>
      <c r="D6" s="10"/>
      <c r="E6" s="10"/>
      <c r="F6" s="10"/>
      <c r="G6" s="10"/>
      <c r="H6" s="10"/>
      <c r="I6" s="10"/>
      <c r="J6" s="10"/>
      <c r="K6" s="10"/>
      <c r="L6" s="10"/>
      <c r="M6" s="10"/>
      <c r="N6" s="6"/>
    </row>
    <row r="7" spans="1:14" ht="15.75">
      <c r="A7" s="119"/>
      <c r="B7" s="13" t="s">
        <v>4</v>
      </c>
      <c r="C7" s="14"/>
      <c r="D7" s="10"/>
      <c r="E7" s="10"/>
      <c r="F7" s="10"/>
      <c r="G7" s="10"/>
      <c r="H7" s="10"/>
      <c r="I7" s="10"/>
      <c r="J7" s="10"/>
      <c r="K7" s="10"/>
      <c r="L7" s="10"/>
      <c r="M7" s="10"/>
      <c r="N7" s="6"/>
    </row>
    <row r="8" spans="1:14" ht="15.75">
      <c r="A8" s="119"/>
      <c r="B8" s="15"/>
      <c r="C8" s="14"/>
      <c r="D8" s="10"/>
      <c r="E8" s="10"/>
      <c r="F8" s="10"/>
      <c r="G8" s="10"/>
      <c r="H8" s="10"/>
      <c r="I8" s="10"/>
      <c r="J8" s="10"/>
      <c r="K8" s="10"/>
      <c r="L8" s="10"/>
      <c r="M8" s="10"/>
      <c r="N8" s="6"/>
    </row>
    <row r="9" spans="1:14" ht="15.75">
      <c r="A9" s="119"/>
      <c r="B9" s="14"/>
      <c r="C9" s="14"/>
      <c r="D9" s="16"/>
      <c r="E9" s="16"/>
      <c r="F9" s="10"/>
      <c r="G9" s="10"/>
      <c r="H9" s="10"/>
      <c r="I9" s="10"/>
      <c r="J9" s="10"/>
      <c r="K9" s="10"/>
      <c r="L9" s="10"/>
      <c r="M9" s="10"/>
      <c r="N9" s="6"/>
    </row>
    <row r="10" spans="1:14" ht="15.75">
      <c r="A10" s="119"/>
      <c r="B10" s="17" t="s">
        <v>5</v>
      </c>
      <c r="C10" s="16"/>
      <c r="D10" s="10"/>
      <c r="E10" s="10"/>
      <c r="F10" s="10"/>
      <c r="G10" s="10"/>
      <c r="H10" s="10"/>
      <c r="I10" s="10"/>
      <c r="J10" s="10"/>
      <c r="K10" s="10"/>
      <c r="L10" s="10"/>
      <c r="M10" s="10"/>
      <c r="N10" s="6"/>
    </row>
    <row r="11" spans="1:14" ht="15.75">
      <c r="A11" s="119"/>
      <c r="B11" s="16"/>
      <c r="C11" s="16"/>
      <c r="D11" s="10"/>
      <c r="E11" s="10"/>
      <c r="F11" s="10"/>
      <c r="G11" s="10"/>
      <c r="H11" s="10"/>
      <c r="I11" s="10"/>
      <c r="J11" s="10"/>
      <c r="K11" s="10"/>
      <c r="L11" s="10"/>
      <c r="M11" s="10"/>
      <c r="N11" s="6"/>
    </row>
    <row r="12" spans="1:14" ht="15.75">
      <c r="A12" s="135"/>
      <c r="B12" s="5"/>
      <c r="C12" s="5"/>
      <c r="D12" s="5"/>
      <c r="E12" s="5"/>
      <c r="F12" s="5"/>
      <c r="G12" s="5"/>
      <c r="H12" s="5"/>
      <c r="I12" s="5"/>
      <c r="J12" s="5"/>
      <c r="K12" s="5"/>
      <c r="L12" s="5"/>
      <c r="M12" s="5"/>
      <c r="N12" s="6"/>
    </row>
    <row r="13" spans="1:14" ht="15.75">
      <c r="A13" s="119"/>
      <c r="B13" s="17" t="s">
        <v>6</v>
      </c>
      <c r="C13" s="17"/>
      <c r="D13" s="18"/>
      <c r="E13" s="18"/>
      <c r="F13" s="18"/>
      <c r="G13" s="18"/>
      <c r="H13" s="18"/>
      <c r="I13" s="18"/>
      <c r="J13" s="18"/>
      <c r="K13" s="18"/>
      <c r="L13" s="19" t="s">
        <v>183</v>
      </c>
      <c r="M13" s="10"/>
      <c r="N13" s="6"/>
    </row>
    <row r="14" spans="1:14" ht="15.75">
      <c r="A14" s="119"/>
      <c r="B14" s="17" t="s">
        <v>7</v>
      </c>
      <c r="C14" s="17"/>
      <c r="D14" s="18"/>
      <c r="E14" s="18"/>
      <c r="F14" s="18"/>
      <c r="G14" s="18"/>
      <c r="H14" s="18"/>
      <c r="I14" s="18"/>
      <c r="J14" s="18"/>
      <c r="K14" s="18"/>
      <c r="L14" s="20" t="s">
        <v>184</v>
      </c>
      <c r="M14" s="10"/>
      <c r="N14" s="6"/>
    </row>
    <row r="15" spans="1:14" ht="15.75">
      <c r="A15" s="119"/>
      <c r="B15" s="17" t="s">
        <v>8</v>
      </c>
      <c r="C15" s="17"/>
      <c r="D15" s="18"/>
      <c r="E15" s="18"/>
      <c r="F15" s="18"/>
      <c r="G15" s="18"/>
      <c r="H15" s="18"/>
      <c r="I15" s="18"/>
      <c r="J15" s="18"/>
      <c r="K15" s="18"/>
      <c r="L15" s="21">
        <v>36586</v>
      </c>
      <c r="M15" s="10"/>
      <c r="N15" s="6"/>
    </row>
    <row r="16" spans="1:14" ht="15.75">
      <c r="A16" s="119"/>
      <c r="B16" s="10"/>
      <c r="C16" s="10"/>
      <c r="D16" s="10"/>
      <c r="E16" s="10"/>
      <c r="F16" s="10"/>
      <c r="G16" s="10"/>
      <c r="H16" s="10"/>
      <c r="I16" s="10"/>
      <c r="J16" s="10"/>
      <c r="K16" s="10"/>
      <c r="L16" s="22"/>
      <c r="M16" s="10"/>
      <c r="N16" s="6"/>
    </row>
    <row r="17" spans="1:14" ht="15.75">
      <c r="A17" s="119"/>
      <c r="B17" s="10" t="s">
        <v>9</v>
      </c>
      <c r="C17" s="10"/>
      <c r="D17" s="10"/>
      <c r="E17" s="10"/>
      <c r="F17" s="10"/>
      <c r="G17" s="10"/>
      <c r="H17" s="10"/>
      <c r="I17" s="10"/>
      <c r="J17" s="22" t="s">
        <v>166</v>
      </c>
      <c r="K17" s="10"/>
      <c r="L17" s="15"/>
      <c r="M17" s="10"/>
      <c r="N17" s="6"/>
    </row>
    <row r="18" spans="1:14" ht="15.75">
      <c r="A18" s="119"/>
      <c r="B18" s="10"/>
      <c r="C18" s="10"/>
      <c r="D18" s="10"/>
      <c r="E18" s="10"/>
      <c r="F18" s="10"/>
      <c r="G18" s="10"/>
      <c r="H18" s="10"/>
      <c r="I18" s="10"/>
      <c r="J18" s="10"/>
      <c r="K18" s="10"/>
      <c r="L18" s="23"/>
      <c r="M18" s="10"/>
      <c r="N18" s="6"/>
    </row>
    <row r="19" spans="1:14" ht="15.75">
      <c r="A19" s="119"/>
      <c r="B19" s="10"/>
      <c r="C19" s="24" t="s">
        <v>132</v>
      </c>
      <c r="D19" s="25" t="s">
        <v>135</v>
      </c>
      <c r="E19" s="25"/>
      <c r="F19" s="25" t="s">
        <v>147</v>
      </c>
      <c r="G19" s="25"/>
      <c r="H19" s="25" t="s">
        <v>157</v>
      </c>
      <c r="I19" s="25"/>
      <c r="J19" s="25" t="s">
        <v>167</v>
      </c>
      <c r="K19" s="15"/>
      <c r="L19" s="15"/>
      <c r="M19" s="10"/>
      <c r="N19" s="6"/>
    </row>
    <row r="20" spans="1:14" ht="15.75">
      <c r="A20" s="136"/>
      <c r="B20" s="27" t="s">
        <v>10</v>
      </c>
      <c r="C20" s="28" t="s">
        <v>133</v>
      </c>
      <c r="D20" s="29" t="s">
        <v>136</v>
      </c>
      <c r="E20" s="29"/>
      <c r="F20" s="29" t="s">
        <v>136</v>
      </c>
      <c r="G20" s="29"/>
      <c r="H20" s="29" t="s">
        <v>158</v>
      </c>
      <c r="I20" s="29"/>
      <c r="J20" s="29" t="s">
        <v>168</v>
      </c>
      <c r="K20" s="30"/>
      <c r="L20" s="30"/>
      <c r="M20" s="27"/>
      <c r="N20" s="6"/>
    </row>
    <row r="21" spans="1:14" ht="15.75">
      <c r="A21" s="136"/>
      <c r="B21" s="31" t="s">
        <v>11</v>
      </c>
      <c r="C21" s="31"/>
      <c r="D21" s="32" t="s">
        <v>136</v>
      </c>
      <c r="E21" s="32"/>
      <c r="F21" s="32" t="s">
        <v>136</v>
      </c>
      <c r="G21" s="32"/>
      <c r="H21" s="32" t="s">
        <v>158</v>
      </c>
      <c r="I21" s="32"/>
      <c r="J21" s="32" t="s">
        <v>168</v>
      </c>
      <c r="K21" s="130"/>
      <c r="L21" s="130"/>
      <c r="M21" s="27"/>
      <c r="N21" s="6"/>
    </row>
    <row r="22" spans="1:14" ht="15.75">
      <c r="A22" s="136"/>
      <c r="B22" s="27" t="s">
        <v>12</v>
      </c>
      <c r="C22" s="27"/>
      <c r="D22" s="33" t="s">
        <v>137</v>
      </c>
      <c r="E22" s="29"/>
      <c r="F22" s="33" t="s">
        <v>148</v>
      </c>
      <c r="G22" s="29"/>
      <c r="H22" s="33" t="s">
        <v>159</v>
      </c>
      <c r="I22" s="29"/>
      <c r="J22" s="33" t="s">
        <v>169</v>
      </c>
      <c r="K22" s="30"/>
      <c r="L22" s="30"/>
      <c r="M22" s="27"/>
      <c r="N22" s="6"/>
    </row>
    <row r="23" spans="1:14" ht="15.75">
      <c r="A23" s="136"/>
      <c r="B23" s="27"/>
      <c r="C23" s="27"/>
      <c r="D23" s="27"/>
      <c r="E23" s="29"/>
      <c r="F23" s="29"/>
      <c r="G23" s="29"/>
      <c r="H23" s="29"/>
      <c r="I23" s="29"/>
      <c r="J23" s="29"/>
      <c r="K23" s="30"/>
      <c r="L23" s="30"/>
      <c r="M23" s="27"/>
      <c r="N23" s="6"/>
    </row>
    <row r="24" spans="1:14" ht="15.75">
      <c r="A24" s="136"/>
      <c r="B24" s="27" t="s">
        <v>13</v>
      </c>
      <c r="C24" s="27"/>
      <c r="D24" s="34">
        <v>67000</v>
      </c>
      <c r="E24" s="35"/>
      <c r="F24" s="34">
        <v>128780</v>
      </c>
      <c r="G24" s="34"/>
      <c r="H24" s="34">
        <v>16920</v>
      </c>
      <c r="I24" s="34"/>
      <c r="J24" s="34">
        <v>11290</v>
      </c>
      <c r="K24" s="36"/>
      <c r="L24" s="34">
        <f>J24+H24+F24+D24</f>
        <v>223990</v>
      </c>
      <c r="M24" s="37"/>
      <c r="N24" s="6"/>
    </row>
    <row r="25" spans="1:14" ht="15.75">
      <c r="A25" s="136"/>
      <c r="B25" s="27" t="s">
        <v>14</v>
      </c>
      <c r="C25" s="27">
        <v>0.761818</v>
      </c>
      <c r="D25" s="34">
        <v>0</v>
      </c>
      <c r="E25" s="35"/>
      <c r="F25" s="34">
        <f>120780*C25</f>
        <v>92012.37804</v>
      </c>
      <c r="G25" s="34"/>
      <c r="H25" s="34">
        <v>16920</v>
      </c>
      <c r="I25" s="34"/>
      <c r="J25" s="34">
        <v>11290</v>
      </c>
      <c r="K25" s="36"/>
      <c r="L25" s="34">
        <f>J25+H25+F25+D25</f>
        <v>120222.37804</v>
      </c>
      <c r="M25" s="37"/>
      <c r="N25" s="6"/>
    </row>
    <row r="26" spans="1:14" ht="15.75">
      <c r="A26" s="137"/>
      <c r="B26" s="31" t="s">
        <v>15</v>
      </c>
      <c r="C26" s="93">
        <v>0.704555</v>
      </c>
      <c r="D26" s="40">
        <v>0</v>
      </c>
      <c r="E26" s="41"/>
      <c r="F26" s="40">
        <f>120780*C26</f>
        <v>85096.1529</v>
      </c>
      <c r="G26" s="40"/>
      <c r="H26" s="40">
        <v>16920</v>
      </c>
      <c r="I26" s="40"/>
      <c r="J26" s="40">
        <v>11290</v>
      </c>
      <c r="K26" s="42"/>
      <c r="L26" s="40">
        <f>J26+H26+F26+D26</f>
        <v>113306.1529</v>
      </c>
      <c r="M26" s="31"/>
      <c r="N26" s="6"/>
    </row>
    <row r="27" spans="1:14" ht="15.75">
      <c r="A27" s="136"/>
      <c r="B27" s="27" t="s">
        <v>16</v>
      </c>
      <c r="C27" s="27"/>
      <c r="D27" s="33" t="s">
        <v>138</v>
      </c>
      <c r="E27" s="27"/>
      <c r="F27" s="33" t="s">
        <v>149</v>
      </c>
      <c r="G27" s="33"/>
      <c r="H27" s="33" t="s">
        <v>160</v>
      </c>
      <c r="I27" s="33"/>
      <c r="J27" s="33" t="s">
        <v>170</v>
      </c>
      <c r="K27" s="30"/>
      <c r="L27" s="30"/>
      <c r="M27" s="27"/>
      <c r="N27" s="6"/>
    </row>
    <row r="28" spans="1:14" ht="15.75">
      <c r="A28" s="136"/>
      <c r="B28" s="27" t="s">
        <v>17</v>
      </c>
      <c r="C28" s="27"/>
      <c r="D28" s="33" t="s">
        <v>139</v>
      </c>
      <c r="E28" s="27"/>
      <c r="F28" s="43">
        <f>(5.99875+0.13)/100</f>
        <v>0.0612875</v>
      </c>
      <c r="G28" s="44"/>
      <c r="H28" s="43">
        <f>(5.99875+0.35)/100</f>
        <v>0.0634875</v>
      </c>
      <c r="I28" s="44"/>
      <c r="J28" s="43">
        <f>(5.99875+0.69)/100</f>
        <v>0.0668875</v>
      </c>
      <c r="K28" s="30"/>
      <c r="L28" s="44">
        <f>SUMPRODUCT(D28:J28,D25:J25)/L25</f>
        <v>0.06212301832560307</v>
      </c>
      <c r="M28" s="27"/>
      <c r="N28" s="6"/>
    </row>
    <row r="29" spans="1:14" ht="15.75">
      <c r="A29" s="136"/>
      <c r="B29" s="27" t="s">
        <v>18</v>
      </c>
      <c r="C29" s="27"/>
      <c r="D29" s="33" t="s">
        <v>139</v>
      </c>
      <c r="E29" s="27"/>
      <c r="F29" s="43">
        <f>(5.21656+0.13)/100</f>
        <v>0.0534656</v>
      </c>
      <c r="G29" s="44"/>
      <c r="H29" s="43">
        <f>(5.21656+0.35)/100</f>
        <v>0.0556656</v>
      </c>
      <c r="I29" s="44"/>
      <c r="J29" s="43">
        <f>(5.21656+0.69)/100</f>
        <v>0.05906560000000001</v>
      </c>
      <c r="K29" s="30"/>
      <c r="L29" s="30"/>
      <c r="M29" s="27"/>
      <c r="N29" s="6"/>
    </row>
    <row r="30" spans="1:14" ht="15.75">
      <c r="A30" s="136"/>
      <c r="B30" s="27" t="s">
        <v>19</v>
      </c>
      <c r="C30" s="27"/>
      <c r="D30" s="33" t="s">
        <v>140</v>
      </c>
      <c r="E30" s="27"/>
      <c r="F30" s="33" t="s">
        <v>150</v>
      </c>
      <c r="G30" s="33"/>
      <c r="H30" s="33" t="s">
        <v>150</v>
      </c>
      <c r="I30" s="33"/>
      <c r="J30" s="33" t="s">
        <v>150</v>
      </c>
      <c r="K30" s="30"/>
      <c r="L30" s="30"/>
      <c r="M30" s="27"/>
      <c r="N30" s="6"/>
    </row>
    <row r="31" spans="1:14" ht="15.75">
      <c r="A31" s="136"/>
      <c r="B31" s="27" t="s">
        <v>20</v>
      </c>
      <c r="C31" s="27"/>
      <c r="D31" s="33" t="s">
        <v>141</v>
      </c>
      <c r="E31" s="27"/>
      <c r="F31" s="33" t="s">
        <v>151</v>
      </c>
      <c r="G31" s="33"/>
      <c r="H31" s="33" t="s">
        <v>151</v>
      </c>
      <c r="I31" s="33"/>
      <c r="J31" s="33" t="s">
        <v>151</v>
      </c>
      <c r="K31" s="30"/>
      <c r="L31" s="30"/>
      <c r="M31" s="27"/>
      <c r="N31" s="6"/>
    </row>
    <row r="32" spans="1:14" ht="15.75">
      <c r="A32" s="136"/>
      <c r="B32" s="27" t="s">
        <v>21</v>
      </c>
      <c r="C32" s="27"/>
      <c r="D32" s="33" t="s">
        <v>142</v>
      </c>
      <c r="E32" s="27"/>
      <c r="F32" s="33" t="s">
        <v>152</v>
      </c>
      <c r="G32" s="33"/>
      <c r="H32" s="33" t="s">
        <v>161</v>
      </c>
      <c r="I32" s="33"/>
      <c r="J32" s="33" t="s">
        <v>171</v>
      </c>
      <c r="K32" s="30"/>
      <c r="L32" s="30"/>
      <c r="M32" s="27"/>
      <c r="N32" s="6"/>
    </row>
    <row r="33" spans="1:14" ht="15.75">
      <c r="A33" s="136"/>
      <c r="B33" s="27"/>
      <c r="C33" s="27"/>
      <c r="D33" s="45"/>
      <c r="E33" s="45"/>
      <c r="F33" s="27"/>
      <c r="G33" s="45"/>
      <c r="H33" s="45"/>
      <c r="I33" s="45"/>
      <c r="J33" s="45"/>
      <c r="K33" s="45"/>
      <c r="L33" s="45"/>
      <c r="M33" s="27"/>
      <c r="N33" s="6"/>
    </row>
    <row r="34" spans="1:14" ht="15.75">
      <c r="A34" s="136"/>
      <c r="B34" s="27" t="s">
        <v>22</v>
      </c>
      <c r="C34" s="27"/>
      <c r="D34" s="27"/>
      <c r="E34" s="27"/>
      <c r="F34" s="27"/>
      <c r="G34" s="27"/>
      <c r="H34" s="27"/>
      <c r="I34" s="27"/>
      <c r="J34" s="27"/>
      <c r="K34" s="27"/>
      <c r="L34" s="44">
        <f>(H24+J24)/(D24+F24)</f>
        <v>0.14409030544488713</v>
      </c>
      <c r="M34" s="27"/>
      <c r="N34" s="6"/>
    </row>
    <row r="35" spans="1:14" ht="15.75">
      <c r="A35" s="136"/>
      <c r="B35" s="27" t="s">
        <v>23</v>
      </c>
      <c r="C35" s="27"/>
      <c r="D35" s="27"/>
      <c r="E35" s="27"/>
      <c r="F35" s="27"/>
      <c r="G35" s="27"/>
      <c r="H35" s="27"/>
      <c r="I35" s="27"/>
      <c r="J35" s="27"/>
      <c r="K35" s="27"/>
      <c r="L35" s="44">
        <f>(H26+J26)/(D26+F26)</f>
        <v>0.33150734831868056</v>
      </c>
      <c r="M35" s="27"/>
      <c r="N35" s="6"/>
    </row>
    <row r="36" spans="1:14" ht="15.75">
      <c r="A36" s="136"/>
      <c r="B36" s="27" t="s">
        <v>24</v>
      </c>
      <c r="C36" s="27"/>
      <c r="D36" s="27"/>
      <c r="E36" s="27"/>
      <c r="F36" s="27"/>
      <c r="G36" s="27"/>
      <c r="H36" s="27"/>
      <c r="I36" s="27"/>
      <c r="J36" s="33" t="s">
        <v>172</v>
      </c>
      <c r="K36" s="33" t="s">
        <v>182</v>
      </c>
      <c r="L36" s="34">
        <v>83785000</v>
      </c>
      <c r="M36" s="27"/>
      <c r="N36" s="6"/>
    </row>
    <row r="37" spans="1:14" ht="15.75">
      <c r="A37" s="136"/>
      <c r="B37" s="27"/>
      <c r="C37" s="27"/>
      <c r="D37" s="27"/>
      <c r="E37" s="27"/>
      <c r="F37" s="27"/>
      <c r="G37" s="27"/>
      <c r="H37" s="27"/>
      <c r="I37" s="27"/>
      <c r="J37" s="27"/>
      <c r="K37" s="27"/>
      <c r="L37" s="46"/>
      <c r="M37" s="27"/>
      <c r="N37" s="6"/>
    </row>
    <row r="38" spans="1:14" ht="15.75">
      <c r="A38" s="136"/>
      <c r="B38" s="27" t="s">
        <v>25</v>
      </c>
      <c r="C38" s="27"/>
      <c r="D38" s="27"/>
      <c r="E38" s="27"/>
      <c r="F38" s="27"/>
      <c r="G38" s="27"/>
      <c r="H38" s="27"/>
      <c r="I38" s="27"/>
      <c r="J38" s="33"/>
      <c r="K38" s="33"/>
      <c r="L38" s="33" t="s">
        <v>185</v>
      </c>
      <c r="M38" s="27"/>
      <c r="N38" s="6"/>
    </row>
    <row r="39" spans="1:14" ht="15.75">
      <c r="A39" s="136"/>
      <c r="B39" s="31" t="s">
        <v>26</v>
      </c>
      <c r="C39" s="31"/>
      <c r="D39" s="31"/>
      <c r="E39" s="31"/>
      <c r="F39" s="31"/>
      <c r="G39" s="31"/>
      <c r="H39" s="31"/>
      <c r="I39" s="31"/>
      <c r="J39" s="47"/>
      <c r="K39" s="47"/>
      <c r="L39" s="48">
        <v>36585</v>
      </c>
      <c r="M39" s="31"/>
      <c r="N39" s="6"/>
    </row>
    <row r="40" spans="1:14" ht="15.75">
      <c r="A40" s="136"/>
      <c r="B40" s="27" t="s">
        <v>27</v>
      </c>
      <c r="C40" s="27"/>
      <c r="D40" s="27"/>
      <c r="E40" s="27"/>
      <c r="F40" s="27"/>
      <c r="G40" s="27"/>
      <c r="H40" s="30"/>
      <c r="I40" s="27">
        <f>L40-J40+1</f>
        <v>91</v>
      </c>
      <c r="J40" s="49">
        <v>36403</v>
      </c>
      <c r="K40" s="50"/>
      <c r="L40" s="49">
        <v>36493</v>
      </c>
      <c r="M40" s="27"/>
      <c r="N40" s="6"/>
    </row>
    <row r="41" spans="1:14" ht="15.75">
      <c r="A41" s="136"/>
      <c r="B41" s="27" t="s">
        <v>28</v>
      </c>
      <c r="C41" s="27"/>
      <c r="D41" s="27"/>
      <c r="E41" s="27"/>
      <c r="F41" s="27"/>
      <c r="G41" s="27"/>
      <c r="H41" s="30"/>
      <c r="I41" s="27">
        <f>L41-J41+1</f>
        <v>91</v>
      </c>
      <c r="J41" s="49">
        <v>36494</v>
      </c>
      <c r="K41" s="50"/>
      <c r="L41" s="49">
        <v>36584</v>
      </c>
      <c r="M41" s="27"/>
      <c r="N41" s="6"/>
    </row>
    <row r="42" spans="1:14" ht="15.75">
      <c r="A42" s="136"/>
      <c r="B42" s="27" t="s">
        <v>29</v>
      </c>
      <c r="C42" s="27"/>
      <c r="D42" s="27"/>
      <c r="E42" s="27"/>
      <c r="F42" s="27"/>
      <c r="G42" s="27"/>
      <c r="H42" s="27"/>
      <c r="I42" s="27"/>
      <c r="J42" s="49"/>
      <c r="K42" s="50"/>
      <c r="L42" s="49" t="s">
        <v>199</v>
      </c>
      <c r="M42" s="27"/>
      <c r="N42" s="6"/>
    </row>
    <row r="43" spans="1:14" ht="15.75">
      <c r="A43" s="136"/>
      <c r="B43" s="27" t="s">
        <v>30</v>
      </c>
      <c r="C43" s="27"/>
      <c r="D43" s="27"/>
      <c r="E43" s="27"/>
      <c r="F43" s="27"/>
      <c r="G43" s="27"/>
      <c r="H43" s="27"/>
      <c r="I43" s="27"/>
      <c r="J43" s="49"/>
      <c r="K43" s="50"/>
      <c r="L43" s="49">
        <v>36577</v>
      </c>
      <c r="M43" s="27"/>
      <c r="N43" s="6"/>
    </row>
    <row r="44" spans="1:14" ht="15.75">
      <c r="A44" s="136"/>
      <c r="B44" s="27"/>
      <c r="C44" s="27"/>
      <c r="D44" s="27"/>
      <c r="E44" s="27"/>
      <c r="F44" s="27"/>
      <c r="G44" s="27"/>
      <c r="H44" s="27"/>
      <c r="I44" s="27"/>
      <c r="J44" s="27"/>
      <c r="K44" s="27"/>
      <c r="L44" s="51"/>
      <c r="M44" s="27"/>
      <c r="N44" s="6"/>
    </row>
    <row r="45" spans="1:14" ht="15.75">
      <c r="A45" s="135"/>
      <c r="B45" s="5"/>
      <c r="C45" s="5"/>
      <c r="D45" s="5"/>
      <c r="E45" s="5"/>
      <c r="F45" s="5"/>
      <c r="G45" s="5"/>
      <c r="H45" s="5"/>
      <c r="I45" s="5"/>
      <c r="J45" s="5"/>
      <c r="K45" s="5"/>
      <c r="L45" s="52"/>
      <c r="M45" s="5"/>
      <c r="N45" s="6"/>
    </row>
    <row r="46" spans="1:14" ht="15.75">
      <c r="A46" s="119"/>
      <c r="B46" s="63" t="s">
        <v>31</v>
      </c>
      <c r="C46" s="16"/>
      <c r="D46" s="10"/>
      <c r="E46" s="10"/>
      <c r="F46" s="10"/>
      <c r="G46" s="10"/>
      <c r="H46" s="10"/>
      <c r="I46" s="10"/>
      <c r="J46" s="10"/>
      <c r="K46" s="10"/>
      <c r="L46" s="53"/>
      <c r="M46" s="10"/>
      <c r="N46" s="6"/>
    </row>
    <row r="47" spans="1:14" ht="15.75">
      <c r="A47" s="119"/>
      <c r="B47" s="16"/>
      <c r="C47" s="16"/>
      <c r="D47" s="10"/>
      <c r="E47" s="10"/>
      <c r="F47" s="10"/>
      <c r="G47" s="10"/>
      <c r="H47" s="10"/>
      <c r="I47" s="10"/>
      <c r="J47" s="10"/>
      <c r="K47" s="10"/>
      <c r="L47" s="53"/>
      <c r="M47" s="10"/>
      <c r="N47" s="6"/>
    </row>
    <row r="48" spans="1:14" ht="63">
      <c r="A48" s="119"/>
      <c r="B48" s="54" t="s">
        <v>32</v>
      </c>
      <c r="C48" s="55" t="s">
        <v>134</v>
      </c>
      <c r="D48" s="55" t="s">
        <v>143</v>
      </c>
      <c r="E48" s="55"/>
      <c r="F48" s="55" t="s">
        <v>153</v>
      </c>
      <c r="G48" s="55"/>
      <c r="H48" s="55" t="s">
        <v>162</v>
      </c>
      <c r="I48" s="55"/>
      <c r="J48" s="55" t="s">
        <v>173</v>
      </c>
      <c r="K48" s="55"/>
      <c r="L48" s="56" t="s">
        <v>187</v>
      </c>
      <c r="M48" s="10"/>
      <c r="N48" s="6"/>
    </row>
    <row r="49" spans="1:14" ht="15.75">
      <c r="A49" s="136"/>
      <c r="B49" s="27" t="s">
        <v>33</v>
      </c>
      <c r="C49" s="57">
        <v>220604</v>
      </c>
      <c r="D49" s="58">
        <v>122923</v>
      </c>
      <c r="E49" s="57"/>
      <c r="F49" s="57">
        <f>6425+226+144</f>
        <v>6795</v>
      </c>
      <c r="G49" s="57"/>
      <c r="H49" s="57">
        <v>226</v>
      </c>
      <c r="I49" s="57"/>
      <c r="J49" s="57">
        <v>0</v>
      </c>
      <c r="K49" s="57"/>
      <c r="L49" s="58">
        <f>D49-F49+H49-J49</f>
        <v>116354</v>
      </c>
      <c r="M49" s="27"/>
      <c r="N49" s="6"/>
    </row>
    <row r="50" spans="1:14" ht="15.75">
      <c r="A50" s="136"/>
      <c r="B50" s="27" t="s">
        <v>34</v>
      </c>
      <c r="C50" s="57">
        <v>5129</v>
      </c>
      <c r="D50" s="58">
        <v>920</v>
      </c>
      <c r="E50" s="57"/>
      <c r="F50" s="57">
        <v>112</v>
      </c>
      <c r="G50" s="57"/>
      <c r="H50" s="57">
        <v>0</v>
      </c>
      <c r="I50" s="57"/>
      <c r="J50" s="57">
        <v>0</v>
      </c>
      <c r="K50" s="57"/>
      <c r="L50" s="58">
        <f>D50-F50</f>
        <v>808</v>
      </c>
      <c r="M50" s="27"/>
      <c r="N50" s="6"/>
    </row>
    <row r="51" spans="1:14" ht="15.75">
      <c r="A51" s="136"/>
      <c r="B51" s="27"/>
      <c r="C51" s="57"/>
      <c r="D51" s="58"/>
      <c r="E51" s="57"/>
      <c r="F51" s="57"/>
      <c r="G51" s="57"/>
      <c r="H51" s="57"/>
      <c r="I51" s="57"/>
      <c r="J51" s="57"/>
      <c r="K51" s="57"/>
      <c r="L51" s="58"/>
      <c r="M51" s="27"/>
      <c r="N51" s="6"/>
    </row>
    <row r="52" spans="1:14" ht="15.75">
      <c r="A52" s="136"/>
      <c r="B52" s="27" t="s">
        <v>35</v>
      </c>
      <c r="C52" s="57">
        <f>SUM(C49:C51)</f>
        <v>225733</v>
      </c>
      <c r="D52" s="59">
        <f>D50+D49</f>
        <v>123843</v>
      </c>
      <c r="E52" s="57"/>
      <c r="F52" s="57">
        <f>SUM(F49:F51)</f>
        <v>6907</v>
      </c>
      <c r="G52" s="57"/>
      <c r="H52" s="57">
        <f>SUM(H49:H51)</f>
        <v>226</v>
      </c>
      <c r="I52" s="57"/>
      <c r="J52" s="57">
        <f>SUM(J49:J51)</f>
        <v>0</v>
      </c>
      <c r="K52" s="57"/>
      <c r="L52" s="59">
        <f>SUM(L49:L51)</f>
        <v>117162</v>
      </c>
      <c r="M52" s="27"/>
      <c r="N52" s="6"/>
    </row>
    <row r="53" spans="1:14" ht="15.75">
      <c r="A53" s="136"/>
      <c r="B53" s="27"/>
      <c r="C53" s="57"/>
      <c r="D53" s="59"/>
      <c r="E53" s="57"/>
      <c r="F53" s="57"/>
      <c r="G53" s="57"/>
      <c r="H53" s="57"/>
      <c r="I53" s="57"/>
      <c r="J53" s="57"/>
      <c r="K53" s="57"/>
      <c r="L53" s="59"/>
      <c r="M53" s="27"/>
      <c r="N53" s="6"/>
    </row>
    <row r="54" spans="1:14" ht="15.75">
      <c r="A54" s="119"/>
      <c r="B54" s="12" t="s">
        <v>36</v>
      </c>
      <c r="C54" s="60"/>
      <c r="D54" s="62"/>
      <c r="E54" s="60"/>
      <c r="F54" s="61"/>
      <c r="G54" s="60"/>
      <c r="H54" s="60"/>
      <c r="I54" s="60"/>
      <c r="J54" s="60"/>
      <c r="K54" s="60"/>
      <c r="L54" s="62"/>
      <c r="M54" s="10"/>
      <c r="N54" s="6"/>
    </row>
    <row r="55" spans="1:14" ht="15.75">
      <c r="A55" s="119"/>
      <c r="B55" s="10"/>
      <c r="C55" s="60"/>
      <c r="D55" s="118"/>
      <c r="E55" s="60"/>
      <c r="F55" s="60"/>
      <c r="G55" s="60"/>
      <c r="H55" s="60"/>
      <c r="I55" s="60"/>
      <c r="J55" s="60"/>
      <c r="K55" s="60"/>
      <c r="L55" s="118"/>
      <c r="M55" s="10"/>
      <c r="N55" s="6"/>
    </row>
    <row r="56" spans="1:14" ht="15.75">
      <c r="A56" s="136"/>
      <c r="B56" s="27" t="s">
        <v>33</v>
      </c>
      <c r="C56" s="57"/>
      <c r="D56" s="59"/>
      <c r="E56" s="57"/>
      <c r="F56" s="57"/>
      <c r="G56" s="57"/>
      <c r="H56" s="57"/>
      <c r="I56" s="57"/>
      <c r="J56" s="57"/>
      <c r="K56" s="57"/>
      <c r="L56" s="59"/>
      <c r="M56" s="27"/>
      <c r="N56" s="6"/>
    </row>
    <row r="57" spans="1:14" ht="15.75">
      <c r="A57" s="136"/>
      <c r="B57" s="27" t="s">
        <v>34</v>
      </c>
      <c r="C57" s="57"/>
      <c r="D57" s="59"/>
      <c r="E57" s="57"/>
      <c r="F57" s="57"/>
      <c r="G57" s="57"/>
      <c r="H57" s="57"/>
      <c r="I57" s="57"/>
      <c r="J57" s="57"/>
      <c r="K57" s="57"/>
      <c r="L57" s="59"/>
      <c r="M57" s="27"/>
      <c r="N57" s="6"/>
    </row>
    <row r="58" spans="1:14" ht="15.75">
      <c r="A58" s="136"/>
      <c r="B58" s="27"/>
      <c r="C58" s="57"/>
      <c r="D58" s="59"/>
      <c r="E58" s="57"/>
      <c r="F58" s="57"/>
      <c r="G58" s="57"/>
      <c r="H58" s="57"/>
      <c r="I58" s="57"/>
      <c r="J58" s="57"/>
      <c r="K58" s="57"/>
      <c r="L58" s="59"/>
      <c r="M58" s="27"/>
      <c r="N58" s="6"/>
    </row>
    <row r="59" spans="1:14" ht="15.75">
      <c r="A59" s="136"/>
      <c r="B59" s="27" t="s">
        <v>35</v>
      </c>
      <c r="C59" s="57"/>
      <c r="D59" s="59"/>
      <c r="E59" s="57"/>
      <c r="F59" s="57"/>
      <c r="G59" s="57"/>
      <c r="H59" s="57"/>
      <c r="I59" s="57"/>
      <c r="J59" s="57"/>
      <c r="K59" s="57"/>
      <c r="L59" s="59"/>
      <c r="M59" s="27"/>
      <c r="N59" s="6"/>
    </row>
    <row r="60" spans="1:14" ht="15.75">
      <c r="A60" s="136"/>
      <c r="B60" s="27"/>
      <c r="C60" s="57"/>
      <c r="D60" s="59"/>
      <c r="E60" s="57"/>
      <c r="F60" s="57"/>
      <c r="G60" s="57"/>
      <c r="H60" s="57"/>
      <c r="I60" s="57"/>
      <c r="J60" s="57"/>
      <c r="K60" s="57"/>
      <c r="L60" s="59"/>
      <c r="M60" s="27"/>
      <c r="N60" s="6"/>
    </row>
    <row r="61" spans="1:14" ht="15.75">
      <c r="A61" s="136"/>
      <c r="B61" s="27" t="s">
        <v>37</v>
      </c>
      <c r="C61" s="57">
        <v>-1743</v>
      </c>
      <c r="D61" s="57">
        <v>-1743</v>
      </c>
      <c r="E61" s="57"/>
      <c r="F61" s="57"/>
      <c r="G61" s="57"/>
      <c r="H61" s="57"/>
      <c r="I61" s="57"/>
      <c r="J61" s="57"/>
      <c r="K61" s="57"/>
      <c r="L61" s="57">
        <v>-1743</v>
      </c>
      <c r="M61" s="27"/>
      <c r="N61" s="6"/>
    </row>
    <row r="62" spans="1:14" ht="15.75">
      <c r="A62" s="136"/>
      <c r="B62" s="27" t="s">
        <v>38</v>
      </c>
      <c r="C62" s="57">
        <v>0</v>
      </c>
      <c r="D62" s="59">
        <v>-2257</v>
      </c>
      <c r="E62" s="57"/>
      <c r="F62" s="57"/>
      <c r="G62" s="57"/>
      <c r="H62" s="57"/>
      <c r="I62" s="57"/>
      <c r="J62" s="57"/>
      <c r="K62" s="57"/>
      <c r="L62" s="59">
        <v>-2257</v>
      </c>
      <c r="M62" s="27"/>
      <c r="N62" s="6"/>
    </row>
    <row r="63" spans="1:14" ht="15.75">
      <c r="A63" s="136"/>
      <c r="B63" s="27" t="s">
        <v>198</v>
      </c>
      <c r="C63" s="57">
        <v>0</v>
      </c>
      <c r="D63" s="59">
        <v>379</v>
      </c>
      <c r="E63" s="57"/>
      <c r="F63" s="57"/>
      <c r="G63" s="57"/>
      <c r="H63" s="57"/>
      <c r="I63" s="57"/>
      <c r="J63" s="57"/>
      <c r="K63" s="57"/>
      <c r="L63" s="59">
        <v>144</v>
      </c>
      <c r="M63" s="27"/>
      <c r="N63" s="6"/>
    </row>
    <row r="64" spans="1:14" ht="15.75">
      <c r="A64" s="136"/>
      <c r="B64" s="27" t="s">
        <v>15</v>
      </c>
      <c r="C64" s="59">
        <f>SUM(C52:C63)</f>
        <v>223990</v>
      </c>
      <c r="D64" s="59">
        <f>SUM(D52:D63)</f>
        <v>120222</v>
      </c>
      <c r="E64" s="57"/>
      <c r="F64" s="57"/>
      <c r="G64" s="57"/>
      <c r="H64" s="57"/>
      <c r="I64" s="57"/>
      <c r="J64" s="57"/>
      <c r="K64" s="57"/>
      <c r="L64" s="59">
        <f>SUM(L52:L63)</f>
        <v>113306</v>
      </c>
      <c r="M64" s="27"/>
      <c r="N64" s="6"/>
    </row>
    <row r="65" spans="1:14" ht="15.75">
      <c r="A65" s="136"/>
      <c r="B65" s="27"/>
      <c r="C65" s="57"/>
      <c r="D65" s="57"/>
      <c r="E65" s="57"/>
      <c r="F65" s="57"/>
      <c r="G65" s="57"/>
      <c r="H65" s="57"/>
      <c r="I65" s="57"/>
      <c r="J65" s="57"/>
      <c r="K65" s="57"/>
      <c r="L65" s="59"/>
      <c r="M65" s="27"/>
      <c r="N65" s="6"/>
    </row>
    <row r="66" spans="1:14" ht="15.75">
      <c r="A66" s="119"/>
      <c r="B66" s="10"/>
      <c r="C66" s="10"/>
      <c r="D66" s="10"/>
      <c r="E66" s="10"/>
      <c r="F66" s="10"/>
      <c r="G66" s="10"/>
      <c r="H66" s="10"/>
      <c r="I66" s="10"/>
      <c r="J66" s="10"/>
      <c r="K66" s="10"/>
      <c r="L66" s="10"/>
      <c r="M66" s="10"/>
      <c r="N66" s="6"/>
    </row>
    <row r="67" spans="1:14" ht="15.75">
      <c r="A67" s="119"/>
      <c r="B67" s="63" t="s">
        <v>40</v>
      </c>
      <c r="C67" s="16"/>
      <c r="D67" s="10"/>
      <c r="E67" s="10"/>
      <c r="F67" s="10"/>
      <c r="G67" s="10"/>
      <c r="H67" s="10"/>
      <c r="I67" s="22"/>
      <c r="J67" s="20" t="s">
        <v>174</v>
      </c>
      <c r="K67" s="20"/>
      <c r="L67" s="20" t="s">
        <v>188</v>
      </c>
      <c r="M67" s="17"/>
      <c r="N67" s="6"/>
    </row>
    <row r="68" spans="1:14" ht="15.75">
      <c r="A68" s="136"/>
      <c r="B68" s="27" t="s">
        <v>41</v>
      </c>
      <c r="C68" s="27"/>
      <c r="D68" s="27"/>
      <c r="E68" s="27"/>
      <c r="F68" s="27"/>
      <c r="G68" s="27"/>
      <c r="H68" s="27"/>
      <c r="I68" s="27"/>
      <c r="J68" s="57">
        <v>0</v>
      </c>
      <c r="K68" s="27"/>
      <c r="L68" s="58">
        <v>0</v>
      </c>
      <c r="M68" s="27"/>
      <c r="N68" s="6"/>
    </row>
    <row r="69" spans="1:14" ht="15.75">
      <c r="A69" s="136"/>
      <c r="B69" s="27" t="s">
        <v>42</v>
      </c>
      <c r="C69" s="45"/>
      <c r="D69" s="64"/>
      <c r="E69" s="27"/>
      <c r="F69" s="27"/>
      <c r="G69" s="27"/>
      <c r="H69" s="27"/>
      <c r="I69" s="27"/>
      <c r="J69" s="57">
        <v>7030</v>
      </c>
      <c r="K69" s="27"/>
      <c r="L69" s="58"/>
      <c r="M69" s="27"/>
      <c r="N69" s="6"/>
    </row>
    <row r="70" spans="1:14" ht="15.75">
      <c r="A70" s="136"/>
      <c r="B70" s="27" t="s">
        <v>43</v>
      </c>
      <c r="C70" s="27"/>
      <c r="D70" s="27"/>
      <c r="E70" s="27"/>
      <c r="F70" s="27"/>
      <c r="G70" s="27"/>
      <c r="H70" s="27"/>
      <c r="I70" s="27"/>
      <c r="J70" s="57"/>
      <c r="K70" s="27"/>
      <c r="L70" s="58">
        <v>3110</v>
      </c>
      <c r="M70" s="27"/>
      <c r="N70" s="6"/>
    </row>
    <row r="71" spans="1:14" ht="15.75">
      <c r="A71" s="136"/>
      <c r="B71" s="27" t="s">
        <v>44</v>
      </c>
      <c r="C71" s="27"/>
      <c r="D71" s="27"/>
      <c r="E71" s="27"/>
      <c r="F71" s="27"/>
      <c r="G71" s="27"/>
      <c r="H71" s="27"/>
      <c r="I71" s="27"/>
      <c r="J71" s="57"/>
      <c r="K71" s="27"/>
      <c r="L71" s="58"/>
      <c r="M71" s="27"/>
      <c r="N71" s="6"/>
    </row>
    <row r="72" spans="1:14" ht="15.75">
      <c r="A72" s="136"/>
      <c r="B72" s="27" t="s">
        <v>45</v>
      </c>
      <c r="C72" s="27"/>
      <c r="D72" s="27"/>
      <c r="E72" s="27"/>
      <c r="F72" s="27"/>
      <c r="G72" s="27"/>
      <c r="H72" s="27"/>
      <c r="I72" s="27"/>
      <c r="J72" s="59">
        <f>SUM(J68:J71)</f>
        <v>7030</v>
      </c>
      <c r="K72" s="27"/>
      <c r="L72" s="59">
        <f>SUM(L68:L71)</f>
        <v>3110</v>
      </c>
      <c r="M72" s="27"/>
      <c r="N72" s="6"/>
    </row>
    <row r="73" spans="1:14" ht="15.75">
      <c r="A73" s="136"/>
      <c r="B73" s="27" t="s">
        <v>46</v>
      </c>
      <c r="C73" s="27"/>
      <c r="D73" s="27"/>
      <c r="E73" s="27"/>
      <c r="F73" s="27"/>
      <c r="G73" s="27"/>
      <c r="H73" s="27"/>
      <c r="I73" s="27"/>
      <c r="J73" s="57">
        <v>112</v>
      </c>
      <c r="K73" s="27"/>
      <c r="L73" s="58">
        <v>-112</v>
      </c>
      <c r="M73" s="27"/>
      <c r="N73" s="6"/>
    </row>
    <row r="74" spans="1:14" ht="15.75">
      <c r="A74" s="136"/>
      <c r="B74" s="27" t="s">
        <v>47</v>
      </c>
      <c r="C74" s="27"/>
      <c r="D74" s="27"/>
      <c r="E74" s="27"/>
      <c r="F74" s="27"/>
      <c r="G74" s="27"/>
      <c r="H74" s="27"/>
      <c r="I74" s="27"/>
      <c r="J74" s="57">
        <f>J72+J73</f>
        <v>7142</v>
      </c>
      <c r="K74" s="27"/>
      <c r="L74" s="59">
        <f>L72+L73</f>
        <v>2998</v>
      </c>
      <c r="M74" s="27"/>
      <c r="N74" s="6"/>
    </row>
    <row r="75" spans="1:14" ht="15.75">
      <c r="A75" s="136"/>
      <c r="B75" s="65" t="s">
        <v>48</v>
      </c>
      <c r="C75" s="66"/>
      <c r="D75" s="27"/>
      <c r="E75" s="27"/>
      <c r="F75" s="27"/>
      <c r="G75" s="27"/>
      <c r="H75" s="27"/>
      <c r="I75" s="27"/>
      <c r="J75" s="57"/>
      <c r="K75" s="27"/>
      <c r="L75" s="58"/>
      <c r="M75" s="27"/>
      <c r="N75" s="6"/>
    </row>
    <row r="76" spans="1:14" ht="15.75">
      <c r="A76" s="26">
        <v>1</v>
      </c>
      <c r="B76" s="27" t="s">
        <v>49</v>
      </c>
      <c r="C76" s="27"/>
      <c r="D76" s="27"/>
      <c r="E76" s="27"/>
      <c r="F76" s="27"/>
      <c r="G76" s="27"/>
      <c r="H76" s="27"/>
      <c r="I76" s="27"/>
      <c r="J76" s="27"/>
      <c r="K76" s="27"/>
      <c r="L76" s="58"/>
      <c r="M76" s="27"/>
      <c r="N76" s="6"/>
    </row>
    <row r="77" spans="1:14" ht="15.75">
      <c r="A77" s="26">
        <v>2</v>
      </c>
      <c r="B77" s="27" t="s">
        <v>50</v>
      </c>
      <c r="C77" s="27"/>
      <c r="D77" s="27"/>
      <c r="E77" s="27"/>
      <c r="F77" s="27"/>
      <c r="G77" s="27"/>
      <c r="H77" s="27"/>
      <c r="I77" s="27"/>
      <c r="J77" s="27"/>
      <c r="K77" s="27"/>
      <c r="L77" s="58">
        <v>-5</v>
      </c>
      <c r="M77" s="27"/>
      <c r="N77" s="6"/>
    </row>
    <row r="78" spans="1:14" ht="15.75">
      <c r="A78" s="26">
        <v>3</v>
      </c>
      <c r="B78" s="27" t="s">
        <v>51</v>
      </c>
      <c r="C78" s="27"/>
      <c r="D78" s="27"/>
      <c r="E78" s="27"/>
      <c r="F78" s="27"/>
      <c r="G78" s="27"/>
      <c r="H78" s="27"/>
      <c r="I78" s="27"/>
      <c r="J78" s="27"/>
      <c r="K78" s="27"/>
      <c r="L78" s="58">
        <v>-134</v>
      </c>
      <c r="M78" s="27"/>
      <c r="N78" s="6"/>
    </row>
    <row r="79" spans="1:14" ht="15.75">
      <c r="A79" s="26">
        <v>4</v>
      </c>
      <c r="B79" s="27" t="s">
        <v>52</v>
      </c>
      <c r="C79" s="27"/>
      <c r="D79" s="27"/>
      <c r="E79" s="27"/>
      <c r="F79" s="27"/>
      <c r="G79" s="27"/>
      <c r="H79" s="27"/>
      <c r="I79" s="27"/>
      <c r="J79" s="27"/>
      <c r="K79" s="27"/>
      <c r="L79" s="58">
        <v>-5</v>
      </c>
      <c r="M79" s="27"/>
      <c r="N79" s="6"/>
    </row>
    <row r="80" spans="1:14" ht="15.75">
      <c r="A80" s="26">
        <v>5</v>
      </c>
      <c r="B80" s="27" t="s">
        <v>53</v>
      </c>
      <c r="C80" s="27"/>
      <c r="D80" s="27"/>
      <c r="E80" s="27"/>
      <c r="F80" s="27"/>
      <c r="G80" s="27"/>
      <c r="H80" s="27"/>
      <c r="I80" s="27"/>
      <c r="J80" s="27"/>
      <c r="K80" s="27"/>
      <c r="L80" s="58">
        <v>-1402</v>
      </c>
      <c r="M80" s="27"/>
      <c r="N80" s="6"/>
    </row>
    <row r="81" spans="1:14" ht="15.75">
      <c r="A81" s="26">
        <v>6</v>
      </c>
      <c r="B81" s="27" t="s">
        <v>54</v>
      </c>
      <c r="C81" s="27"/>
      <c r="D81" s="27"/>
      <c r="E81" s="27"/>
      <c r="F81" s="27"/>
      <c r="G81" s="27"/>
      <c r="H81" s="27"/>
      <c r="I81" s="27"/>
      <c r="J81" s="27"/>
      <c r="K81" s="27"/>
      <c r="L81" s="58">
        <v>-3</v>
      </c>
      <c r="M81" s="27"/>
      <c r="N81" s="6"/>
    </row>
    <row r="82" spans="1:14" ht="15.75">
      <c r="A82" s="26">
        <v>7</v>
      </c>
      <c r="B82" s="27" t="s">
        <v>55</v>
      </c>
      <c r="C82" s="27"/>
      <c r="D82" s="27"/>
      <c r="E82" s="27"/>
      <c r="F82" s="27"/>
      <c r="G82" s="27"/>
      <c r="H82" s="27"/>
      <c r="I82" s="27"/>
      <c r="J82" s="27"/>
      <c r="K82" s="27"/>
      <c r="L82" s="58">
        <v>-267</v>
      </c>
      <c r="M82" s="27"/>
      <c r="N82" s="6"/>
    </row>
    <row r="83" spans="1:14" ht="15.75">
      <c r="A83" s="26">
        <v>8</v>
      </c>
      <c r="B83" s="27" t="s">
        <v>56</v>
      </c>
      <c r="C83" s="27"/>
      <c r="D83" s="27"/>
      <c r="E83" s="27"/>
      <c r="F83" s="27"/>
      <c r="G83" s="27"/>
      <c r="H83" s="27"/>
      <c r="I83" s="27"/>
      <c r="J83" s="27"/>
      <c r="K83" s="27"/>
      <c r="L83" s="58">
        <v>-188</v>
      </c>
      <c r="M83" s="27"/>
      <c r="N83" s="6"/>
    </row>
    <row r="84" spans="1:14" ht="15.75">
      <c r="A84" s="26">
        <v>9</v>
      </c>
      <c r="B84" s="27" t="s">
        <v>57</v>
      </c>
      <c r="C84" s="27"/>
      <c r="D84" s="27"/>
      <c r="E84" s="27"/>
      <c r="F84" s="27"/>
      <c r="G84" s="27"/>
      <c r="H84" s="27"/>
      <c r="I84" s="27"/>
      <c r="J84" s="27"/>
      <c r="K84" s="27"/>
      <c r="L84" s="58">
        <v>0</v>
      </c>
      <c r="M84" s="27"/>
      <c r="N84" s="6"/>
    </row>
    <row r="85" spans="1:14" ht="15.75">
      <c r="A85" s="26">
        <v>10</v>
      </c>
      <c r="B85" s="27" t="s">
        <v>58</v>
      </c>
      <c r="C85" s="27"/>
      <c r="D85" s="27"/>
      <c r="E85" s="27"/>
      <c r="F85" s="27"/>
      <c r="G85" s="27"/>
      <c r="H85" s="27"/>
      <c r="I85" s="27"/>
      <c r="J85" s="27"/>
      <c r="K85" s="27"/>
      <c r="L85" s="58">
        <v>-144</v>
      </c>
      <c r="M85" s="27"/>
      <c r="N85" s="6"/>
    </row>
    <row r="86" spans="1:14" ht="15.75">
      <c r="A86" s="26">
        <v>11</v>
      </c>
      <c r="B86" s="27" t="s">
        <v>59</v>
      </c>
      <c r="C86" s="27"/>
      <c r="D86" s="27"/>
      <c r="E86" s="27"/>
      <c r="F86" s="27"/>
      <c r="G86" s="27"/>
      <c r="H86" s="27"/>
      <c r="I86" s="27"/>
      <c r="J86" s="27"/>
      <c r="K86" s="27"/>
      <c r="L86" s="58">
        <v>0</v>
      </c>
      <c r="M86" s="27"/>
      <c r="N86" s="6"/>
    </row>
    <row r="87" spans="1:14" ht="15.75">
      <c r="A87" s="26">
        <v>12</v>
      </c>
      <c r="B87" s="27" t="s">
        <v>60</v>
      </c>
      <c r="C87" s="27"/>
      <c r="D87" s="27"/>
      <c r="E87" s="27"/>
      <c r="F87" s="27"/>
      <c r="G87" s="27"/>
      <c r="H87" s="27"/>
      <c r="I87" s="27"/>
      <c r="J87" s="27"/>
      <c r="K87" s="27"/>
      <c r="L87" s="58">
        <f>SUM(L74:L85)*-1</f>
        <v>-850</v>
      </c>
      <c r="M87" s="27"/>
      <c r="N87" s="6"/>
    </row>
    <row r="88" spans="1:14" ht="15.75">
      <c r="A88" s="136"/>
      <c r="B88" s="65" t="s">
        <v>61</v>
      </c>
      <c r="C88" s="66"/>
      <c r="D88" s="27"/>
      <c r="E88" s="27"/>
      <c r="F88" s="27"/>
      <c r="G88" s="27"/>
      <c r="H88" s="27"/>
      <c r="I88" s="27"/>
      <c r="J88" s="27"/>
      <c r="K88" s="27"/>
      <c r="L88" s="68"/>
      <c r="M88" s="27"/>
      <c r="N88" s="6"/>
    </row>
    <row r="89" spans="1:14" ht="15.75">
      <c r="A89" s="136"/>
      <c r="B89" s="27" t="s">
        <v>62</v>
      </c>
      <c r="C89" s="66"/>
      <c r="D89" s="27"/>
      <c r="E89" s="27"/>
      <c r="F89" s="27"/>
      <c r="G89" s="27"/>
      <c r="H89" s="27"/>
      <c r="I89" s="27"/>
      <c r="J89" s="57">
        <f>-J132</f>
        <v>0</v>
      </c>
      <c r="K89" s="57"/>
      <c r="L89" s="58"/>
      <c r="M89" s="27"/>
      <c r="N89" s="6"/>
    </row>
    <row r="90" spans="1:14" ht="15.75">
      <c r="A90" s="136"/>
      <c r="B90" s="27" t="s">
        <v>63</v>
      </c>
      <c r="C90" s="27"/>
      <c r="D90" s="27"/>
      <c r="E90" s="27"/>
      <c r="F90" s="27"/>
      <c r="G90" s="27"/>
      <c r="H90" s="27"/>
      <c r="I90" s="27"/>
      <c r="J90" s="57">
        <f>-H132</f>
        <v>-226</v>
      </c>
      <c r="K90" s="57"/>
      <c r="L90" s="58"/>
      <c r="M90" s="27"/>
      <c r="N90" s="6"/>
    </row>
    <row r="91" spans="1:14" ht="15.75">
      <c r="A91" s="136"/>
      <c r="B91" s="27" t="s">
        <v>64</v>
      </c>
      <c r="C91" s="27"/>
      <c r="D91" s="27"/>
      <c r="E91" s="27"/>
      <c r="F91" s="27"/>
      <c r="G91" s="27"/>
      <c r="H91" s="27"/>
      <c r="I91" s="27"/>
      <c r="J91" s="57">
        <v>0</v>
      </c>
      <c r="K91" s="57"/>
      <c r="L91" s="58"/>
      <c r="M91" s="27"/>
      <c r="N91" s="6"/>
    </row>
    <row r="92" spans="1:14" ht="15.75">
      <c r="A92" s="136"/>
      <c r="B92" s="27" t="s">
        <v>65</v>
      </c>
      <c r="C92" s="27"/>
      <c r="D92" s="27"/>
      <c r="E92" s="27"/>
      <c r="F92" s="27"/>
      <c r="G92" s="27"/>
      <c r="H92" s="27"/>
      <c r="I92" s="27"/>
      <c r="J92" s="57">
        <v>-6916</v>
      </c>
      <c r="K92" s="57"/>
      <c r="L92" s="58"/>
      <c r="M92" s="27"/>
      <c r="N92" s="6"/>
    </row>
    <row r="93" spans="1:14" ht="15.75">
      <c r="A93" s="136"/>
      <c r="B93" s="27" t="s">
        <v>66</v>
      </c>
      <c r="C93" s="27"/>
      <c r="D93" s="27"/>
      <c r="E93" s="27"/>
      <c r="F93" s="27"/>
      <c r="G93" s="27"/>
      <c r="H93" s="27"/>
      <c r="I93" s="27"/>
      <c r="J93" s="57">
        <v>0</v>
      </c>
      <c r="K93" s="57"/>
      <c r="L93" s="58"/>
      <c r="M93" s="27"/>
      <c r="N93" s="6"/>
    </row>
    <row r="94" spans="1:14" ht="15.75">
      <c r="A94" s="136"/>
      <c r="B94" s="27" t="s">
        <v>67</v>
      </c>
      <c r="C94" s="27"/>
      <c r="D94" s="27"/>
      <c r="E94" s="27"/>
      <c r="F94" s="27"/>
      <c r="G94" s="27"/>
      <c r="H94" s="27"/>
      <c r="I94" s="27"/>
      <c r="J94" s="57">
        <f>SUM(J75:J93)</f>
        <v>-7142</v>
      </c>
      <c r="K94" s="57"/>
      <c r="L94" s="57">
        <f>SUM(L75:L93)</f>
        <v>-2998</v>
      </c>
      <c r="M94" s="27"/>
      <c r="N94" s="6"/>
    </row>
    <row r="95" spans="1:14" ht="15.75">
      <c r="A95" s="136"/>
      <c r="B95" s="27" t="s">
        <v>68</v>
      </c>
      <c r="C95" s="27"/>
      <c r="D95" s="27"/>
      <c r="E95" s="27"/>
      <c r="F95" s="27"/>
      <c r="G95" s="27"/>
      <c r="H95" s="27"/>
      <c r="I95" s="27"/>
      <c r="J95" s="57">
        <f>J74+J94</f>
        <v>0</v>
      </c>
      <c r="K95" s="57"/>
      <c r="L95" s="57">
        <f>L74+L94</f>
        <v>0</v>
      </c>
      <c r="M95" s="27"/>
      <c r="N95" s="6"/>
    </row>
    <row r="96" spans="1:14" ht="15.75">
      <c r="A96" s="136"/>
      <c r="B96" s="27"/>
      <c r="C96" s="27"/>
      <c r="D96" s="27"/>
      <c r="E96" s="27"/>
      <c r="F96" s="27"/>
      <c r="G96" s="27"/>
      <c r="H96" s="27"/>
      <c r="I96" s="27"/>
      <c r="J96" s="57"/>
      <c r="K96" s="57"/>
      <c r="L96" s="57"/>
      <c r="M96" s="27"/>
      <c r="N96" s="6"/>
    </row>
    <row r="97" spans="1:14" ht="15.75">
      <c r="A97" s="119"/>
      <c r="B97" s="15"/>
      <c r="C97" s="10"/>
      <c r="D97" s="10"/>
      <c r="E97" s="10"/>
      <c r="F97" s="10"/>
      <c r="G97" s="10"/>
      <c r="H97" s="10"/>
      <c r="I97" s="10"/>
      <c r="J97" s="60"/>
      <c r="K97" s="60"/>
      <c r="L97" s="60"/>
      <c r="M97" s="10"/>
      <c r="N97" s="6"/>
    </row>
    <row r="98" spans="1:14" ht="15.75">
      <c r="A98" s="119"/>
      <c r="B98" s="10"/>
      <c r="C98" s="10"/>
      <c r="D98" s="10"/>
      <c r="E98" s="10"/>
      <c r="F98" s="10"/>
      <c r="G98" s="10"/>
      <c r="H98" s="10"/>
      <c r="I98" s="10"/>
      <c r="J98" s="60"/>
      <c r="K98" s="60"/>
      <c r="L98" s="60"/>
      <c r="M98" s="10"/>
      <c r="N98" s="6"/>
    </row>
    <row r="99" spans="1:14" ht="15.75">
      <c r="A99" s="119"/>
      <c r="B99" s="10"/>
      <c r="C99" s="10"/>
      <c r="D99" s="10"/>
      <c r="E99" s="10"/>
      <c r="F99" s="10"/>
      <c r="G99" s="10"/>
      <c r="H99" s="10"/>
      <c r="I99" s="10"/>
      <c r="J99" s="10"/>
      <c r="K99" s="10"/>
      <c r="L99" s="53"/>
      <c r="M99" s="10"/>
      <c r="N99" s="6"/>
    </row>
    <row r="100" spans="1:14" ht="15.75">
      <c r="A100" s="119"/>
      <c r="B100" s="10"/>
      <c r="C100" s="9"/>
      <c r="D100" s="10"/>
      <c r="E100" s="10"/>
      <c r="F100" s="10"/>
      <c r="G100" s="10"/>
      <c r="H100" s="10"/>
      <c r="I100" s="10"/>
      <c r="J100" s="10"/>
      <c r="K100" s="10"/>
      <c r="L100" s="53"/>
      <c r="M100" s="10"/>
      <c r="N100" s="6"/>
    </row>
    <row r="101" spans="1:14" ht="15.75">
      <c r="A101" s="135"/>
      <c r="B101" s="83" t="s">
        <v>69</v>
      </c>
      <c r="C101" s="5"/>
      <c r="D101" s="5"/>
      <c r="E101" s="5"/>
      <c r="F101" s="5"/>
      <c r="G101" s="5"/>
      <c r="H101" s="5"/>
      <c r="I101" s="5"/>
      <c r="J101" s="5"/>
      <c r="K101" s="5"/>
      <c r="L101" s="52"/>
      <c r="M101" s="70"/>
      <c r="N101" s="6"/>
    </row>
    <row r="102" spans="1:14" ht="15.75">
      <c r="A102" s="119"/>
      <c r="B102" s="10"/>
      <c r="C102" s="10"/>
      <c r="D102" s="10"/>
      <c r="E102" s="10"/>
      <c r="F102" s="10"/>
      <c r="G102" s="10"/>
      <c r="H102" s="10"/>
      <c r="I102" s="10"/>
      <c r="J102" s="10"/>
      <c r="K102" s="10"/>
      <c r="L102" s="53"/>
      <c r="M102" s="10"/>
      <c r="N102" s="6"/>
    </row>
    <row r="103" spans="1:14" ht="15.75">
      <c r="A103" s="119"/>
      <c r="B103" s="73" t="s">
        <v>70</v>
      </c>
      <c r="C103" s="16"/>
      <c r="D103" s="10"/>
      <c r="E103" s="10"/>
      <c r="F103" s="10"/>
      <c r="G103" s="10"/>
      <c r="H103" s="10"/>
      <c r="I103" s="10"/>
      <c r="J103" s="10"/>
      <c r="K103" s="10"/>
      <c r="L103" s="53"/>
      <c r="M103" s="10"/>
      <c r="N103" s="6"/>
    </row>
    <row r="104" spans="1:14" ht="15.75">
      <c r="A104" s="136"/>
      <c r="B104" s="27" t="s">
        <v>71</v>
      </c>
      <c r="C104" s="27"/>
      <c r="D104" s="27"/>
      <c r="E104" s="27"/>
      <c r="F104" s="27"/>
      <c r="G104" s="27"/>
      <c r="H104" s="27"/>
      <c r="I104" s="27"/>
      <c r="J104" s="27"/>
      <c r="K104" s="27"/>
      <c r="L104" s="58">
        <v>4515</v>
      </c>
      <c r="M104" s="27"/>
      <c r="N104" s="6"/>
    </row>
    <row r="105" spans="1:14" ht="15.75">
      <c r="A105" s="136"/>
      <c r="B105" s="27" t="s">
        <v>72</v>
      </c>
      <c r="C105" s="27"/>
      <c r="D105" s="27"/>
      <c r="E105" s="27"/>
      <c r="F105" s="27"/>
      <c r="G105" s="27"/>
      <c r="H105" s="27"/>
      <c r="I105" s="27"/>
      <c r="J105" s="27"/>
      <c r="K105" s="27"/>
      <c r="L105" s="58">
        <v>4515</v>
      </c>
      <c r="M105" s="27"/>
      <c r="N105" s="6"/>
    </row>
    <row r="106" spans="1:14" ht="15.75">
      <c r="A106" s="136"/>
      <c r="B106" s="27" t="s">
        <v>73</v>
      </c>
      <c r="C106" s="27"/>
      <c r="D106" s="27"/>
      <c r="E106" s="27"/>
      <c r="F106" s="27"/>
      <c r="G106" s="27"/>
      <c r="H106" s="27"/>
      <c r="I106" s="27"/>
      <c r="J106" s="27"/>
      <c r="K106" s="27"/>
      <c r="L106" s="58"/>
      <c r="M106" s="27"/>
      <c r="N106" s="6"/>
    </row>
    <row r="107" spans="1:14" ht="15.75">
      <c r="A107" s="136"/>
      <c r="B107" s="27" t="s">
        <v>74</v>
      </c>
      <c r="C107" s="27"/>
      <c r="D107" s="27"/>
      <c r="E107" s="27"/>
      <c r="F107" s="27"/>
      <c r="G107" s="27"/>
      <c r="H107" s="27"/>
      <c r="I107" s="27"/>
      <c r="J107" s="27"/>
      <c r="K107" s="27"/>
      <c r="L107" s="58">
        <v>0</v>
      </c>
      <c r="M107" s="27"/>
      <c r="N107" s="6"/>
    </row>
    <row r="108" spans="1:14" ht="15.75">
      <c r="A108" s="136"/>
      <c r="B108" s="27" t="s">
        <v>75</v>
      </c>
      <c r="C108" s="27"/>
      <c r="D108" s="27"/>
      <c r="E108" s="27"/>
      <c r="F108" s="27"/>
      <c r="G108" s="27"/>
      <c r="H108" s="27"/>
      <c r="I108" s="27"/>
      <c r="J108" s="27"/>
      <c r="K108" s="27"/>
      <c r="L108" s="58"/>
      <c r="M108" s="27"/>
      <c r="N108" s="6"/>
    </row>
    <row r="109" spans="1:14" ht="15.75">
      <c r="A109" s="136"/>
      <c r="B109" s="27" t="s">
        <v>53</v>
      </c>
      <c r="C109" s="27"/>
      <c r="D109" s="27"/>
      <c r="E109" s="27"/>
      <c r="F109" s="27"/>
      <c r="G109" s="27"/>
      <c r="H109" s="27"/>
      <c r="I109" s="27"/>
      <c r="J109" s="27"/>
      <c r="K109" s="27"/>
      <c r="L109" s="58"/>
      <c r="M109" s="27"/>
      <c r="N109" s="6"/>
    </row>
    <row r="110" spans="1:14" ht="15.75">
      <c r="A110" s="136"/>
      <c r="B110" s="27" t="s">
        <v>55</v>
      </c>
      <c r="C110" s="27"/>
      <c r="D110" s="27"/>
      <c r="E110" s="27"/>
      <c r="F110" s="27"/>
      <c r="G110" s="27"/>
      <c r="H110" s="27"/>
      <c r="I110" s="27"/>
      <c r="J110" s="27"/>
      <c r="K110" s="27"/>
      <c r="L110" s="58"/>
      <c r="M110" s="27"/>
      <c r="N110" s="6"/>
    </row>
    <row r="111" spans="1:14" ht="15.75">
      <c r="A111" s="136"/>
      <c r="B111" s="27" t="s">
        <v>76</v>
      </c>
      <c r="C111" s="27"/>
      <c r="D111" s="27"/>
      <c r="E111" s="27"/>
      <c r="F111" s="27"/>
      <c r="G111" s="27"/>
      <c r="H111" s="27"/>
      <c r="I111" s="27"/>
      <c r="J111" s="27"/>
      <c r="K111" s="27"/>
      <c r="L111" s="58">
        <f>L105-L107</f>
        <v>4515</v>
      </c>
      <c r="M111" s="27"/>
      <c r="N111" s="6"/>
    </row>
    <row r="112" spans="1:14" ht="15.75">
      <c r="A112" s="136"/>
      <c r="B112" s="27"/>
      <c r="C112" s="27"/>
      <c r="D112" s="27"/>
      <c r="E112" s="27"/>
      <c r="F112" s="27"/>
      <c r="G112" s="27"/>
      <c r="H112" s="27"/>
      <c r="I112" s="27"/>
      <c r="J112" s="27"/>
      <c r="K112" s="27"/>
      <c r="L112" s="72"/>
      <c r="M112" s="27"/>
      <c r="N112" s="6"/>
    </row>
    <row r="113" spans="1:14" ht="15.75">
      <c r="A113" s="135"/>
      <c r="B113" s="5"/>
      <c r="C113" s="5"/>
      <c r="D113" s="5"/>
      <c r="E113" s="5"/>
      <c r="F113" s="5"/>
      <c r="G113" s="5"/>
      <c r="H113" s="5"/>
      <c r="I113" s="5"/>
      <c r="J113" s="5"/>
      <c r="K113" s="5"/>
      <c r="L113" s="52"/>
      <c r="M113" s="5"/>
      <c r="N113" s="6"/>
    </row>
    <row r="114" spans="1:14" ht="15.75">
      <c r="A114" s="119"/>
      <c r="B114" s="73" t="s">
        <v>77</v>
      </c>
      <c r="C114" s="16"/>
      <c r="D114" s="10"/>
      <c r="E114" s="10"/>
      <c r="F114" s="10"/>
      <c r="G114" s="10"/>
      <c r="H114" s="10"/>
      <c r="I114" s="10"/>
      <c r="J114" s="10"/>
      <c r="K114" s="10"/>
      <c r="L114" s="74"/>
      <c r="M114" s="10"/>
      <c r="N114" s="6"/>
    </row>
    <row r="115" spans="1:14" ht="15.75">
      <c r="A115" s="119"/>
      <c r="B115" s="16"/>
      <c r="C115" s="16"/>
      <c r="D115" s="10"/>
      <c r="E115" s="10"/>
      <c r="F115" s="10"/>
      <c r="G115" s="10"/>
      <c r="H115" s="10"/>
      <c r="I115" s="10"/>
      <c r="J115" s="10"/>
      <c r="K115" s="10"/>
      <c r="L115" s="74"/>
      <c r="M115" s="10"/>
      <c r="N115" s="6"/>
    </row>
    <row r="116" spans="1:14" ht="15.75">
      <c r="A116" s="136"/>
      <c r="B116" s="27" t="s">
        <v>78</v>
      </c>
      <c r="C116" s="27"/>
      <c r="D116" s="27"/>
      <c r="E116" s="27"/>
      <c r="F116" s="27"/>
      <c r="G116" s="27"/>
      <c r="H116" s="27"/>
      <c r="I116" s="27"/>
      <c r="J116" s="27"/>
      <c r="K116" s="27"/>
      <c r="L116" s="58">
        <v>0</v>
      </c>
      <c r="M116" s="27"/>
      <c r="N116" s="6"/>
    </row>
    <row r="117" spans="1:14" ht="15.75">
      <c r="A117" s="136"/>
      <c r="B117" s="27" t="s">
        <v>79</v>
      </c>
      <c r="C117" s="27"/>
      <c r="D117" s="27"/>
      <c r="E117" s="27"/>
      <c r="F117" s="27"/>
      <c r="G117" s="27"/>
      <c r="H117" s="27"/>
      <c r="I117" s="27"/>
      <c r="J117" s="27"/>
      <c r="K117" s="27"/>
      <c r="L117" s="58">
        <v>-144</v>
      </c>
      <c r="M117" s="27"/>
      <c r="N117" s="6"/>
    </row>
    <row r="118" spans="1:14" ht="15.75">
      <c r="A118" s="136"/>
      <c r="B118" s="27" t="s">
        <v>80</v>
      </c>
      <c r="C118" s="27"/>
      <c r="D118" s="27"/>
      <c r="E118" s="27"/>
      <c r="F118" s="27"/>
      <c r="G118" s="27"/>
      <c r="H118" s="27"/>
      <c r="I118" s="27"/>
      <c r="J118" s="27"/>
      <c r="K118" s="27"/>
      <c r="L118" s="58">
        <f>L117+L116</f>
        <v>-144</v>
      </c>
      <c r="M118" s="27"/>
      <c r="N118" s="6"/>
    </row>
    <row r="119" spans="1:14" ht="15.75">
      <c r="A119" s="136"/>
      <c r="B119" s="27" t="s">
        <v>81</v>
      </c>
      <c r="C119" s="27"/>
      <c r="D119" s="27"/>
      <c r="E119" s="27"/>
      <c r="F119" s="27"/>
      <c r="G119" s="27"/>
      <c r="H119" s="75"/>
      <c r="I119" s="27"/>
      <c r="J119" s="27"/>
      <c r="K119" s="27"/>
      <c r="L119" s="58">
        <f>-L85</f>
        <v>144</v>
      </c>
      <c r="M119" s="27"/>
      <c r="N119" s="6"/>
    </row>
    <row r="120" spans="1:14" ht="15.75">
      <c r="A120" s="136"/>
      <c r="B120" s="27" t="s">
        <v>82</v>
      </c>
      <c r="C120" s="27"/>
      <c r="D120" s="27"/>
      <c r="E120" s="27"/>
      <c r="F120" s="27"/>
      <c r="G120" s="27"/>
      <c r="H120" s="27"/>
      <c r="I120" s="27"/>
      <c r="J120" s="27"/>
      <c r="K120" s="27"/>
      <c r="L120" s="58">
        <f>L118+L119</f>
        <v>0</v>
      </c>
      <c r="M120" s="27"/>
      <c r="N120" s="6"/>
    </row>
    <row r="121" spans="1:14" ht="15.75">
      <c r="A121" s="136"/>
      <c r="B121" s="27"/>
      <c r="C121" s="27"/>
      <c r="D121" s="27"/>
      <c r="E121" s="27"/>
      <c r="F121" s="27"/>
      <c r="G121" s="27"/>
      <c r="H121" s="27"/>
      <c r="I121" s="27"/>
      <c r="J121" s="27"/>
      <c r="K121" s="27"/>
      <c r="L121" s="72"/>
      <c r="M121" s="27"/>
      <c r="N121" s="6"/>
    </row>
    <row r="122" spans="1:14" ht="15.75">
      <c r="A122" s="135"/>
      <c r="B122" s="5"/>
      <c r="C122" s="5"/>
      <c r="D122" s="5"/>
      <c r="E122" s="5"/>
      <c r="F122" s="5"/>
      <c r="G122" s="5"/>
      <c r="H122" s="5"/>
      <c r="I122" s="5"/>
      <c r="J122" s="5"/>
      <c r="K122" s="5"/>
      <c r="L122" s="52"/>
      <c r="M122" s="5"/>
      <c r="N122" s="6"/>
    </row>
    <row r="123" spans="1:14" ht="15.75">
      <c r="A123" s="119"/>
      <c r="B123" s="73" t="s">
        <v>83</v>
      </c>
      <c r="C123" s="16"/>
      <c r="D123" s="10"/>
      <c r="E123" s="10"/>
      <c r="F123" s="10"/>
      <c r="G123" s="10"/>
      <c r="H123" s="10"/>
      <c r="I123" s="10"/>
      <c r="J123" s="10"/>
      <c r="K123" s="10"/>
      <c r="L123" s="53"/>
      <c r="M123" s="10"/>
      <c r="N123" s="6"/>
    </row>
    <row r="124" spans="1:14" ht="15.75">
      <c r="A124" s="119"/>
      <c r="B124" s="76"/>
      <c r="C124" s="16"/>
      <c r="D124" s="10"/>
      <c r="E124" s="10"/>
      <c r="F124" s="10"/>
      <c r="G124" s="10"/>
      <c r="H124" s="10"/>
      <c r="I124" s="10"/>
      <c r="J124" s="10"/>
      <c r="K124" s="10"/>
      <c r="L124" s="53"/>
      <c r="M124" s="10"/>
      <c r="N124" s="6"/>
    </row>
    <row r="125" spans="1:14" ht="15.75">
      <c r="A125" s="136"/>
      <c r="B125" s="27" t="s">
        <v>84</v>
      </c>
      <c r="C125" s="71"/>
      <c r="D125" s="27"/>
      <c r="E125" s="27"/>
      <c r="F125" s="27"/>
      <c r="G125" s="27"/>
      <c r="H125" s="27"/>
      <c r="I125" s="27"/>
      <c r="J125" s="27"/>
      <c r="K125" s="27"/>
      <c r="L125" s="58">
        <f>L52</f>
        <v>117162</v>
      </c>
      <c r="M125" s="27"/>
      <c r="N125" s="6"/>
    </row>
    <row r="126" spans="1:14" ht="15.75">
      <c r="A126" s="136"/>
      <c r="B126" s="27" t="s">
        <v>85</v>
      </c>
      <c r="C126" s="71"/>
      <c r="D126" s="27"/>
      <c r="E126" s="27"/>
      <c r="F126" s="27"/>
      <c r="G126" s="27"/>
      <c r="H126" s="27"/>
      <c r="I126" s="27"/>
      <c r="J126" s="27"/>
      <c r="K126" s="27"/>
      <c r="L126" s="58">
        <f>L64</f>
        <v>113306</v>
      </c>
      <c r="M126" s="27"/>
      <c r="N126" s="6"/>
    </row>
    <row r="127" spans="1:14" ht="15.75">
      <c r="A127" s="136"/>
      <c r="B127" s="27"/>
      <c r="C127" s="27"/>
      <c r="D127" s="27"/>
      <c r="E127" s="27"/>
      <c r="F127" s="27"/>
      <c r="G127" s="27"/>
      <c r="H127" s="27"/>
      <c r="I127" s="27"/>
      <c r="J127" s="27"/>
      <c r="K127" s="27"/>
      <c r="L127" s="72"/>
      <c r="M127" s="27"/>
      <c r="N127" s="6"/>
    </row>
    <row r="128" spans="1:14" ht="15.75">
      <c r="A128" s="135"/>
      <c r="B128" s="5"/>
      <c r="C128" s="5"/>
      <c r="D128" s="5"/>
      <c r="E128" s="5"/>
      <c r="F128" s="5"/>
      <c r="G128" s="5"/>
      <c r="H128" s="5"/>
      <c r="I128" s="5"/>
      <c r="J128" s="5"/>
      <c r="K128" s="5"/>
      <c r="L128" s="52"/>
      <c r="M128" s="5"/>
      <c r="N128" s="6"/>
    </row>
    <row r="129" spans="1:14" ht="15.75">
      <c r="A129" s="119"/>
      <c r="B129" s="73" t="s">
        <v>86</v>
      </c>
      <c r="C129" s="12"/>
      <c r="D129" s="12"/>
      <c r="E129" s="12"/>
      <c r="F129" s="12"/>
      <c r="G129" s="12"/>
      <c r="H129" s="77" t="s">
        <v>163</v>
      </c>
      <c r="I129" s="77"/>
      <c r="J129" s="77" t="s">
        <v>175</v>
      </c>
      <c r="K129" s="12"/>
      <c r="L129" s="78" t="s">
        <v>189</v>
      </c>
      <c r="M129" s="10"/>
      <c r="N129" s="6"/>
    </row>
    <row r="130" spans="1:14" ht="15.75">
      <c r="A130" s="136"/>
      <c r="B130" s="27" t="s">
        <v>87</v>
      </c>
      <c r="C130" s="27"/>
      <c r="D130" s="27"/>
      <c r="E130" s="27"/>
      <c r="F130" s="27"/>
      <c r="G130" s="27"/>
      <c r="H130" s="58">
        <v>40000</v>
      </c>
      <c r="I130" s="27"/>
      <c r="J130" s="45" t="s">
        <v>176</v>
      </c>
      <c r="K130" s="27"/>
      <c r="L130" s="58"/>
      <c r="M130" s="27"/>
      <c r="N130" s="6"/>
    </row>
    <row r="131" spans="1:14" ht="15.75">
      <c r="A131" s="136"/>
      <c r="B131" s="27" t="s">
        <v>88</v>
      </c>
      <c r="C131" s="27"/>
      <c r="D131" s="27"/>
      <c r="E131" s="27"/>
      <c r="F131" s="27"/>
      <c r="G131" s="27"/>
      <c r="H131" s="58">
        <v>1162</v>
      </c>
      <c r="I131" s="27"/>
      <c r="J131" s="58">
        <v>110</v>
      </c>
      <c r="K131" s="27"/>
      <c r="L131" s="58">
        <f>J131+H131</f>
        <v>1272</v>
      </c>
      <c r="M131" s="27"/>
      <c r="N131" s="6"/>
    </row>
    <row r="132" spans="1:14" ht="15.75">
      <c r="A132" s="136"/>
      <c r="B132" s="27" t="s">
        <v>89</v>
      </c>
      <c r="C132" s="27"/>
      <c r="D132" s="27"/>
      <c r="E132" s="27"/>
      <c r="F132" s="27"/>
      <c r="G132" s="27"/>
      <c r="H132" s="58">
        <v>226</v>
      </c>
      <c r="I132" s="27"/>
      <c r="J132" s="27">
        <v>0</v>
      </c>
      <c r="K132" s="27"/>
      <c r="L132" s="58">
        <f>J132+H132</f>
        <v>226</v>
      </c>
      <c r="M132" s="27"/>
      <c r="N132" s="6"/>
    </row>
    <row r="133" spans="1:14" ht="15.75">
      <c r="A133" s="136"/>
      <c r="B133" s="27" t="s">
        <v>90</v>
      </c>
      <c r="C133" s="27"/>
      <c r="D133" s="27"/>
      <c r="E133" s="27"/>
      <c r="F133" s="27"/>
      <c r="G133" s="27"/>
      <c r="H133" s="58">
        <f>H132+H131</f>
        <v>1388</v>
      </c>
      <c r="I133" s="27"/>
      <c r="J133" s="58">
        <f>J132+J131</f>
        <v>110</v>
      </c>
      <c r="K133" s="27"/>
      <c r="L133" s="58">
        <f>J133+H133</f>
        <v>1498</v>
      </c>
      <c r="M133" s="27"/>
      <c r="N133" s="6"/>
    </row>
    <row r="134" spans="1:14" ht="15.75">
      <c r="A134" s="136"/>
      <c r="B134" s="27" t="s">
        <v>91</v>
      </c>
      <c r="C134" s="27"/>
      <c r="D134" s="27"/>
      <c r="E134" s="27"/>
      <c r="F134" s="27"/>
      <c r="G134" s="27"/>
      <c r="H134" s="58">
        <f>H130-H133</f>
        <v>38612</v>
      </c>
      <c r="I134" s="27"/>
      <c r="J134" s="45" t="s">
        <v>176</v>
      </c>
      <c r="K134" s="27"/>
      <c r="L134" s="58"/>
      <c r="M134" s="27"/>
      <c r="N134" s="6"/>
    </row>
    <row r="135" spans="1:14" ht="15.75">
      <c r="A135" s="136"/>
      <c r="B135" s="27"/>
      <c r="C135" s="27"/>
      <c r="D135" s="27"/>
      <c r="E135" s="27"/>
      <c r="F135" s="27"/>
      <c r="G135" s="27"/>
      <c r="H135" s="27"/>
      <c r="I135" s="27"/>
      <c r="J135" s="27"/>
      <c r="K135" s="27"/>
      <c r="L135" s="72"/>
      <c r="M135" s="27"/>
      <c r="N135" s="6"/>
    </row>
    <row r="136" spans="1:14" ht="15.75">
      <c r="A136" s="135"/>
      <c r="B136" s="5"/>
      <c r="C136" s="5"/>
      <c r="D136" s="5"/>
      <c r="E136" s="5"/>
      <c r="F136" s="5"/>
      <c r="G136" s="5"/>
      <c r="H136" s="5"/>
      <c r="I136" s="5"/>
      <c r="J136" s="5"/>
      <c r="K136" s="5"/>
      <c r="L136" s="52"/>
      <c r="M136" s="5"/>
      <c r="N136" s="6"/>
    </row>
    <row r="137" spans="1:14" ht="15.75">
      <c r="A137" s="119"/>
      <c r="B137" s="73" t="s">
        <v>92</v>
      </c>
      <c r="C137" s="16"/>
      <c r="D137" s="10"/>
      <c r="E137" s="10"/>
      <c r="F137" s="10"/>
      <c r="G137" s="10"/>
      <c r="H137" s="10"/>
      <c r="I137" s="10"/>
      <c r="J137" s="10"/>
      <c r="K137" s="10"/>
      <c r="L137" s="79"/>
      <c r="M137" s="10"/>
      <c r="N137" s="6"/>
    </row>
    <row r="138" spans="1:14" ht="15.75">
      <c r="A138" s="136"/>
      <c r="B138" s="27" t="s">
        <v>93</v>
      </c>
      <c r="C138" s="27"/>
      <c r="D138" s="27"/>
      <c r="E138" s="27"/>
      <c r="F138" s="27"/>
      <c r="G138" s="27"/>
      <c r="H138" s="27"/>
      <c r="I138" s="27"/>
      <c r="J138" s="27"/>
      <c r="K138" s="27"/>
      <c r="L138" s="68">
        <f>(L74+L77+L78+L79)/-L80</f>
        <v>2.0356633380884452</v>
      </c>
      <c r="M138" s="27" t="s">
        <v>190</v>
      </c>
      <c r="N138" s="6"/>
    </row>
    <row r="139" spans="1:14" ht="15.75">
      <c r="A139" s="136"/>
      <c r="B139" s="27" t="s">
        <v>94</v>
      </c>
      <c r="C139" s="27"/>
      <c r="D139" s="27"/>
      <c r="E139" s="27"/>
      <c r="F139" s="27"/>
      <c r="G139" s="27"/>
      <c r="H139" s="27"/>
      <c r="I139" s="27"/>
      <c r="J139" s="27"/>
      <c r="K139" s="27"/>
      <c r="L139" s="68">
        <v>1.53</v>
      </c>
      <c r="M139" s="27" t="s">
        <v>190</v>
      </c>
      <c r="N139" s="6"/>
    </row>
    <row r="140" spans="1:14" ht="15.75">
      <c r="A140" s="136"/>
      <c r="B140" s="27" t="s">
        <v>95</v>
      </c>
      <c r="C140" s="27"/>
      <c r="D140" s="27"/>
      <c r="E140" s="27"/>
      <c r="F140" s="27"/>
      <c r="G140" s="27"/>
      <c r="H140" s="27"/>
      <c r="I140" s="27"/>
      <c r="J140" s="27"/>
      <c r="K140" s="27"/>
      <c r="L140" s="68">
        <f>(L74+SUM(L77:L81))/-L82</f>
        <v>5.426966292134831</v>
      </c>
      <c r="M140" s="27" t="s">
        <v>190</v>
      </c>
      <c r="N140" s="6"/>
    </row>
    <row r="141" spans="1:14" ht="15.75">
      <c r="A141" s="136"/>
      <c r="B141" s="27" t="s">
        <v>96</v>
      </c>
      <c r="C141" s="27"/>
      <c r="D141" s="27"/>
      <c r="E141" s="27"/>
      <c r="F141" s="27"/>
      <c r="G141" s="27"/>
      <c r="H141" s="27"/>
      <c r="I141" s="27"/>
      <c r="J141" s="27"/>
      <c r="K141" s="27"/>
      <c r="L141" s="81">
        <v>4.29</v>
      </c>
      <c r="M141" s="27" t="s">
        <v>190</v>
      </c>
      <c r="N141" s="6"/>
    </row>
    <row r="142" spans="1:14" ht="15.75">
      <c r="A142" s="136"/>
      <c r="B142" s="27" t="s">
        <v>97</v>
      </c>
      <c r="C142" s="27"/>
      <c r="D142" s="27"/>
      <c r="E142" s="27"/>
      <c r="F142" s="27"/>
      <c r="G142" s="27"/>
      <c r="H142" s="27"/>
      <c r="I142" s="27"/>
      <c r="J142" s="27"/>
      <c r="K142" s="27"/>
      <c r="L142" s="68">
        <f>(L74+L77+L78+L79+L80+L81+L82)/-L83</f>
        <v>6.287234042553192</v>
      </c>
      <c r="M142" s="27" t="s">
        <v>190</v>
      </c>
      <c r="N142" s="6"/>
    </row>
    <row r="143" spans="1:14" ht="15.75">
      <c r="A143" s="136"/>
      <c r="B143" s="27" t="s">
        <v>98</v>
      </c>
      <c r="C143" s="27"/>
      <c r="D143" s="27"/>
      <c r="E143" s="27"/>
      <c r="F143" s="27"/>
      <c r="G143" s="27"/>
      <c r="H143" s="27"/>
      <c r="I143" s="27"/>
      <c r="J143" s="27"/>
      <c r="K143" s="27"/>
      <c r="L143" s="80">
        <v>4.71</v>
      </c>
      <c r="M143" s="27" t="s">
        <v>190</v>
      </c>
      <c r="N143" s="6"/>
    </row>
    <row r="144" spans="1:14" ht="15.75">
      <c r="A144" s="136"/>
      <c r="B144" s="27"/>
      <c r="C144" s="27"/>
      <c r="D144" s="27"/>
      <c r="E144" s="27"/>
      <c r="F144" s="27"/>
      <c r="G144" s="27"/>
      <c r="H144" s="27"/>
      <c r="I144" s="27"/>
      <c r="J144" s="27"/>
      <c r="K144" s="27"/>
      <c r="L144" s="27"/>
      <c r="M144" s="27"/>
      <c r="N144" s="6"/>
    </row>
    <row r="145" spans="1:14" ht="15">
      <c r="A145" s="119"/>
      <c r="B145" s="15"/>
      <c r="C145" s="15"/>
      <c r="D145" s="15"/>
      <c r="E145" s="15"/>
      <c r="F145" s="15"/>
      <c r="G145" s="15"/>
      <c r="H145" s="15"/>
      <c r="I145" s="15"/>
      <c r="J145" s="15"/>
      <c r="K145" s="15"/>
      <c r="L145" s="15"/>
      <c r="M145" s="15"/>
      <c r="N145" s="6"/>
    </row>
    <row r="146" spans="1:14" ht="15.75">
      <c r="A146" s="135"/>
      <c r="B146" s="83" t="s">
        <v>99</v>
      </c>
      <c r="C146" s="84"/>
      <c r="D146" s="84"/>
      <c r="E146" s="84"/>
      <c r="F146" s="84"/>
      <c r="G146" s="85"/>
      <c r="H146" s="85"/>
      <c r="I146" s="85"/>
      <c r="J146" s="85">
        <v>36585</v>
      </c>
      <c r="K146" s="86"/>
      <c r="L146" s="5"/>
      <c r="M146" s="5"/>
      <c r="N146" s="6"/>
    </row>
    <row r="147" spans="1:14" ht="15.75">
      <c r="A147" s="119"/>
      <c r="B147" s="89"/>
      <c r="C147" s="90"/>
      <c r="D147" s="90"/>
      <c r="E147" s="90"/>
      <c r="F147" s="90"/>
      <c r="G147" s="91"/>
      <c r="H147" s="91"/>
      <c r="I147" s="91"/>
      <c r="J147" s="91"/>
      <c r="K147" s="10"/>
      <c r="L147" s="10"/>
      <c r="M147" s="10"/>
      <c r="N147" s="6"/>
    </row>
    <row r="148" spans="1:14" ht="15.75">
      <c r="A148" s="136"/>
      <c r="B148" s="93" t="s">
        <v>100</v>
      </c>
      <c r="C148" s="94"/>
      <c r="D148" s="94"/>
      <c r="E148" s="94"/>
      <c r="F148" s="94"/>
      <c r="G148" s="75"/>
      <c r="H148" s="75"/>
      <c r="I148" s="75"/>
      <c r="J148" s="95">
        <v>0.0981</v>
      </c>
      <c r="K148" s="27"/>
      <c r="L148" s="27"/>
      <c r="M148" s="27"/>
      <c r="N148" s="6"/>
    </row>
    <row r="149" spans="1:14" ht="15.75">
      <c r="A149" s="136"/>
      <c r="B149" s="93" t="s">
        <v>101</v>
      </c>
      <c r="C149" s="94"/>
      <c r="D149" s="94"/>
      <c r="E149" s="94"/>
      <c r="F149" s="94"/>
      <c r="G149" s="75"/>
      <c r="H149" s="75"/>
      <c r="I149" s="75"/>
      <c r="J149" s="44">
        <f>6.96640642439395/100</f>
        <v>0.0696640642439395</v>
      </c>
      <c r="K149" s="27"/>
      <c r="L149" s="27"/>
      <c r="M149" s="27"/>
      <c r="N149" s="6"/>
    </row>
    <row r="150" spans="1:14" ht="15.75">
      <c r="A150" s="136"/>
      <c r="B150" s="93" t="s">
        <v>102</v>
      </c>
      <c r="C150" s="94"/>
      <c r="D150" s="94"/>
      <c r="E150" s="94"/>
      <c r="F150" s="94"/>
      <c r="G150" s="75"/>
      <c r="H150" s="75"/>
      <c r="I150" s="75"/>
      <c r="J150" s="95">
        <f>J148-J149</f>
        <v>0.0284359357560605</v>
      </c>
      <c r="K150" s="27"/>
      <c r="L150" s="27"/>
      <c r="M150" s="27"/>
      <c r="N150" s="6"/>
    </row>
    <row r="151" spans="1:14" ht="15.75">
      <c r="A151" s="136"/>
      <c r="B151" s="93" t="s">
        <v>103</v>
      </c>
      <c r="C151" s="94"/>
      <c r="D151" s="94"/>
      <c r="E151" s="94"/>
      <c r="F151" s="94"/>
      <c r="G151" s="75"/>
      <c r="H151" s="75"/>
      <c r="I151" s="75"/>
      <c r="J151" s="95">
        <v>0.09087</v>
      </c>
      <c r="K151" s="27"/>
      <c r="L151" s="27"/>
      <c r="M151" s="27"/>
      <c r="N151" s="6"/>
    </row>
    <row r="152" spans="1:14" ht="15.75">
      <c r="A152" s="136"/>
      <c r="B152" s="93" t="s">
        <v>104</v>
      </c>
      <c r="C152" s="94"/>
      <c r="D152" s="94"/>
      <c r="E152" s="94"/>
      <c r="F152" s="94"/>
      <c r="G152" s="75"/>
      <c r="H152" s="75"/>
      <c r="I152" s="75"/>
      <c r="J152" s="95">
        <f>L28</f>
        <v>0.06212301832560307</v>
      </c>
      <c r="K152" s="27"/>
      <c r="L152" s="27"/>
      <c r="M152" s="27"/>
      <c r="N152" s="6"/>
    </row>
    <row r="153" spans="1:14" ht="15.75">
      <c r="A153" s="136"/>
      <c r="B153" s="93" t="s">
        <v>105</v>
      </c>
      <c r="C153" s="94"/>
      <c r="D153" s="94"/>
      <c r="E153" s="94"/>
      <c r="F153" s="94"/>
      <c r="G153" s="75"/>
      <c r="H153" s="75"/>
      <c r="I153" s="75"/>
      <c r="J153" s="95">
        <f>J151-J152</f>
        <v>0.02874698167439694</v>
      </c>
      <c r="K153" s="27"/>
      <c r="L153" s="27"/>
      <c r="M153" s="27"/>
      <c r="N153" s="6"/>
    </row>
    <row r="154" spans="1:14" ht="15.75">
      <c r="A154" s="136"/>
      <c r="B154" s="93" t="s">
        <v>106</v>
      </c>
      <c r="C154" s="94"/>
      <c r="D154" s="94"/>
      <c r="E154" s="94"/>
      <c r="F154" s="94"/>
      <c r="G154" s="75"/>
      <c r="H154" s="75"/>
      <c r="I154" s="75"/>
      <c r="J154" s="95" t="s">
        <v>177</v>
      </c>
      <c r="K154" s="27"/>
      <c r="L154" s="27"/>
      <c r="M154" s="27"/>
      <c r="N154" s="6"/>
    </row>
    <row r="155" spans="1:14" ht="15.75">
      <c r="A155" s="136"/>
      <c r="B155" s="93" t="s">
        <v>107</v>
      </c>
      <c r="C155" s="94"/>
      <c r="D155" s="94"/>
      <c r="E155" s="94"/>
      <c r="F155" s="94"/>
      <c r="G155" s="75"/>
      <c r="H155" s="75"/>
      <c r="I155" s="75"/>
      <c r="J155" s="95" t="s">
        <v>178</v>
      </c>
      <c r="K155" s="27"/>
      <c r="L155" s="27"/>
      <c r="M155" s="27"/>
      <c r="N155" s="6"/>
    </row>
    <row r="156" spans="1:14" ht="15.75">
      <c r="A156" s="136"/>
      <c r="B156" s="93" t="s">
        <v>108</v>
      </c>
      <c r="C156" s="94"/>
      <c r="D156" s="94"/>
      <c r="E156" s="94"/>
      <c r="F156" s="94"/>
      <c r="G156" s="75"/>
      <c r="H156" s="75"/>
      <c r="I156" s="75"/>
      <c r="J156" s="95" t="s">
        <v>179</v>
      </c>
      <c r="K156" s="27"/>
      <c r="L156" s="27"/>
      <c r="M156" s="27"/>
      <c r="N156" s="6"/>
    </row>
    <row r="157" spans="1:14" ht="15.75">
      <c r="A157" s="136"/>
      <c r="B157" s="93" t="s">
        <v>109</v>
      </c>
      <c r="C157" s="94"/>
      <c r="D157" s="94"/>
      <c r="E157" s="94"/>
      <c r="F157" s="94"/>
      <c r="G157" s="75"/>
      <c r="H157" s="133"/>
      <c r="I157" s="75"/>
      <c r="J157" s="95">
        <f>F52/D52*4</f>
        <v>0.22308891095984432</v>
      </c>
      <c r="K157" s="27"/>
      <c r="L157" s="27"/>
      <c r="M157" s="27"/>
      <c r="N157" s="6"/>
    </row>
    <row r="158" spans="1:14" ht="15.75">
      <c r="A158" s="136"/>
      <c r="B158" s="93"/>
      <c r="C158" s="93"/>
      <c r="D158" s="93"/>
      <c r="E158" s="93"/>
      <c r="F158" s="93"/>
      <c r="G158" s="27"/>
      <c r="H158" s="27"/>
      <c r="I158" s="27"/>
      <c r="J158" s="72"/>
      <c r="K158" s="27"/>
      <c r="L158" s="97"/>
      <c r="M158" s="27"/>
      <c r="N158" s="6"/>
    </row>
    <row r="159" spans="1:14" ht="15.75">
      <c r="A159" s="119"/>
      <c r="B159" s="17" t="s">
        <v>110</v>
      </c>
      <c r="C159" s="20"/>
      <c r="D159" s="99"/>
      <c r="E159" s="20"/>
      <c r="F159" s="99"/>
      <c r="G159" s="20"/>
      <c r="H159" s="99"/>
      <c r="I159" s="20" t="s">
        <v>164</v>
      </c>
      <c r="J159" s="99" t="s">
        <v>180</v>
      </c>
      <c r="K159" s="18"/>
      <c r="L159" s="18"/>
      <c r="M159" s="10"/>
      <c r="N159" s="6"/>
    </row>
    <row r="160" spans="1:14" ht="15.75">
      <c r="A160" s="136"/>
      <c r="B160" s="93" t="s">
        <v>111</v>
      </c>
      <c r="C160" s="59"/>
      <c r="D160" s="59"/>
      <c r="E160" s="59"/>
      <c r="F160" s="27"/>
      <c r="G160" s="27"/>
      <c r="H160" s="27"/>
      <c r="I160" s="27">
        <v>128</v>
      </c>
      <c r="J160" s="58">
        <v>8641</v>
      </c>
      <c r="K160" s="27"/>
      <c r="L160" s="97"/>
      <c r="M160" s="102"/>
      <c r="N160" s="6"/>
    </row>
    <row r="161" spans="1:14" ht="15.75">
      <c r="A161" s="136"/>
      <c r="B161" s="93" t="s">
        <v>112</v>
      </c>
      <c r="C161" s="59"/>
      <c r="D161" s="59"/>
      <c r="E161" s="59"/>
      <c r="F161" s="27"/>
      <c r="G161" s="27"/>
      <c r="H161" s="27"/>
      <c r="I161" s="27">
        <v>15</v>
      </c>
      <c r="J161" s="58">
        <v>920</v>
      </c>
      <c r="K161" s="27"/>
      <c r="L161" s="97"/>
      <c r="M161" s="102"/>
      <c r="N161" s="6"/>
    </row>
    <row r="162" spans="1:14" ht="15.75">
      <c r="A162" s="136"/>
      <c r="B162" s="103" t="s">
        <v>113</v>
      </c>
      <c r="C162" s="59"/>
      <c r="D162" s="59"/>
      <c r="E162" s="59"/>
      <c r="F162" s="27"/>
      <c r="G162" s="27"/>
      <c r="H162" s="27"/>
      <c r="I162" s="27"/>
      <c r="J162" s="58">
        <v>0</v>
      </c>
      <c r="K162" s="27"/>
      <c r="L162" s="97"/>
      <c r="M162" s="102"/>
      <c r="N162" s="6"/>
    </row>
    <row r="163" spans="1:14" ht="15.75">
      <c r="A163" s="136"/>
      <c r="B163" s="103" t="s">
        <v>114</v>
      </c>
      <c r="C163" s="59"/>
      <c r="D163" s="59"/>
      <c r="E163" s="59"/>
      <c r="F163" s="27"/>
      <c r="G163" s="27"/>
      <c r="H163" s="27"/>
      <c r="I163" s="27"/>
      <c r="J163" s="68" t="s">
        <v>139</v>
      </c>
      <c r="K163" s="27"/>
      <c r="L163" s="97"/>
      <c r="M163" s="102"/>
      <c r="N163" s="6"/>
    </row>
    <row r="164" spans="1:14" ht="15.75">
      <c r="A164" s="136"/>
      <c r="B164" s="103" t="s">
        <v>115</v>
      </c>
      <c r="C164" s="59"/>
      <c r="D164" s="93"/>
      <c r="E164" s="93"/>
      <c r="F164" s="93"/>
      <c r="G164" s="27"/>
      <c r="H164" s="27"/>
      <c r="I164" s="27"/>
      <c r="J164" s="68"/>
      <c r="K164" s="27"/>
      <c r="L164" s="97"/>
      <c r="M164" s="105"/>
      <c r="N164" s="6"/>
    </row>
    <row r="165" spans="1:14" ht="15.75">
      <c r="A165" s="136"/>
      <c r="B165" s="93" t="s">
        <v>116</v>
      </c>
      <c r="C165" s="59"/>
      <c r="D165" s="59"/>
      <c r="E165" s="59"/>
      <c r="F165" s="59"/>
      <c r="G165" s="27"/>
      <c r="H165" s="27"/>
      <c r="I165" s="27">
        <v>8</v>
      </c>
      <c r="J165" s="58">
        <f>L63</f>
        <v>144</v>
      </c>
      <c r="K165" s="27"/>
      <c r="L165" s="97"/>
      <c r="M165" s="105"/>
      <c r="N165" s="6"/>
    </row>
    <row r="166" spans="1:14" ht="15.75">
      <c r="A166" s="136"/>
      <c r="B166" s="93" t="s">
        <v>117</v>
      </c>
      <c r="C166" s="59"/>
      <c r="D166" s="59"/>
      <c r="E166" s="59"/>
      <c r="F166" s="59"/>
      <c r="G166" s="27"/>
      <c r="H166" s="27"/>
      <c r="I166" s="58">
        <v>77</v>
      </c>
      <c r="J166" s="58">
        <f>'Nov 99'!J166+J165</f>
        <v>1312</v>
      </c>
      <c r="K166" s="27"/>
      <c r="L166" s="97"/>
      <c r="M166" s="105"/>
      <c r="N166" s="6"/>
    </row>
    <row r="167" spans="1:14" ht="15.75">
      <c r="A167" s="136"/>
      <c r="B167" s="103" t="s">
        <v>118</v>
      </c>
      <c r="C167" s="59"/>
      <c r="D167" s="93"/>
      <c r="E167" s="93"/>
      <c r="F167" s="93"/>
      <c r="G167" s="27"/>
      <c r="H167" s="27"/>
      <c r="I167" s="27"/>
      <c r="J167" s="58"/>
      <c r="K167" s="27"/>
      <c r="L167" s="97"/>
      <c r="M167" s="105"/>
      <c r="N167" s="6"/>
    </row>
    <row r="168" spans="1:14" ht="15.75">
      <c r="A168" s="136"/>
      <c r="B168" s="93" t="s">
        <v>119</v>
      </c>
      <c r="C168" s="59"/>
      <c r="D168" s="93"/>
      <c r="E168" s="93"/>
      <c r="F168" s="93"/>
      <c r="G168" s="27"/>
      <c r="H168" s="27"/>
      <c r="I168" s="27">
        <v>6</v>
      </c>
      <c r="J168" s="58">
        <v>364</v>
      </c>
      <c r="K168" s="27"/>
      <c r="L168" s="97"/>
      <c r="M168" s="105"/>
      <c r="N168" s="6"/>
    </row>
    <row r="169" spans="1:14" ht="15.75">
      <c r="A169" s="136"/>
      <c r="B169" s="93" t="s">
        <v>120</v>
      </c>
      <c r="C169" s="59"/>
      <c r="D169" s="106"/>
      <c r="E169" s="106"/>
      <c r="F169" s="107"/>
      <c r="G169" s="27"/>
      <c r="H169" s="27"/>
      <c r="I169" s="27"/>
      <c r="J169" s="68">
        <v>13.36</v>
      </c>
      <c r="K169" s="27"/>
      <c r="L169" s="97"/>
      <c r="M169" s="105"/>
      <c r="N169" s="6"/>
    </row>
    <row r="170" spans="1:14" ht="15.75">
      <c r="A170" s="136"/>
      <c r="B170" s="93" t="s">
        <v>197</v>
      </c>
      <c r="C170" s="59"/>
      <c r="D170" s="106"/>
      <c r="E170" s="106"/>
      <c r="F170" s="107"/>
      <c r="G170" s="27"/>
      <c r="H170" s="27"/>
      <c r="I170" s="27"/>
      <c r="J170" s="68">
        <v>5.67</v>
      </c>
      <c r="K170" s="27"/>
      <c r="L170" s="97"/>
      <c r="M170" s="105"/>
      <c r="N170" s="6"/>
    </row>
    <row r="171" spans="1:14" ht="15.75">
      <c r="A171" s="136"/>
      <c r="B171" s="93" t="s">
        <v>122</v>
      </c>
      <c r="C171" s="59"/>
      <c r="D171" s="108"/>
      <c r="E171" s="106"/>
      <c r="F171" s="107"/>
      <c r="G171" s="27"/>
      <c r="H171" s="27"/>
      <c r="I171" s="27"/>
      <c r="J171" s="109">
        <v>1</v>
      </c>
      <c r="K171" s="27"/>
      <c r="L171" s="97"/>
      <c r="M171" s="105"/>
      <c r="N171" s="6"/>
    </row>
    <row r="172" spans="1:14" ht="15.75">
      <c r="A172" s="136"/>
      <c r="B172" s="93"/>
      <c r="C172" s="59"/>
      <c r="D172" s="108"/>
      <c r="E172" s="106"/>
      <c r="F172" s="107"/>
      <c r="G172" s="27"/>
      <c r="H172" s="27"/>
      <c r="I172" s="27"/>
      <c r="J172" s="109"/>
      <c r="K172" s="27"/>
      <c r="L172" s="97"/>
      <c r="M172" s="105"/>
      <c r="N172" s="6"/>
    </row>
    <row r="173" spans="1:14" ht="15.75">
      <c r="A173" s="119"/>
      <c r="B173" s="17" t="s">
        <v>123</v>
      </c>
      <c r="C173" s="20"/>
      <c r="D173" s="99"/>
      <c r="E173" s="20"/>
      <c r="F173" s="99"/>
      <c r="G173" s="20"/>
      <c r="H173" s="99" t="s">
        <v>164</v>
      </c>
      <c r="I173" s="20" t="s">
        <v>165</v>
      </c>
      <c r="J173" s="99" t="s">
        <v>181</v>
      </c>
      <c r="K173" s="20" t="s">
        <v>165</v>
      </c>
      <c r="L173" s="18"/>
      <c r="M173" s="112"/>
      <c r="N173" s="6"/>
    </row>
    <row r="174" spans="1:14" ht="15.75">
      <c r="A174" s="136"/>
      <c r="B174" s="59" t="s">
        <v>124</v>
      </c>
      <c r="C174" s="113"/>
      <c r="D174" s="59"/>
      <c r="E174" s="113"/>
      <c r="F174" s="27"/>
      <c r="G174" s="113"/>
      <c r="H174" s="59">
        <f>944+1508</f>
        <v>2452</v>
      </c>
      <c r="I174" s="113">
        <f>H174/$H$180</f>
        <v>0.7935275080906149</v>
      </c>
      <c r="J174" s="58">
        <f>37359+51668</f>
        <v>89027</v>
      </c>
      <c r="K174" s="113">
        <f>J174/$J$180</f>
        <v>0.7598624127276762</v>
      </c>
      <c r="L174" s="97"/>
      <c r="M174" s="105"/>
      <c r="N174" s="6"/>
    </row>
    <row r="175" spans="1:14" ht="15.75">
      <c r="A175" s="136"/>
      <c r="B175" s="59" t="s">
        <v>125</v>
      </c>
      <c r="C175" s="113"/>
      <c r="D175" s="59"/>
      <c r="E175" s="113"/>
      <c r="F175" s="27"/>
      <c r="G175" s="115"/>
      <c r="H175" s="59">
        <f>65+46</f>
        <v>111</v>
      </c>
      <c r="I175" s="113">
        <f>H175/$H$180</f>
        <v>0.035922330097087375</v>
      </c>
      <c r="J175" s="58">
        <f>2612+1857</f>
        <v>4469</v>
      </c>
      <c r="K175" s="113">
        <f>J175/$J$180</f>
        <v>0.03814376675031154</v>
      </c>
      <c r="L175" s="97"/>
      <c r="M175" s="105"/>
      <c r="N175" s="6"/>
    </row>
    <row r="176" spans="1:14" ht="15.75">
      <c r="A176" s="136"/>
      <c r="B176" s="59" t="s">
        <v>126</v>
      </c>
      <c r="C176" s="113"/>
      <c r="D176" s="59"/>
      <c r="E176" s="113"/>
      <c r="F176" s="27"/>
      <c r="G176" s="115"/>
      <c r="H176" s="59">
        <f>34+14</f>
        <v>48</v>
      </c>
      <c r="I176" s="113">
        <f>H176/$H$180</f>
        <v>0.015533980582524271</v>
      </c>
      <c r="J176" s="58">
        <f>1385+509</f>
        <v>1894</v>
      </c>
      <c r="K176" s="113">
        <f>J176/$J$180</f>
        <v>0.01616565097898636</v>
      </c>
      <c r="L176" s="97"/>
      <c r="M176" s="105"/>
      <c r="N176" s="6"/>
    </row>
    <row r="177" spans="1:14" ht="15.75">
      <c r="A177" s="136"/>
      <c r="B177" s="59" t="s">
        <v>127</v>
      </c>
      <c r="C177" s="113"/>
      <c r="D177" s="59"/>
      <c r="E177" s="113"/>
      <c r="F177" s="27"/>
      <c r="G177" s="115"/>
      <c r="H177" s="59">
        <f>33+330+15+101</f>
        <v>479</v>
      </c>
      <c r="I177" s="113">
        <f>H177/$H$180</f>
        <v>0.15501618122977345</v>
      </c>
      <c r="J177" s="58">
        <f>1448+16630+37+550+2216+1082-1000+1</f>
        <v>20964</v>
      </c>
      <c r="K177" s="113">
        <f>J177/$J$180</f>
        <v>0.17893173554565472</v>
      </c>
      <c r="L177" s="97"/>
      <c r="M177" s="105"/>
      <c r="N177" s="6"/>
    </row>
    <row r="178" spans="1:14" ht="15.75">
      <c r="A178" s="136"/>
      <c r="B178" s="30"/>
      <c r="C178" s="113"/>
      <c r="D178" s="59"/>
      <c r="E178" s="113"/>
      <c r="F178" s="27"/>
      <c r="G178" s="115"/>
      <c r="H178" s="59"/>
      <c r="I178" s="113"/>
      <c r="J178" s="58"/>
      <c r="K178" s="114"/>
      <c r="L178" s="97"/>
      <c r="M178" s="105"/>
      <c r="N178" s="6"/>
    </row>
    <row r="179" spans="1:14" ht="15.75">
      <c r="A179" s="136"/>
      <c r="B179" s="59" t="s">
        <v>128</v>
      </c>
      <c r="C179" s="116"/>
      <c r="D179" s="102"/>
      <c r="E179" s="116"/>
      <c r="F179" s="27"/>
      <c r="G179" s="116"/>
      <c r="H179" s="102"/>
      <c r="I179" s="116"/>
      <c r="J179" s="58">
        <v>808</v>
      </c>
      <c r="K179" s="113">
        <f>J179/$J$180</f>
        <v>0.006896433997371161</v>
      </c>
      <c r="L179" s="97"/>
      <c r="M179" s="105"/>
      <c r="N179" s="6"/>
    </row>
    <row r="180" spans="1:14" ht="15.75">
      <c r="A180" s="136"/>
      <c r="B180" s="27"/>
      <c r="C180" s="27"/>
      <c r="D180" s="27"/>
      <c r="E180" s="27"/>
      <c r="F180" s="27"/>
      <c r="G180" s="27"/>
      <c r="H180" s="57">
        <f>SUM(H174:H178)</f>
        <v>3090</v>
      </c>
      <c r="I180" s="114">
        <f>SUM(I174:I177)</f>
        <v>1</v>
      </c>
      <c r="J180" s="58">
        <f>SUM(J174:J179)</f>
        <v>117162</v>
      </c>
      <c r="K180" s="114">
        <f>SUM(K174:K179)</f>
        <v>1</v>
      </c>
      <c r="L180" s="97"/>
      <c r="M180" s="27"/>
      <c r="N180" s="6"/>
    </row>
    <row r="181" spans="1:14" ht="15.75">
      <c r="A181" s="136"/>
      <c r="B181" s="27"/>
      <c r="C181" s="27"/>
      <c r="D181" s="27"/>
      <c r="E181" s="27"/>
      <c r="F181" s="27"/>
      <c r="G181" s="27"/>
      <c r="H181" s="57"/>
      <c r="I181" s="114"/>
      <c r="J181" s="58"/>
      <c r="K181" s="114"/>
      <c r="L181" s="97"/>
      <c r="M181" s="27"/>
      <c r="N181" s="6"/>
    </row>
    <row r="182" spans="1:14" ht="15.75">
      <c r="A182" s="119"/>
      <c r="B182" s="10"/>
      <c r="C182" s="10"/>
      <c r="D182" s="10"/>
      <c r="E182" s="10"/>
      <c r="F182" s="10"/>
      <c r="G182" s="10"/>
      <c r="H182" s="60"/>
      <c r="I182" s="117"/>
      <c r="J182" s="118"/>
      <c r="K182" s="117"/>
      <c r="L182" s="79"/>
      <c r="M182" s="10"/>
      <c r="N182" s="6"/>
    </row>
    <row r="183" spans="1:14" ht="15.75">
      <c r="A183" s="119"/>
      <c r="B183" s="17" t="s">
        <v>129</v>
      </c>
      <c r="C183" s="120"/>
      <c r="D183" s="20" t="s">
        <v>144</v>
      </c>
      <c r="E183" s="18"/>
      <c r="F183" s="17" t="s">
        <v>154</v>
      </c>
      <c r="G183" s="121"/>
      <c r="H183" s="121"/>
      <c r="I183" s="121"/>
      <c r="J183" s="121"/>
      <c r="K183" s="15"/>
      <c r="L183" s="15"/>
      <c r="M183" s="15"/>
      <c r="N183" s="6"/>
    </row>
    <row r="184" spans="1:14" ht="15.75">
      <c r="A184" s="119"/>
      <c r="B184" s="15"/>
      <c r="C184" s="15"/>
      <c r="D184" s="10"/>
      <c r="E184" s="10"/>
      <c r="F184" s="10"/>
      <c r="G184" s="15"/>
      <c r="H184" s="15"/>
      <c r="I184" s="15"/>
      <c r="J184" s="15"/>
      <c r="K184" s="15"/>
      <c r="L184" s="15"/>
      <c r="M184" s="15"/>
      <c r="N184" s="6"/>
    </row>
    <row r="185" spans="1:14" ht="15.75">
      <c r="A185" s="119"/>
      <c r="B185" s="16" t="s">
        <v>130</v>
      </c>
      <c r="C185" s="124"/>
      <c r="D185" s="125" t="s">
        <v>145</v>
      </c>
      <c r="E185" s="16"/>
      <c r="F185" s="16" t="s">
        <v>155</v>
      </c>
      <c r="G185" s="124"/>
      <c r="H185" s="124"/>
      <c r="I185" s="124"/>
      <c r="J185" s="124"/>
      <c r="K185" s="15"/>
      <c r="L185" s="15"/>
      <c r="M185" s="15"/>
      <c r="N185" s="6"/>
    </row>
    <row r="186" spans="1:14" ht="15.75">
      <c r="A186" s="119"/>
      <c r="B186" s="16" t="s">
        <v>131</v>
      </c>
      <c r="C186" s="124"/>
      <c r="D186" s="125" t="s">
        <v>146</v>
      </c>
      <c r="E186" s="16"/>
      <c r="F186" s="16" t="s">
        <v>156</v>
      </c>
      <c r="G186" s="124"/>
      <c r="H186" s="124"/>
      <c r="I186" s="124"/>
      <c r="J186" s="124"/>
      <c r="K186" s="15"/>
      <c r="L186" s="15"/>
      <c r="M186" s="15"/>
      <c r="N186" s="6"/>
    </row>
    <row r="187" spans="1:14" ht="15">
      <c r="A187" s="119"/>
      <c r="B187" s="15"/>
      <c r="C187" s="15"/>
      <c r="D187" s="15"/>
      <c r="E187" s="15"/>
      <c r="F187" s="15"/>
      <c r="G187" s="15"/>
      <c r="H187" s="15"/>
      <c r="I187" s="15"/>
      <c r="J187" s="15"/>
      <c r="K187" s="15"/>
      <c r="L187" s="15"/>
      <c r="M187" s="15"/>
      <c r="N187" s="6"/>
    </row>
    <row r="188" spans="1:14" ht="15">
      <c r="A188" s="131"/>
      <c r="B188" s="131"/>
      <c r="C188" s="131"/>
      <c r="D188" s="131"/>
      <c r="E188" s="131"/>
      <c r="F188" s="131"/>
      <c r="G188" s="131"/>
      <c r="H188" s="131"/>
      <c r="I188" s="131"/>
      <c r="J188" s="131"/>
      <c r="K188" s="131"/>
      <c r="L188" s="131"/>
      <c r="M188" s="131"/>
      <c r="N188" s="7"/>
    </row>
  </sheetData>
  <printOptions/>
  <pageMargins left="0.5" right="0.5" top="0.3" bottom="0.3423611111111111" header="0" footer="0"/>
  <pageSetup orientation="landscape" paperSize="9" scale="63"/>
  <headerFooter alignWithMargins="0">
    <oddFooter>&amp;LFFP1 INVESTOR REPORT QTR END AUGUST 2001</oddFooter>
  </headerFooter>
</worksheet>
</file>

<file path=xl/worksheets/sheet5.xml><?xml version="1.0" encoding="utf-8"?>
<worksheet xmlns="http://schemas.openxmlformats.org/spreadsheetml/2006/main" xmlns:r="http://schemas.openxmlformats.org/officeDocument/2006/relationships">
  <dimension ref="A1:N188"/>
  <sheetViews>
    <sheetView showOutlineSymbols="0" zoomScale="70" zoomScaleNormal="70" workbookViewId="0" topLeftCell="C1">
      <selection activeCell="M8" sqref="M8"/>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9.6640625" style="1" customWidth="1"/>
    <col min="12" max="12" width="13.6640625" style="1" customWidth="1"/>
    <col min="13" max="13" width="18.99609375" style="1" customWidth="1"/>
    <col min="14" max="16384" width="9.6640625" style="1" customWidth="1"/>
  </cols>
  <sheetData>
    <row r="1" spans="1:14" ht="20.25">
      <c r="A1" s="135"/>
      <c r="B1" s="3" t="s">
        <v>0</v>
      </c>
      <c r="C1" s="4"/>
      <c r="D1" s="5"/>
      <c r="E1" s="5"/>
      <c r="F1" s="5"/>
      <c r="G1" s="5"/>
      <c r="H1" s="5"/>
      <c r="I1" s="5"/>
      <c r="J1" s="5"/>
      <c r="K1" s="5"/>
      <c r="L1" s="5"/>
      <c r="M1" s="5"/>
      <c r="N1" s="6"/>
    </row>
    <row r="2" spans="1:14" ht="15.75">
      <c r="A2" s="119"/>
      <c r="B2" s="9"/>
      <c r="C2" s="9"/>
      <c r="D2" s="10"/>
      <c r="E2" s="10"/>
      <c r="F2" s="10"/>
      <c r="G2" s="10"/>
      <c r="H2" s="10"/>
      <c r="I2" s="10"/>
      <c r="J2" s="10"/>
      <c r="K2" s="10"/>
      <c r="L2" s="10"/>
      <c r="M2" s="10"/>
      <c r="N2" s="6"/>
    </row>
    <row r="3" spans="1:14" ht="15.75">
      <c r="A3" s="119"/>
      <c r="B3" s="12" t="s">
        <v>1</v>
      </c>
      <c r="C3" s="10"/>
      <c r="D3" s="10"/>
      <c r="E3" s="10"/>
      <c r="F3" s="10"/>
      <c r="G3" s="10"/>
      <c r="H3" s="10"/>
      <c r="I3" s="10"/>
      <c r="J3" s="10"/>
      <c r="K3" s="10"/>
      <c r="L3" s="10"/>
      <c r="M3" s="10"/>
      <c r="N3" s="6"/>
    </row>
    <row r="4" spans="1:14" ht="15.75">
      <c r="A4" s="119"/>
      <c r="B4" s="9"/>
      <c r="C4" s="9"/>
      <c r="D4" s="10"/>
      <c r="E4" s="10"/>
      <c r="F4" s="10"/>
      <c r="G4" s="10"/>
      <c r="H4" s="10"/>
      <c r="I4" s="10"/>
      <c r="J4" s="10"/>
      <c r="K4" s="10"/>
      <c r="L4" s="10"/>
      <c r="M4" s="10"/>
      <c r="N4" s="6"/>
    </row>
    <row r="5" spans="1:14" ht="15.75">
      <c r="A5" s="119"/>
      <c r="B5" s="13" t="s">
        <v>2</v>
      </c>
      <c r="C5" s="14"/>
      <c r="D5" s="10"/>
      <c r="E5" s="10"/>
      <c r="F5" s="10"/>
      <c r="G5" s="10"/>
      <c r="H5" s="10"/>
      <c r="I5" s="10"/>
      <c r="J5" s="10"/>
      <c r="K5" s="10"/>
      <c r="L5" s="10"/>
      <c r="M5" s="10"/>
      <c r="N5" s="6"/>
    </row>
    <row r="6" spans="1:14" ht="15.75">
      <c r="A6" s="119"/>
      <c r="B6" s="13" t="s">
        <v>3</v>
      </c>
      <c r="C6" s="14"/>
      <c r="D6" s="10"/>
      <c r="E6" s="10"/>
      <c r="F6" s="10"/>
      <c r="G6" s="10"/>
      <c r="H6" s="10"/>
      <c r="I6" s="10"/>
      <c r="J6" s="10"/>
      <c r="K6" s="10"/>
      <c r="L6" s="10"/>
      <c r="M6" s="10"/>
      <c r="N6" s="6"/>
    </row>
    <row r="7" spans="1:14" ht="15.75">
      <c r="A7" s="119"/>
      <c r="B7" s="13" t="s">
        <v>4</v>
      </c>
      <c r="C7" s="14"/>
      <c r="D7" s="10"/>
      <c r="E7" s="10"/>
      <c r="F7" s="10"/>
      <c r="G7" s="10"/>
      <c r="H7" s="10"/>
      <c r="I7" s="10"/>
      <c r="J7" s="10"/>
      <c r="K7" s="10"/>
      <c r="L7" s="10"/>
      <c r="M7" s="10"/>
      <c r="N7" s="6"/>
    </row>
    <row r="8" spans="1:14" ht="15.75">
      <c r="A8" s="119"/>
      <c r="B8" s="15"/>
      <c r="C8" s="14"/>
      <c r="D8" s="10"/>
      <c r="E8" s="10"/>
      <c r="F8" s="10"/>
      <c r="G8" s="10"/>
      <c r="H8" s="10"/>
      <c r="I8" s="10"/>
      <c r="J8" s="10"/>
      <c r="K8" s="10"/>
      <c r="L8" s="10"/>
      <c r="M8" s="10"/>
      <c r="N8" s="6"/>
    </row>
    <row r="9" spans="1:14" ht="15.75">
      <c r="A9" s="119"/>
      <c r="B9" s="14"/>
      <c r="C9" s="14"/>
      <c r="D9" s="16"/>
      <c r="E9" s="16"/>
      <c r="F9" s="10"/>
      <c r="G9" s="10"/>
      <c r="H9" s="10"/>
      <c r="I9" s="10"/>
      <c r="J9" s="10"/>
      <c r="K9" s="10"/>
      <c r="L9" s="10"/>
      <c r="M9" s="10"/>
      <c r="N9" s="6"/>
    </row>
    <row r="10" spans="1:14" ht="15.75">
      <c r="A10" s="119"/>
      <c r="B10" s="17" t="s">
        <v>5</v>
      </c>
      <c r="C10" s="16"/>
      <c r="D10" s="10"/>
      <c r="E10" s="10"/>
      <c r="F10" s="10"/>
      <c r="G10" s="10"/>
      <c r="H10" s="10"/>
      <c r="I10" s="10"/>
      <c r="J10" s="10"/>
      <c r="K10" s="10"/>
      <c r="L10" s="10"/>
      <c r="M10" s="10"/>
      <c r="N10" s="6"/>
    </row>
    <row r="11" spans="1:14" ht="15.75">
      <c r="A11" s="119"/>
      <c r="B11" s="16"/>
      <c r="C11" s="16"/>
      <c r="D11" s="10"/>
      <c r="E11" s="10"/>
      <c r="F11" s="10"/>
      <c r="G11" s="10"/>
      <c r="H11" s="10"/>
      <c r="I11" s="10"/>
      <c r="J11" s="10"/>
      <c r="K11" s="10"/>
      <c r="L11" s="10"/>
      <c r="M11" s="10"/>
      <c r="N11" s="6"/>
    </row>
    <row r="12" spans="1:14" ht="15.75">
      <c r="A12" s="135"/>
      <c r="B12" s="5"/>
      <c r="C12" s="5"/>
      <c r="D12" s="5"/>
      <c r="E12" s="5"/>
      <c r="F12" s="5"/>
      <c r="G12" s="5"/>
      <c r="H12" s="5"/>
      <c r="I12" s="5"/>
      <c r="J12" s="5"/>
      <c r="K12" s="5"/>
      <c r="L12" s="5"/>
      <c r="M12" s="5"/>
      <c r="N12" s="6"/>
    </row>
    <row r="13" spans="1:14" ht="15.75">
      <c r="A13" s="119"/>
      <c r="B13" s="17" t="s">
        <v>6</v>
      </c>
      <c r="C13" s="17"/>
      <c r="D13" s="18"/>
      <c r="E13" s="18"/>
      <c r="F13" s="18"/>
      <c r="G13" s="18"/>
      <c r="H13" s="18"/>
      <c r="I13" s="18"/>
      <c r="J13" s="18"/>
      <c r="K13" s="18"/>
      <c r="L13" s="19" t="s">
        <v>183</v>
      </c>
      <c r="M13" s="10"/>
      <c r="N13" s="6"/>
    </row>
    <row r="14" spans="1:14" ht="15.75">
      <c r="A14" s="119"/>
      <c r="B14" s="17" t="s">
        <v>7</v>
      </c>
      <c r="C14" s="17"/>
      <c r="D14" s="18"/>
      <c r="E14" s="18"/>
      <c r="F14" s="18"/>
      <c r="G14" s="18"/>
      <c r="H14" s="18"/>
      <c r="I14" s="18"/>
      <c r="J14" s="18"/>
      <c r="K14" s="18"/>
      <c r="L14" s="20" t="s">
        <v>184</v>
      </c>
      <c r="M14" s="10"/>
      <c r="N14" s="6"/>
    </row>
    <row r="15" spans="1:14" ht="15.75">
      <c r="A15" s="119"/>
      <c r="B15" s="17" t="s">
        <v>8</v>
      </c>
      <c r="C15" s="17"/>
      <c r="D15" s="18"/>
      <c r="E15" s="18"/>
      <c r="F15" s="18"/>
      <c r="G15" s="18"/>
      <c r="H15" s="18"/>
      <c r="I15" s="18"/>
      <c r="J15" s="18"/>
      <c r="K15" s="18"/>
      <c r="L15" s="21">
        <v>36683</v>
      </c>
      <c r="M15" s="10"/>
      <c r="N15" s="6"/>
    </row>
    <row r="16" spans="1:14" ht="15.75">
      <c r="A16" s="119"/>
      <c r="B16" s="10"/>
      <c r="C16" s="10"/>
      <c r="D16" s="10"/>
      <c r="E16" s="10"/>
      <c r="F16" s="10"/>
      <c r="G16" s="10"/>
      <c r="H16" s="10"/>
      <c r="I16" s="10"/>
      <c r="J16" s="10"/>
      <c r="K16" s="10"/>
      <c r="L16" s="22"/>
      <c r="M16" s="10"/>
      <c r="N16" s="6"/>
    </row>
    <row r="17" spans="1:14" ht="15.75">
      <c r="A17" s="119"/>
      <c r="B17" s="10" t="s">
        <v>9</v>
      </c>
      <c r="C17" s="10"/>
      <c r="D17" s="10"/>
      <c r="E17" s="10"/>
      <c r="F17" s="10"/>
      <c r="G17" s="10"/>
      <c r="H17" s="10"/>
      <c r="I17" s="10"/>
      <c r="J17" s="22" t="s">
        <v>166</v>
      </c>
      <c r="K17" s="10"/>
      <c r="L17" s="15"/>
      <c r="M17" s="10"/>
      <c r="N17" s="6"/>
    </row>
    <row r="18" spans="1:14" ht="15.75">
      <c r="A18" s="119"/>
      <c r="B18" s="10"/>
      <c r="C18" s="10"/>
      <c r="D18" s="10"/>
      <c r="E18" s="10"/>
      <c r="F18" s="10"/>
      <c r="G18" s="10"/>
      <c r="H18" s="10"/>
      <c r="I18" s="10"/>
      <c r="J18" s="10"/>
      <c r="K18" s="10"/>
      <c r="L18" s="23"/>
      <c r="M18" s="10"/>
      <c r="N18" s="6"/>
    </row>
    <row r="19" spans="1:14" ht="15.75">
      <c r="A19" s="119"/>
      <c r="B19" s="10"/>
      <c r="C19" s="24" t="s">
        <v>132</v>
      </c>
      <c r="D19" s="25" t="s">
        <v>135</v>
      </c>
      <c r="E19" s="25"/>
      <c r="F19" s="25" t="s">
        <v>147</v>
      </c>
      <c r="G19" s="25"/>
      <c r="H19" s="25" t="s">
        <v>157</v>
      </c>
      <c r="I19" s="25"/>
      <c r="J19" s="25" t="s">
        <v>167</v>
      </c>
      <c r="K19" s="15"/>
      <c r="L19" s="15"/>
      <c r="M19" s="10"/>
      <c r="N19" s="6"/>
    </row>
    <row r="20" spans="1:14" ht="15.75">
      <c r="A20" s="136"/>
      <c r="B20" s="27" t="s">
        <v>10</v>
      </c>
      <c r="C20" s="28" t="s">
        <v>133</v>
      </c>
      <c r="D20" s="29" t="s">
        <v>136</v>
      </c>
      <c r="E20" s="29"/>
      <c r="F20" s="29" t="s">
        <v>136</v>
      </c>
      <c r="G20" s="29"/>
      <c r="H20" s="29" t="s">
        <v>158</v>
      </c>
      <c r="I20" s="29"/>
      <c r="J20" s="29" t="s">
        <v>168</v>
      </c>
      <c r="K20" s="30"/>
      <c r="L20" s="30"/>
      <c r="M20" s="27"/>
      <c r="N20" s="6"/>
    </row>
    <row r="21" spans="1:14" ht="15.75">
      <c r="A21" s="136"/>
      <c r="B21" s="31" t="s">
        <v>11</v>
      </c>
      <c r="C21" s="31"/>
      <c r="D21" s="32" t="s">
        <v>136</v>
      </c>
      <c r="E21" s="32"/>
      <c r="F21" s="32" t="s">
        <v>136</v>
      </c>
      <c r="G21" s="32"/>
      <c r="H21" s="32" t="s">
        <v>158</v>
      </c>
      <c r="I21" s="32"/>
      <c r="J21" s="32" t="s">
        <v>168</v>
      </c>
      <c r="K21" s="130"/>
      <c r="L21" s="130"/>
      <c r="M21" s="27"/>
      <c r="N21" s="6"/>
    </row>
    <row r="22" spans="1:14" ht="15.75">
      <c r="A22" s="136"/>
      <c r="B22" s="27" t="s">
        <v>12</v>
      </c>
      <c r="C22" s="27"/>
      <c r="D22" s="33" t="s">
        <v>137</v>
      </c>
      <c r="E22" s="29"/>
      <c r="F22" s="33" t="s">
        <v>148</v>
      </c>
      <c r="G22" s="29"/>
      <c r="H22" s="33" t="s">
        <v>159</v>
      </c>
      <c r="I22" s="29"/>
      <c r="J22" s="33" t="s">
        <v>169</v>
      </c>
      <c r="K22" s="30"/>
      <c r="L22" s="30"/>
      <c r="M22" s="27"/>
      <c r="N22" s="6"/>
    </row>
    <row r="23" spans="1:14" ht="15.75">
      <c r="A23" s="136"/>
      <c r="B23" s="27"/>
      <c r="C23" s="27"/>
      <c r="D23" s="27"/>
      <c r="E23" s="29"/>
      <c r="F23" s="29"/>
      <c r="G23" s="29"/>
      <c r="H23" s="29"/>
      <c r="I23" s="29"/>
      <c r="J23" s="29"/>
      <c r="K23" s="30"/>
      <c r="L23" s="30"/>
      <c r="M23" s="27"/>
      <c r="N23" s="6"/>
    </row>
    <row r="24" spans="1:14" ht="15.75">
      <c r="A24" s="136"/>
      <c r="B24" s="27" t="s">
        <v>13</v>
      </c>
      <c r="C24" s="27"/>
      <c r="D24" s="34">
        <v>67000</v>
      </c>
      <c r="E24" s="35"/>
      <c r="F24" s="34">
        <v>128780</v>
      </c>
      <c r="G24" s="34"/>
      <c r="H24" s="34">
        <v>16920</v>
      </c>
      <c r="I24" s="34"/>
      <c r="J24" s="34">
        <v>11290</v>
      </c>
      <c r="K24" s="36"/>
      <c r="L24" s="34">
        <f>J24+H24+F24+D24</f>
        <v>223990</v>
      </c>
      <c r="M24" s="37"/>
      <c r="N24" s="6"/>
    </row>
    <row r="25" spans="1:14" ht="15.75">
      <c r="A25" s="136"/>
      <c r="B25" s="27" t="s">
        <v>14</v>
      </c>
      <c r="C25" s="93">
        <v>0.704555</v>
      </c>
      <c r="D25" s="34">
        <v>0</v>
      </c>
      <c r="E25" s="35"/>
      <c r="F25" s="34">
        <f>120780*C25</f>
        <v>85096.1529</v>
      </c>
      <c r="G25" s="34"/>
      <c r="H25" s="34">
        <v>16920</v>
      </c>
      <c r="I25" s="34"/>
      <c r="J25" s="34">
        <v>11290</v>
      </c>
      <c r="K25" s="36"/>
      <c r="L25" s="34">
        <f>J25+H25+F25+D25</f>
        <v>113306.1529</v>
      </c>
      <c r="M25" s="37"/>
      <c r="N25" s="6"/>
    </row>
    <row r="26" spans="1:14" ht="15.75">
      <c r="A26" s="137"/>
      <c r="B26" s="31" t="s">
        <v>15</v>
      </c>
      <c r="C26" s="93">
        <v>0.639541</v>
      </c>
      <c r="D26" s="40">
        <v>0</v>
      </c>
      <c r="E26" s="41"/>
      <c r="F26" s="40">
        <f>120780*C26</f>
        <v>77243.76198000001</v>
      </c>
      <c r="G26" s="40"/>
      <c r="H26" s="40">
        <v>16920</v>
      </c>
      <c r="I26" s="40"/>
      <c r="J26" s="40">
        <v>11290</v>
      </c>
      <c r="K26" s="42"/>
      <c r="L26" s="40">
        <f>J26+H26+F26+D26</f>
        <v>105453.76198000001</v>
      </c>
      <c r="M26" s="31"/>
      <c r="N26" s="6"/>
    </row>
    <row r="27" spans="1:14" ht="15.75">
      <c r="A27" s="136"/>
      <c r="B27" s="27" t="s">
        <v>16</v>
      </c>
      <c r="C27" s="27"/>
      <c r="D27" s="33" t="s">
        <v>138</v>
      </c>
      <c r="E27" s="27"/>
      <c r="F27" s="33" t="s">
        <v>149</v>
      </c>
      <c r="G27" s="33"/>
      <c r="H27" s="33" t="s">
        <v>160</v>
      </c>
      <c r="I27" s="33"/>
      <c r="J27" s="33" t="s">
        <v>170</v>
      </c>
      <c r="K27" s="30"/>
      <c r="L27" s="30"/>
      <c r="M27" s="27"/>
      <c r="N27" s="6"/>
    </row>
    <row r="28" spans="1:14" ht="15.75">
      <c r="A28" s="136"/>
      <c r="B28" s="27" t="s">
        <v>17</v>
      </c>
      <c r="C28" s="27"/>
      <c r="D28" s="33" t="s">
        <v>139</v>
      </c>
      <c r="E28" s="27"/>
      <c r="F28" s="43">
        <f>(6.25375+0.13)/100</f>
        <v>0.0638375</v>
      </c>
      <c r="G28" s="44"/>
      <c r="H28" s="43">
        <f>(6.25375+0.35)/100</f>
        <v>0.0660375</v>
      </c>
      <c r="I28" s="44"/>
      <c r="J28" s="43">
        <f>(6.25375+0.69)/100</f>
        <v>0.0694375</v>
      </c>
      <c r="K28" s="30"/>
      <c r="L28" s="44">
        <f>SUMPRODUCT(D28:J28,D25:J25)/L25</f>
        <v>0.06472401849373663</v>
      </c>
      <c r="M28" s="27"/>
      <c r="N28" s="6"/>
    </row>
    <row r="29" spans="1:14" ht="15.75">
      <c r="A29" s="136"/>
      <c r="B29" s="27" t="s">
        <v>18</v>
      </c>
      <c r="C29" s="27"/>
      <c r="D29" s="33" t="s">
        <v>139</v>
      </c>
      <c r="E29" s="27"/>
      <c r="F29" s="43">
        <f>(5.99875+0.13)/100</f>
        <v>0.0612875</v>
      </c>
      <c r="G29" s="44"/>
      <c r="H29" s="43">
        <f>(5.99875+0.35)/100</f>
        <v>0.0634875</v>
      </c>
      <c r="I29" s="44"/>
      <c r="J29" s="43">
        <f>(5.99875+0.69)/100</f>
        <v>0.0668875</v>
      </c>
      <c r="K29" s="30"/>
      <c r="L29" s="30"/>
      <c r="M29" s="27"/>
      <c r="N29" s="6"/>
    </row>
    <row r="30" spans="1:14" ht="15.75">
      <c r="A30" s="136"/>
      <c r="B30" s="27" t="s">
        <v>19</v>
      </c>
      <c r="C30" s="27"/>
      <c r="D30" s="33" t="s">
        <v>140</v>
      </c>
      <c r="E30" s="27"/>
      <c r="F30" s="33" t="s">
        <v>150</v>
      </c>
      <c r="G30" s="33"/>
      <c r="H30" s="33" t="s">
        <v>150</v>
      </c>
      <c r="I30" s="33"/>
      <c r="J30" s="33" t="s">
        <v>150</v>
      </c>
      <c r="K30" s="30"/>
      <c r="L30" s="30"/>
      <c r="M30" s="27"/>
      <c r="N30" s="6"/>
    </row>
    <row r="31" spans="1:14" ht="15.75">
      <c r="A31" s="136"/>
      <c r="B31" s="27" t="s">
        <v>20</v>
      </c>
      <c r="C31" s="27"/>
      <c r="D31" s="33" t="s">
        <v>141</v>
      </c>
      <c r="E31" s="27"/>
      <c r="F31" s="33" t="s">
        <v>151</v>
      </c>
      <c r="G31" s="33"/>
      <c r="H31" s="33" t="s">
        <v>151</v>
      </c>
      <c r="I31" s="33"/>
      <c r="J31" s="33" t="s">
        <v>151</v>
      </c>
      <c r="K31" s="30"/>
      <c r="L31" s="30"/>
      <c r="M31" s="27"/>
      <c r="N31" s="6"/>
    </row>
    <row r="32" spans="1:14" ht="15.75">
      <c r="A32" s="136"/>
      <c r="B32" s="27" t="s">
        <v>21</v>
      </c>
      <c r="C32" s="27"/>
      <c r="D32" s="33" t="s">
        <v>142</v>
      </c>
      <c r="E32" s="27"/>
      <c r="F32" s="33" t="s">
        <v>152</v>
      </c>
      <c r="G32" s="33"/>
      <c r="H32" s="33" t="s">
        <v>161</v>
      </c>
      <c r="I32" s="33"/>
      <c r="J32" s="33" t="s">
        <v>171</v>
      </c>
      <c r="K32" s="30"/>
      <c r="L32" s="30"/>
      <c r="M32" s="27"/>
      <c r="N32" s="6"/>
    </row>
    <row r="33" spans="1:14" ht="15.75">
      <c r="A33" s="136"/>
      <c r="B33" s="27"/>
      <c r="C33" s="27"/>
      <c r="D33" s="45"/>
      <c r="E33" s="45"/>
      <c r="F33" s="27"/>
      <c r="G33" s="45"/>
      <c r="H33" s="45"/>
      <c r="I33" s="45"/>
      <c r="J33" s="45"/>
      <c r="K33" s="45"/>
      <c r="L33" s="45"/>
      <c r="M33" s="27"/>
      <c r="N33" s="6"/>
    </row>
    <row r="34" spans="1:14" ht="15.75">
      <c r="A34" s="136"/>
      <c r="B34" s="27" t="s">
        <v>22</v>
      </c>
      <c r="C34" s="27"/>
      <c r="D34" s="27"/>
      <c r="E34" s="27"/>
      <c r="F34" s="27"/>
      <c r="G34" s="27"/>
      <c r="H34" s="27"/>
      <c r="I34" s="27"/>
      <c r="J34" s="27"/>
      <c r="K34" s="27"/>
      <c r="L34" s="44">
        <f>(H24+J24)/(D24+F24)</f>
        <v>0.14409030544488713</v>
      </c>
      <c r="M34" s="27"/>
      <c r="N34" s="6"/>
    </row>
    <row r="35" spans="1:14" ht="15.75">
      <c r="A35" s="136"/>
      <c r="B35" s="27" t="s">
        <v>23</v>
      </c>
      <c r="C35" s="27"/>
      <c r="D35" s="27"/>
      <c r="E35" s="27"/>
      <c r="F35" s="27"/>
      <c r="G35" s="27"/>
      <c r="H35" s="27"/>
      <c r="I35" s="27"/>
      <c r="J35" s="27"/>
      <c r="K35" s="27"/>
      <c r="L35" s="44">
        <f>(H26+J26)/(D26+F26)</f>
        <v>0.36520748442190254</v>
      </c>
      <c r="M35" s="27"/>
      <c r="N35" s="6"/>
    </row>
    <row r="36" spans="1:14" ht="15.75">
      <c r="A36" s="136"/>
      <c r="B36" s="27" t="s">
        <v>24</v>
      </c>
      <c r="C36" s="27"/>
      <c r="D36" s="27"/>
      <c r="E36" s="27"/>
      <c r="F36" s="27"/>
      <c r="G36" s="27"/>
      <c r="H36" s="27"/>
      <c r="I36" s="27"/>
      <c r="J36" s="33" t="s">
        <v>172</v>
      </c>
      <c r="K36" s="33" t="s">
        <v>182</v>
      </c>
      <c r="L36" s="34">
        <v>83785000</v>
      </c>
      <c r="M36" s="27"/>
      <c r="N36" s="6"/>
    </row>
    <row r="37" spans="1:14" ht="15.75">
      <c r="A37" s="136"/>
      <c r="B37" s="27"/>
      <c r="C37" s="27"/>
      <c r="D37" s="27"/>
      <c r="E37" s="27"/>
      <c r="F37" s="27"/>
      <c r="G37" s="27"/>
      <c r="H37" s="27"/>
      <c r="I37" s="27"/>
      <c r="J37" s="27"/>
      <c r="K37" s="27"/>
      <c r="L37" s="46"/>
      <c r="M37" s="27"/>
      <c r="N37" s="6"/>
    </row>
    <row r="38" spans="1:14" ht="15.75">
      <c r="A38" s="136"/>
      <c r="B38" s="27" t="s">
        <v>25</v>
      </c>
      <c r="C38" s="27"/>
      <c r="D38" s="27"/>
      <c r="E38" s="27"/>
      <c r="F38" s="27"/>
      <c r="G38" s="27"/>
      <c r="H38" s="27"/>
      <c r="I38" s="27"/>
      <c r="J38" s="33"/>
      <c r="K38" s="33"/>
      <c r="L38" s="33" t="s">
        <v>185</v>
      </c>
      <c r="M38" s="27"/>
      <c r="N38" s="6"/>
    </row>
    <row r="39" spans="1:14" ht="15.75">
      <c r="A39" s="136"/>
      <c r="B39" s="31" t="s">
        <v>26</v>
      </c>
      <c r="C39" s="31"/>
      <c r="D39" s="31"/>
      <c r="E39" s="31"/>
      <c r="F39" s="31"/>
      <c r="G39" s="31"/>
      <c r="H39" s="31"/>
      <c r="I39" s="31"/>
      <c r="J39" s="47"/>
      <c r="K39" s="47"/>
      <c r="L39" s="48">
        <v>36677</v>
      </c>
      <c r="M39" s="31"/>
      <c r="N39" s="6"/>
    </row>
    <row r="40" spans="1:14" ht="15.75">
      <c r="A40" s="136"/>
      <c r="B40" s="27" t="s">
        <v>27</v>
      </c>
      <c r="C40" s="27"/>
      <c r="D40" s="27"/>
      <c r="E40" s="27"/>
      <c r="F40" s="27"/>
      <c r="G40" s="27"/>
      <c r="H40" s="30"/>
      <c r="I40" s="27">
        <f>L40-J40+1</f>
        <v>91</v>
      </c>
      <c r="J40" s="49">
        <v>36494</v>
      </c>
      <c r="K40" s="50"/>
      <c r="L40" s="49">
        <v>36584</v>
      </c>
      <c r="M40" s="27"/>
      <c r="N40" s="6"/>
    </row>
    <row r="41" spans="1:14" ht="15.75">
      <c r="A41" s="136"/>
      <c r="B41" s="27" t="s">
        <v>28</v>
      </c>
      <c r="C41" s="27"/>
      <c r="D41" s="27"/>
      <c r="E41" s="27"/>
      <c r="F41" s="27"/>
      <c r="G41" s="27"/>
      <c r="H41" s="30"/>
      <c r="I41" s="27">
        <f>L41-J41+1</f>
        <v>92</v>
      </c>
      <c r="J41" s="49">
        <v>36585</v>
      </c>
      <c r="K41" s="50"/>
      <c r="L41" s="49">
        <v>36676</v>
      </c>
      <c r="M41" s="27"/>
      <c r="N41" s="6"/>
    </row>
    <row r="42" spans="1:14" ht="15.75">
      <c r="A42" s="136"/>
      <c r="B42" s="27" t="s">
        <v>29</v>
      </c>
      <c r="C42" s="27"/>
      <c r="D42" s="27"/>
      <c r="E42" s="27"/>
      <c r="F42" s="27"/>
      <c r="G42" s="27"/>
      <c r="H42" s="27"/>
      <c r="I42" s="27"/>
      <c r="J42" s="49"/>
      <c r="K42" s="50"/>
      <c r="L42" s="49" t="s">
        <v>199</v>
      </c>
      <c r="M42" s="27"/>
      <c r="N42" s="6"/>
    </row>
    <row r="43" spans="1:14" ht="15.75">
      <c r="A43" s="136"/>
      <c r="B43" s="27" t="s">
        <v>30</v>
      </c>
      <c r="C43" s="27"/>
      <c r="D43" s="27"/>
      <c r="E43" s="27"/>
      <c r="F43" s="27"/>
      <c r="G43" s="27"/>
      <c r="H43" s="27"/>
      <c r="I43" s="27"/>
      <c r="J43" s="49"/>
      <c r="K43" s="50"/>
      <c r="L43" s="49">
        <v>36668</v>
      </c>
      <c r="M43" s="27"/>
      <c r="N43" s="6"/>
    </row>
    <row r="44" spans="1:14" ht="15.75">
      <c r="A44" s="136"/>
      <c r="B44" s="27"/>
      <c r="C44" s="27"/>
      <c r="D44" s="27"/>
      <c r="E44" s="27"/>
      <c r="F44" s="27"/>
      <c r="G44" s="27"/>
      <c r="H44" s="27"/>
      <c r="I44" s="27"/>
      <c r="J44" s="27"/>
      <c r="K44" s="27"/>
      <c r="L44" s="51"/>
      <c r="M44" s="27"/>
      <c r="N44" s="6"/>
    </row>
    <row r="45" spans="1:14" ht="15.75">
      <c r="A45" s="135"/>
      <c r="B45" s="5"/>
      <c r="C45" s="5"/>
      <c r="D45" s="5"/>
      <c r="E45" s="5"/>
      <c r="F45" s="5"/>
      <c r="G45" s="5"/>
      <c r="H45" s="5"/>
      <c r="I45" s="5"/>
      <c r="J45" s="5"/>
      <c r="K45" s="5"/>
      <c r="L45" s="52"/>
      <c r="M45" s="5"/>
      <c r="N45" s="6"/>
    </row>
    <row r="46" spans="1:14" ht="15.75">
      <c r="A46" s="119"/>
      <c r="B46" s="63" t="s">
        <v>31</v>
      </c>
      <c r="C46" s="16"/>
      <c r="D46" s="10"/>
      <c r="E46" s="10"/>
      <c r="F46" s="10"/>
      <c r="G46" s="10"/>
      <c r="H46" s="10"/>
      <c r="I46" s="10"/>
      <c r="J46" s="10"/>
      <c r="K46" s="10"/>
      <c r="L46" s="53"/>
      <c r="M46" s="10"/>
      <c r="N46" s="6"/>
    </row>
    <row r="47" spans="1:14" ht="15.75">
      <c r="A47" s="119"/>
      <c r="B47" s="16"/>
      <c r="C47" s="16"/>
      <c r="D47" s="10"/>
      <c r="E47" s="10"/>
      <c r="F47" s="10"/>
      <c r="G47" s="10"/>
      <c r="H47" s="10"/>
      <c r="I47" s="10"/>
      <c r="J47" s="10"/>
      <c r="K47" s="10"/>
      <c r="L47" s="53"/>
      <c r="M47" s="10"/>
      <c r="N47" s="6"/>
    </row>
    <row r="48" spans="1:14" ht="63">
      <c r="A48" s="119"/>
      <c r="B48" s="54" t="s">
        <v>32</v>
      </c>
      <c r="C48" s="55" t="s">
        <v>134</v>
      </c>
      <c r="D48" s="55" t="s">
        <v>143</v>
      </c>
      <c r="E48" s="55"/>
      <c r="F48" s="55" t="s">
        <v>153</v>
      </c>
      <c r="G48" s="55"/>
      <c r="H48" s="55" t="s">
        <v>162</v>
      </c>
      <c r="I48" s="55"/>
      <c r="J48" s="55" t="s">
        <v>173</v>
      </c>
      <c r="K48" s="55"/>
      <c r="L48" s="56" t="s">
        <v>187</v>
      </c>
      <c r="M48" s="10"/>
      <c r="N48" s="6"/>
    </row>
    <row r="49" spans="1:14" ht="15.75">
      <c r="A49" s="136"/>
      <c r="B49" s="27" t="s">
        <v>33</v>
      </c>
      <c r="C49" s="57">
        <v>220604</v>
      </c>
      <c r="D49" s="58">
        <v>116354</v>
      </c>
      <c r="E49" s="57"/>
      <c r="F49" s="57">
        <f>7562+234+95-1</f>
        <v>7890</v>
      </c>
      <c r="G49" s="57"/>
      <c r="H49" s="57">
        <v>234</v>
      </c>
      <c r="I49" s="57"/>
      <c r="J49" s="57">
        <v>0</v>
      </c>
      <c r="K49" s="57"/>
      <c r="L49" s="58">
        <f>D49-F49+H49-J49</f>
        <v>108698</v>
      </c>
      <c r="M49" s="27"/>
      <c r="N49" s="6"/>
    </row>
    <row r="50" spans="1:14" ht="15.75">
      <c r="A50" s="136"/>
      <c r="B50" s="27" t="s">
        <v>34</v>
      </c>
      <c r="C50" s="57">
        <v>5129</v>
      </c>
      <c r="D50" s="58">
        <v>808</v>
      </c>
      <c r="E50" s="57"/>
      <c r="F50" s="57">
        <v>147</v>
      </c>
      <c r="G50" s="57"/>
      <c r="H50" s="57">
        <v>0</v>
      </c>
      <c r="I50" s="57"/>
      <c r="J50" s="57">
        <v>0</v>
      </c>
      <c r="K50" s="57"/>
      <c r="L50" s="58">
        <f>D50-F50</f>
        <v>661</v>
      </c>
      <c r="M50" s="27"/>
      <c r="N50" s="6"/>
    </row>
    <row r="51" spans="1:14" ht="15.75">
      <c r="A51" s="136"/>
      <c r="B51" s="27"/>
      <c r="C51" s="57"/>
      <c r="D51" s="58"/>
      <c r="E51" s="57"/>
      <c r="F51" s="57"/>
      <c r="G51" s="57"/>
      <c r="H51" s="57"/>
      <c r="I51" s="57"/>
      <c r="J51" s="57"/>
      <c r="K51" s="57"/>
      <c r="L51" s="58"/>
      <c r="M51" s="27"/>
      <c r="N51" s="6"/>
    </row>
    <row r="52" spans="1:14" ht="15.75">
      <c r="A52" s="136"/>
      <c r="B52" s="27" t="s">
        <v>35</v>
      </c>
      <c r="C52" s="57">
        <f>SUM(C49:C51)</f>
        <v>225733</v>
      </c>
      <c r="D52" s="59">
        <f>D50+D49</f>
        <v>117162</v>
      </c>
      <c r="E52" s="57"/>
      <c r="F52" s="57">
        <f>SUM(F49:F51)</f>
        <v>8037</v>
      </c>
      <c r="G52" s="57"/>
      <c r="H52" s="57">
        <f>SUM(H49:H51)</f>
        <v>234</v>
      </c>
      <c r="I52" s="57"/>
      <c r="J52" s="57">
        <f>SUM(J49:J51)</f>
        <v>0</v>
      </c>
      <c r="K52" s="57"/>
      <c r="L52" s="59">
        <f>SUM(L49:L51)</f>
        <v>109359</v>
      </c>
      <c r="M52" s="27"/>
      <c r="N52" s="6"/>
    </row>
    <row r="53" spans="1:14" ht="15.75">
      <c r="A53" s="136"/>
      <c r="B53" s="27"/>
      <c r="C53" s="57"/>
      <c r="D53" s="59"/>
      <c r="E53" s="57"/>
      <c r="F53" s="57"/>
      <c r="G53" s="57"/>
      <c r="H53" s="57"/>
      <c r="I53" s="57"/>
      <c r="J53" s="57"/>
      <c r="K53" s="57"/>
      <c r="L53" s="59"/>
      <c r="M53" s="27"/>
      <c r="N53" s="6"/>
    </row>
    <row r="54" spans="1:14" ht="15.75">
      <c r="A54" s="119"/>
      <c r="B54" s="12" t="s">
        <v>36</v>
      </c>
      <c r="C54" s="60"/>
      <c r="D54" s="62"/>
      <c r="E54" s="60"/>
      <c r="F54" s="61"/>
      <c r="G54" s="60"/>
      <c r="H54" s="60"/>
      <c r="I54" s="60"/>
      <c r="J54" s="60"/>
      <c r="K54" s="60"/>
      <c r="L54" s="62"/>
      <c r="M54" s="10"/>
      <c r="N54" s="6"/>
    </row>
    <row r="55" spans="1:14" ht="15.75">
      <c r="A55" s="119"/>
      <c r="B55" s="10"/>
      <c r="C55" s="60"/>
      <c r="D55" s="118"/>
      <c r="E55" s="60"/>
      <c r="F55" s="60"/>
      <c r="G55" s="60"/>
      <c r="H55" s="60"/>
      <c r="I55" s="60"/>
      <c r="J55" s="60"/>
      <c r="K55" s="60"/>
      <c r="L55" s="118"/>
      <c r="M55" s="10"/>
      <c r="N55" s="6"/>
    </row>
    <row r="56" spans="1:14" ht="15.75">
      <c r="A56" s="136"/>
      <c r="B56" s="27" t="s">
        <v>33</v>
      </c>
      <c r="C56" s="57"/>
      <c r="D56" s="59"/>
      <c r="E56" s="57"/>
      <c r="F56" s="57"/>
      <c r="G56" s="57"/>
      <c r="H56" s="57"/>
      <c r="I56" s="57"/>
      <c r="J56" s="57"/>
      <c r="K56" s="57"/>
      <c r="L56" s="59"/>
      <c r="M56" s="27"/>
      <c r="N56" s="6"/>
    </row>
    <row r="57" spans="1:14" ht="15.75">
      <c r="A57" s="136"/>
      <c r="B57" s="27" t="s">
        <v>34</v>
      </c>
      <c r="C57" s="57"/>
      <c r="D57" s="59"/>
      <c r="E57" s="57"/>
      <c r="F57" s="57"/>
      <c r="G57" s="57"/>
      <c r="H57" s="57"/>
      <c r="I57" s="57"/>
      <c r="J57" s="57"/>
      <c r="K57" s="57"/>
      <c r="L57" s="59"/>
      <c r="M57" s="27"/>
      <c r="N57" s="6"/>
    </row>
    <row r="58" spans="1:14" ht="15.75">
      <c r="A58" s="136"/>
      <c r="B58" s="27"/>
      <c r="C58" s="57"/>
      <c r="D58" s="59"/>
      <c r="E58" s="57"/>
      <c r="F58" s="57"/>
      <c r="G58" s="57"/>
      <c r="H58" s="57"/>
      <c r="I58" s="57"/>
      <c r="J58" s="57"/>
      <c r="K58" s="57"/>
      <c r="L58" s="59"/>
      <c r="M58" s="27"/>
      <c r="N58" s="6"/>
    </row>
    <row r="59" spans="1:14" ht="15.75">
      <c r="A59" s="136"/>
      <c r="B59" s="27" t="s">
        <v>35</v>
      </c>
      <c r="C59" s="57"/>
      <c r="D59" s="59"/>
      <c r="E59" s="57"/>
      <c r="F59" s="57"/>
      <c r="G59" s="57"/>
      <c r="H59" s="57"/>
      <c r="I59" s="57"/>
      <c r="J59" s="57"/>
      <c r="K59" s="57"/>
      <c r="L59" s="59"/>
      <c r="M59" s="27"/>
      <c r="N59" s="6"/>
    </row>
    <row r="60" spans="1:14" ht="15.75">
      <c r="A60" s="136"/>
      <c r="B60" s="27"/>
      <c r="C60" s="57"/>
      <c r="D60" s="59"/>
      <c r="E60" s="57"/>
      <c r="F60" s="57"/>
      <c r="G60" s="57"/>
      <c r="H60" s="57"/>
      <c r="I60" s="57"/>
      <c r="J60" s="57"/>
      <c r="K60" s="57"/>
      <c r="L60" s="59"/>
      <c r="M60" s="27"/>
      <c r="N60" s="6"/>
    </row>
    <row r="61" spans="1:14" ht="15.75">
      <c r="A61" s="136"/>
      <c r="B61" s="27" t="s">
        <v>37</v>
      </c>
      <c r="C61" s="57">
        <v>-1743</v>
      </c>
      <c r="D61" s="57">
        <v>-1743</v>
      </c>
      <c r="E61" s="57"/>
      <c r="F61" s="57"/>
      <c r="G61" s="57"/>
      <c r="H61" s="57"/>
      <c r="I61" s="57"/>
      <c r="J61" s="57"/>
      <c r="K61" s="57"/>
      <c r="L61" s="57">
        <v>-1743</v>
      </c>
      <c r="M61" s="27"/>
      <c r="N61" s="6"/>
    </row>
    <row r="62" spans="1:14" ht="15.75">
      <c r="A62" s="136"/>
      <c r="B62" s="27" t="s">
        <v>38</v>
      </c>
      <c r="C62" s="57">
        <v>0</v>
      </c>
      <c r="D62" s="59">
        <v>-2257</v>
      </c>
      <c r="E62" s="57"/>
      <c r="F62" s="57"/>
      <c r="G62" s="57"/>
      <c r="H62" s="57"/>
      <c r="I62" s="57"/>
      <c r="J62" s="57"/>
      <c r="K62" s="57"/>
      <c r="L62" s="59">
        <v>-2257</v>
      </c>
      <c r="M62" s="27"/>
      <c r="N62" s="6"/>
    </row>
    <row r="63" spans="1:14" ht="15.75">
      <c r="A63" s="136"/>
      <c r="B63" s="27" t="s">
        <v>198</v>
      </c>
      <c r="C63" s="57">
        <v>0</v>
      </c>
      <c r="D63" s="59">
        <v>144</v>
      </c>
      <c r="E63" s="57"/>
      <c r="F63" s="57"/>
      <c r="G63" s="57"/>
      <c r="H63" s="57"/>
      <c r="I63" s="57"/>
      <c r="J63" s="57"/>
      <c r="K63" s="57"/>
      <c r="L63" s="59">
        <v>95</v>
      </c>
      <c r="M63" s="27"/>
      <c r="N63" s="6"/>
    </row>
    <row r="64" spans="1:14" ht="15.75">
      <c r="A64" s="136"/>
      <c r="B64" s="27" t="s">
        <v>15</v>
      </c>
      <c r="C64" s="59">
        <f>SUM(C52:C63)</f>
        <v>223990</v>
      </c>
      <c r="D64" s="59">
        <f>SUM(D52:D63)</f>
        <v>113306</v>
      </c>
      <c r="E64" s="57"/>
      <c r="F64" s="57"/>
      <c r="G64" s="57"/>
      <c r="H64" s="57"/>
      <c r="I64" s="57"/>
      <c r="J64" s="57"/>
      <c r="K64" s="57"/>
      <c r="L64" s="59">
        <f>SUM(L52:L63)</f>
        <v>105454</v>
      </c>
      <c r="M64" s="27"/>
      <c r="N64" s="6"/>
    </row>
    <row r="65" spans="1:14" ht="15.75">
      <c r="A65" s="136"/>
      <c r="B65" s="27"/>
      <c r="C65" s="57"/>
      <c r="D65" s="57"/>
      <c r="E65" s="57"/>
      <c r="F65" s="57"/>
      <c r="G65" s="57"/>
      <c r="H65" s="57"/>
      <c r="I65" s="57"/>
      <c r="J65" s="57"/>
      <c r="K65" s="57"/>
      <c r="L65" s="59"/>
      <c r="M65" s="27"/>
      <c r="N65" s="6"/>
    </row>
    <row r="66" spans="1:14" ht="15.75">
      <c r="A66" s="119"/>
      <c r="B66" s="10"/>
      <c r="C66" s="10"/>
      <c r="D66" s="10"/>
      <c r="E66" s="10"/>
      <c r="F66" s="10"/>
      <c r="G66" s="10"/>
      <c r="H66" s="10"/>
      <c r="I66" s="10"/>
      <c r="J66" s="10"/>
      <c r="K66" s="10"/>
      <c r="L66" s="10"/>
      <c r="M66" s="10"/>
      <c r="N66" s="6"/>
    </row>
    <row r="67" spans="1:14" ht="15.75">
      <c r="A67" s="119"/>
      <c r="B67" s="63" t="s">
        <v>40</v>
      </c>
      <c r="C67" s="16"/>
      <c r="D67" s="10"/>
      <c r="E67" s="10"/>
      <c r="F67" s="10"/>
      <c r="G67" s="10"/>
      <c r="H67" s="10"/>
      <c r="I67" s="22"/>
      <c r="J67" s="20" t="s">
        <v>174</v>
      </c>
      <c r="K67" s="20"/>
      <c r="L67" s="20" t="s">
        <v>188</v>
      </c>
      <c r="M67" s="17"/>
      <c r="N67" s="6"/>
    </row>
    <row r="68" spans="1:14" ht="15.75">
      <c r="A68" s="136"/>
      <c r="B68" s="27" t="s">
        <v>41</v>
      </c>
      <c r="C68" s="27"/>
      <c r="D68" s="27"/>
      <c r="E68" s="27"/>
      <c r="F68" s="27"/>
      <c r="G68" s="27"/>
      <c r="H68" s="27"/>
      <c r="I68" s="27"/>
      <c r="J68" s="57">
        <v>0</v>
      </c>
      <c r="K68" s="27"/>
      <c r="L68" s="58">
        <v>0</v>
      </c>
      <c r="M68" s="27"/>
      <c r="N68" s="6"/>
    </row>
    <row r="69" spans="1:14" ht="15.75">
      <c r="A69" s="136"/>
      <c r="B69" s="27" t="s">
        <v>42</v>
      </c>
      <c r="C69" s="45"/>
      <c r="D69" s="64"/>
      <c r="E69" s="27"/>
      <c r="F69" s="27"/>
      <c r="G69" s="27"/>
      <c r="H69" s="27"/>
      <c r="I69" s="27"/>
      <c r="J69" s="57">
        <f>7890-95+144</f>
        <v>7939</v>
      </c>
      <c r="K69" s="27"/>
      <c r="L69" s="58"/>
      <c r="M69" s="27"/>
      <c r="N69" s="6"/>
    </row>
    <row r="70" spans="1:14" ht="15.75">
      <c r="A70" s="136"/>
      <c r="B70" s="27" t="s">
        <v>43</v>
      </c>
      <c r="C70" s="27"/>
      <c r="D70" s="27"/>
      <c r="E70" s="27"/>
      <c r="F70" s="27"/>
      <c r="G70" s="27"/>
      <c r="H70" s="27"/>
      <c r="I70" s="27"/>
      <c r="J70" s="57"/>
      <c r="K70" s="27"/>
      <c r="L70" s="58">
        <v>2981</v>
      </c>
      <c r="M70" s="27"/>
      <c r="N70" s="6"/>
    </row>
    <row r="71" spans="1:14" ht="15.75">
      <c r="A71" s="136"/>
      <c r="B71" s="27" t="s">
        <v>44</v>
      </c>
      <c r="C71" s="27"/>
      <c r="D71" s="27"/>
      <c r="E71" s="27"/>
      <c r="F71" s="27"/>
      <c r="G71" s="27"/>
      <c r="H71" s="27"/>
      <c r="I71" s="27"/>
      <c r="J71" s="57"/>
      <c r="K71" s="27"/>
      <c r="L71" s="58"/>
      <c r="M71" s="27"/>
      <c r="N71" s="6"/>
    </row>
    <row r="72" spans="1:14" ht="15.75">
      <c r="A72" s="136"/>
      <c r="B72" s="27" t="s">
        <v>45</v>
      </c>
      <c r="C72" s="27"/>
      <c r="D72" s="27"/>
      <c r="E72" s="27"/>
      <c r="F72" s="27"/>
      <c r="G72" s="27"/>
      <c r="H72" s="27"/>
      <c r="I72" s="27"/>
      <c r="J72" s="59">
        <f>SUM(J68:J71)</f>
        <v>7939</v>
      </c>
      <c r="K72" s="27"/>
      <c r="L72" s="59">
        <f>SUM(L68:L71)</f>
        <v>2981</v>
      </c>
      <c r="M72" s="27"/>
      <c r="N72" s="6"/>
    </row>
    <row r="73" spans="1:14" ht="15.75">
      <c r="A73" s="136"/>
      <c r="B73" s="27" t="s">
        <v>46</v>
      </c>
      <c r="C73" s="27"/>
      <c r="D73" s="27"/>
      <c r="E73" s="27"/>
      <c r="F73" s="27"/>
      <c r="G73" s="27"/>
      <c r="H73" s="27"/>
      <c r="I73" s="27"/>
      <c r="J73" s="57">
        <f>-L73</f>
        <v>147</v>
      </c>
      <c r="K73" s="27"/>
      <c r="L73" s="58">
        <v>-147</v>
      </c>
      <c r="M73" s="27"/>
      <c r="N73" s="6"/>
    </row>
    <row r="74" spans="1:14" ht="15.75">
      <c r="A74" s="136"/>
      <c r="B74" s="27" t="s">
        <v>47</v>
      </c>
      <c r="C74" s="27"/>
      <c r="D74" s="27"/>
      <c r="E74" s="27"/>
      <c r="F74" s="27"/>
      <c r="G74" s="27"/>
      <c r="H74" s="27"/>
      <c r="I74" s="27"/>
      <c r="J74" s="57">
        <f>J72+J73</f>
        <v>8086</v>
      </c>
      <c r="K74" s="27"/>
      <c r="L74" s="59">
        <f>L72+L73</f>
        <v>2834</v>
      </c>
      <c r="M74" s="27"/>
      <c r="N74" s="6"/>
    </row>
    <row r="75" spans="1:14" ht="15.75">
      <c r="A75" s="136"/>
      <c r="B75" s="65" t="s">
        <v>48</v>
      </c>
      <c r="C75" s="66"/>
      <c r="D75" s="27"/>
      <c r="E75" s="27"/>
      <c r="F75" s="27"/>
      <c r="G75" s="27"/>
      <c r="H75" s="27"/>
      <c r="I75" s="27"/>
      <c r="J75" s="57"/>
      <c r="K75" s="27"/>
      <c r="L75" s="58"/>
      <c r="M75" s="27"/>
      <c r="N75" s="6"/>
    </row>
    <row r="76" spans="1:14" ht="15.75">
      <c r="A76" s="26">
        <v>1</v>
      </c>
      <c r="B76" s="27" t="s">
        <v>49</v>
      </c>
      <c r="C76" s="27"/>
      <c r="D76" s="27"/>
      <c r="E76" s="27"/>
      <c r="F76" s="27"/>
      <c r="G76" s="27"/>
      <c r="H76" s="27"/>
      <c r="I76" s="27"/>
      <c r="J76" s="27"/>
      <c r="K76" s="27"/>
      <c r="L76" s="58"/>
      <c r="M76" s="27"/>
      <c r="N76" s="6"/>
    </row>
    <row r="77" spans="1:14" ht="15.75">
      <c r="A77" s="26">
        <v>2</v>
      </c>
      <c r="B77" s="27" t="s">
        <v>50</v>
      </c>
      <c r="C77" s="27"/>
      <c r="D77" s="27"/>
      <c r="E77" s="27"/>
      <c r="F77" s="27"/>
      <c r="G77" s="27"/>
      <c r="H77" s="27"/>
      <c r="I77" s="27"/>
      <c r="J77" s="27"/>
      <c r="K77" s="27"/>
      <c r="L77" s="58">
        <v>-5</v>
      </c>
      <c r="M77" s="27"/>
      <c r="N77" s="6"/>
    </row>
    <row r="78" spans="1:14" ht="15.75">
      <c r="A78" s="26">
        <v>3</v>
      </c>
      <c r="B78" s="27" t="s">
        <v>51</v>
      </c>
      <c r="C78" s="27"/>
      <c r="D78" s="27"/>
      <c r="E78" s="27"/>
      <c r="F78" s="27"/>
      <c r="G78" s="27"/>
      <c r="H78" s="27"/>
      <c r="I78" s="27"/>
      <c r="J78" s="27"/>
      <c r="K78" s="27"/>
      <c r="L78" s="58">
        <v>-126</v>
      </c>
      <c r="M78" s="27"/>
      <c r="N78" s="6"/>
    </row>
    <row r="79" spans="1:14" ht="15.75">
      <c r="A79" s="26">
        <v>4</v>
      </c>
      <c r="B79" s="27" t="s">
        <v>52</v>
      </c>
      <c r="C79" s="27"/>
      <c r="D79" s="27"/>
      <c r="E79" s="27"/>
      <c r="F79" s="27"/>
      <c r="G79" s="27"/>
      <c r="H79" s="27"/>
      <c r="I79" s="27"/>
      <c r="J79" s="27"/>
      <c r="K79" s="27"/>
      <c r="L79" s="58">
        <v>-4</v>
      </c>
      <c r="M79" s="27"/>
      <c r="N79" s="6"/>
    </row>
    <row r="80" spans="1:14" ht="15.75">
      <c r="A80" s="26">
        <v>5</v>
      </c>
      <c r="B80" s="27" t="s">
        <v>53</v>
      </c>
      <c r="C80" s="27"/>
      <c r="D80" s="27"/>
      <c r="E80" s="27"/>
      <c r="F80" s="27"/>
      <c r="G80" s="27"/>
      <c r="H80" s="27"/>
      <c r="I80" s="27"/>
      <c r="J80" s="27"/>
      <c r="K80" s="27"/>
      <c r="L80" s="58">
        <v>-1366</v>
      </c>
      <c r="M80" s="27"/>
      <c r="N80" s="6"/>
    </row>
    <row r="81" spans="1:14" ht="15.75">
      <c r="A81" s="26">
        <v>6</v>
      </c>
      <c r="B81" s="27" t="s">
        <v>54</v>
      </c>
      <c r="C81" s="27"/>
      <c r="D81" s="27"/>
      <c r="E81" s="27"/>
      <c r="F81" s="27"/>
      <c r="G81" s="27"/>
      <c r="H81" s="27"/>
      <c r="I81" s="27"/>
      <c r="J81" s="27"/>
      <c r="K81" s="27"/>
      <c r="L81" s="58">
        <v>-3</v>
      </c>
      <c r="M81" s="27"/>
      <c r="N81" s="6"/>
    </row>
    <row r="82" spans="1:14" ht="15.75">
      <c r="A82" s="26">
        <v>7</v>
      </c>
      <c r="B82" s="27" t="s">
        <v>55</v>
      </c>
      <c r="C82" s="27"/>
      <c r="D82" s="27"/>
      <c r="E82" s="27"/>
      <c r="F82" s="27"/>
      <c r="G82" s="27"/>
      <c r="H82" s="27"/>
      <c r="I82" s="27"/>
      <c r="J82" s="27"/>
      <c r="K82" s="27"/>
      <c r="L82" s="58">
        <v>-281</v>
      </c>
      <c r="M82" s="27"/>
      <c r="N82" s="6"/>
    </row>
    <row r="83" spans="1:14" ht="15.75">
      <c r="A83" s="26">
        <v>8</v>
      </c>
      <c r="B83" s="27" t="s">
        <v>56</v>
      </c>
      <c r="C83" s="27"/>
      <c r="D83" s="27"/>
      <c r="E83" s="27"/>
      <c r="F83" s="27"/>
      <c r="G83" s="27"/>
      <c r="H83" s="27"/>
      <c r="I83" s="27"/>
      <c r="J83" s="27"/>
      <c r="K83" s="27"/>
      <c r="L83" s="58">
        <v>-197</v>
      </c>
      <c r="M83" s="27"/>
      <c r="N83" s="6"/>
    </row>
    <row r="84" spans="1:14" ht="15.75">
      <c r="A84" s="26">
        <v>9</v>
      </c>
      <c r="B84" s="27" t="s">
        <v>57</v>
      </c>
      <c r="C84" s="27"/>
      <c r="D84" s="27"/>
      <c r="E84" s="27"/>
      <c r="F84" s="27"/>
      <c r="G84" s="27"/>
      <c r="H84" s="27"/>
      <c r="I84" s="27"/>
      <c r="J84" s="27"/>
      <c r="K84" s="27"/>
      <c r="L84" s="58">
        <v>0</v>
      </c>
      <c r="M84" s="27"/>
      <c r="N84" s="6"/>
    </row>
    <row r="85" spans="1:14" ht="15.75">
      <c r="A85" s="26">
        <v>10</v>
      </c>
      <c r="B85" s="27" t="s">
        <v>58</v>
      </c>
      <c r="C85" s="27"/>
      <c r="D85" s="27"/>
      <c r="E85" s="27"/>
      <c r="F85" s="27"/>
      <c r="G85" s="27"/>
      <c r="H85" s="27"/>
      <c r="I85" s="27"/>
      <c r="J85" s="27"/>
      <c r="K85" s="27"/>
      <c r="L85" s="58">
        <v>-95</v>
      </c>
      <c r="M85" s="27"/>
      <c r="N85" s="6"/>
    </row>
    <row r="86" spans="1:14" ht="15.75">
      <c r="A86" s="26">
        <v>11</v>
      </c>
      <c r="B86" s="27" t="s">
        <v>59</v>
      </c>
      <c r="C86" s="27"/>
      <c r="D86" s="27"/>
      <c r="E86" s="27"/>
      <c r="F86" s="27"/>
      <c r="G86" s="27"/>
      <c r="H86" s="27"/>
      <c r="I86" s="27"/>
      <c r="J86" s="27"/>
      <c r="K86" s="27"/>
      <c r="L86" s="58">
        <v>0</v>
      </c>
      <c r="M86" s="27"/>
      <c r="N86" s="6"/>
    </row>
    <row r="87" spans="1:14" ht="15.75">
      <c r="A87" s="26">
        <v>12</v>
      </c>
      <c r="B87" s="27" t="s">
        <v>60</v>
      </c>
      <c r="C87" s="27"/>
      <c r="D87" s="27"/>
      <c r="E87" s="27"/>
      <c r="F87" s="27"/>
      <c r="G87" s="27"/>
      <c r="H87" s="27"/>
      <c r="I87" s="27"/>
      <c r="J87" s="27"/>
      <c r="K87" s="27"/>
      <c r="L87" s="58">
        <f>SUM(L74:L85)*-1</f>
        <v>-757</v>
      </c>
      <c r="M87" s="27"/>
      <c r="N87" s="6"/>
    </row>
    <row r="88" spans="1:14" ht="15.75">
      <c r="A88" s="136"/>
      <c r="B88" s="65" t="s">
        <v>61</v>
      </c>
      <c r="C88" s="66"/>
      <c r="D88" s="27"/>
      <c r="E88" s="27"/>
      <c r="F88" s="27"/>
      <c r="G88" s="27"/>
      <c r="H88" s="27"/>
      <c r="I88" s="27"/>
      <c r="J88" s="27"/>
      <c r="K88" s="27"/>
      <c r="L88" s="68"/>
      <c r="M88" s="27"/>
      <c r="N88" s="6"/>
    </row>
    <row r="89" spans="1:14" ht="15.75">
      <c r="A89" s="136"/>
      <c r="B89" s="27" t="s">
        <v>62</v>
      </c>
      <c r="C89" s="66"/>
      <c r="D89" s="27"/>
      <c r="E89" s="27"/>
      <c r="F89" s="27"/>
      <c r="G89" s="27"/>
      <c r="H89" s="27"/>
      <c r="I89" s="27"/>
      <c r="J89" s="57">
        <f>-J132</f>
        <v>0</v>
      </c>
      <c r="K89" s="57"/>
      <c r="L89" s="58"/>
      <c r="M89" s="27"/>
      <c r="N89" s="6"/>
    </row>
    <row r="90" spans="1:14" ht="15.75">
      <c r="A90" s="136"/>
      <c r="B90" s="27" t="s">
        <v>63</v>
      </c>
      <c r="C90" s="27"/>
      <c r="D90" s="27"/>
      <c r="E90" s="27"/>
      <c r="F90" s="27"/>
      <c r="G90" s="27"/>
      <c r="H90" s="27"/>
      <c r="I90" s="27"/>
      <c r="J90" s="57">
        <v>-234</v>
      </c>
      <c r="K90" s="57"/>
      <c r="L90" s="58"/>
      <c r="M90" s="27"/>
      <c r="N90" s="6"/>
    </row>
    <row r="91" spans="1:14" ht="15.75">
      <c r="A91" s="136"/>
      <c r="B91" s="27" t="s">
        <v>64</v>
      </c>
      <c r="C91" s="27"/>
      <c r="D91" s="27"/>
      <c r="E91" s="27"/>
      <c r="F91" s="27"/>
      <c r="G91" s="27"/>
      <c r="H91" s="27"/>
      <c r="I91" s="27"/>
      <c r="J91" s="57">
        <v>0</v>
      </c>
      <c r="K91" s="57"/>
      <c r="L91" s="58"/>
      <c r="M91" s="27"/>
      <c r="N91" s="6"/>
    </row>
    <row r="92" spans="1:14" ht="15.75">
      <c r="A92" s="136"/>
      <c r="B92" s="27" t="s">
        <v>65</v>
      </c>
      <c r="C92" s="27"/>
      <c r="D92" s="27"/>
      <c r="E92" s="27"/>
      <c r="F92" s="27"/>
      <c r="G92" s="27"/>
      <c r="H92" s="27"/>
      <c r="I92" s="27"/>
      <c r="J92" s="57">
        <v>-7852</v>
      </c>
      <c r="K92" s="57"/>
      <c r="L92" s="58"/>
      <c r="M92" s="27"/>
      <c r="N92" s="6"/>
    </row>
    <row r="93" spans="1:14" ht="15.75">
      <c r="A93" s="136"/>
      <c r="B93" s="27" t="s">
        <v>66</v>
      </c>
      <c r="C93" s="27"/>
      <c r="D93" s="27"/>
      <c r="E93" s="27"/>
      <c r="F93" s="27"/>
      <c r="G93" s="27"/>
      <c r="H93" s="27"/>
      <c r="I93" s="27"/>
      <c r="J93" s="57">
        <v>0</v>
      </c>
      <c r="K93" s="57"/>
      <c r="L93" s="58"/>
      <c r="M93" s="27"/>
      <c r="N93" s="6"/>
    </row>
    <row r="94" spans="1:14" ht="15.75">
      <c r="A94" s="136"/>
      <c r="B94" s="27" t="s">
        <v>67</v>
      </c>
      <c r="C94" s="27"/>
      <c r="D94" s="27"/>
      <c r="E94" s="27"/>
      <c r="F94" s="27"/>
      <c r="G94" s="27"/>
      <c r="H94" s="27"/>
      <c r="I94" s="27"/>
      <c r="J94" s="57">
        <f>SUM(J75:J93)</f>
        <v>-8086</v>
      </c>
      <c r="K94" s="57"/>
      <c r="L94" s="57">
        <f>SUM(L75:L93)</f>
        <v>-2834</v>
      </c>
      <c r="M94" s="27"/>
      <c r="N94" s="6"/>
    </row>
    <row r="95" spans="1:14" ht="15.75">
      <c r="A95" s="136"/>
      <c r="B95" s="27" t="s">
        <v>68</v>
      </c>
      <c r="C95" s="27"/>
      <c r="D95" s="27"/>
      <c r="E95" s="27"/>
      <c r="F95" s="27"/>
      <c r="G95" s="27"/>
      <c r="H95" s="27"/>
      <c r="I95" s="27"/>
      <c r="J95" s="57">
        <f>J74+J94</f>
        <v>0</v>
      </c>
      <c r="K95" s="57"/>
      <c r="L95" s="57">
        <f>L74+L94</f>
        <v>0</v>
      </c>
      <c r="M95" s="27"/>
      <c r="N95" s="6"/>
    </row>
    <row r="96" spans="1:14" ht="15.75">
      <c r="A96" s="136"/>
      <c r="B96" s="27"/>
      <c r="C96" s="27"/>
      <c r="D96" s="27"/>
      <c r="E96" s="27"/>
      <c r="F96" s="27"/>
      <c r="G96" s="27"/>
      <c r="H96" s="27"/>
      <c r="I96" s="27"/>
      <c r="J96" s="57"/>
      <c r="K96" s="57"/>
      <c r="L96" s="57"/>
      <c r="M96" s="27"/>
      <c r="N96" s="6"/>
    </row>
    <row r="97" spans="1:14" ht="15.75">
      <c r="A97" s="119"/>
      <c r="B97" s="15"/>
      <c r="C97" s="10"/>
      <c r="D97" s="10"/>
      <c r="E97" s="10"/>
      <c r="F97" s="10"/>
      <c r="G97" s="10"/>
      <c r="H97" s="10"/>
      <c r="I97" s="10"/>
      <c r="J97" s="60"/>
      <c r="K97" s="60"/>
      <c r="L97" s="60"/>
      <c r="M97" s="10"/>
      <c r="N97" s="6"/>
    </row>
    <row r="98" spans="1:14" ht="15.75">
      <c r="A98" s="119"/>
      <c r="B98" s="10"/>
      <c r="C98" s="10"/>
      <c r="D98" s="10"/>
      <c r="E98" s="10"/>
      <c r="F98" s="10"/>
      <c r="G98" s="10"/>
      <c r="H98" s="10"/>
      <c r="I98" s="10"/>
      <c r="J98" s="60"/>
      <c r="K98" s="60"/>
      <c r="L98" s="60"/>
      <c r="M98" s="10"/>
      <c r="N98" s="6"/>
    </row>
    <row r="99" spans="1:14" ht="15.75">
      <c r="A99" s="119"/>
      <c r="B99" s="10"/>
      <c r="C99" s="10"/>
      <c r="D99" s="10"/>
      <c r="E99" s="10"/>
      <c r="F99" s="10"/>
      <c r="G99" s="10"/>
      <c r="H99" s="10"/>
      <c r="I99" s="10"/>
      <c r="J99" s="10"/>
      <c r="K99" s="10"/>
      <c r="L99" s="53"/>
      <c r="M99" s="10"/>
      <c r="N99" s="6"/>
    </row>
    <row r="100" spans="1:14" ht="15.75">
      <c r="A100" s="119"/>
      <c r="B100" s="10"/>
      <c r="C100" s="9"/>
      <c r="D100" s="10"/>
      <c r="E100" s="10"/>
      <c r="F100" s="10"/>
      <c r="G100" s="10"/>
      <c r="H100" s="10"/>
      <c r="I100" s="10"/>
      <c r="J100" s="10"/>
      <c r="K100" s="10"/>
      <c r="L100" s="53"/>
      <c r="M100" s="10"/>
      <c r="N100" s="6"/>
    </row>
    <row r="101" spans="1:14" ht="15.75">
      <c r="A101" s="135"/>
      <c r="B101" s="83" t="s">
        <v>69</v>
      </c>
      <c r="C101" s="5"/>
      <c r="D101" s="5"/>
      <c r="E101" s="5"/>
      <c r="F101" s="5"/>
      <c r="G101" s="5"/>
      <c r="H101" s="5"/>
      <c r="I101" s="5"/>
      <c r="J101" s="5"/>
      <c r="K101" s="5"/>
      <c r="L101" s="52"/>
      <c r="M101" s="70"/>
      <c r="N101" s="6"/>
    </row>
    <row r="102" spans="1:14" ht="15.75">
      <c r="A102" s="119"/>
      <c r="B102" s="10"/>
      <c r="C102" s="10"/>
      <c r="D102" s="10"/>
      <c r="E102" s="10"/>
      <c r="F102" s="10"/>
      <c r="G102" s="10"/>
      <c r="H102" s="10"/>
      <c r="I102" s="10"/>
      <c r="J102" s="10"/>
      <c r="K102" s="10"/>
      <c r="L102" s="53"/>
      <c r="M102" s="10"/>
      <c r="N102" s="6"/>
    </row>
    <row r="103" spans="1:14" ht="15.75">
      <c r="A103" s="119"/>
      <c r="B103" s="73" t="s">
        <v>70</v>
      </c>
      <c r="C103" s="16"/>
      <c r="D103" s="10"/>
      <c r="E103" s="10"/>
      <c r="F103" s="10"/>
      <c r="G103" s="10"/>
      <c r="H103" s="10"/>
      <c r="I103" s="10"/>
      <c r="J103" s="10"/>
      <c r="K103" s="10"/>
      <c r="L103" s="53"/>
      <c r="M103" s="10"/>
      <c r="N103" s="6"/>
    </row>
    <row r="104" spans="1:14" ht="15.75">
      <c r="A104" s="136"/>
      <c r="B104" s="27" t="s">
        <v>71</v>
      </c>
      <c r="C104" s="27"/>
      <c r="D104" s="27"/>
      <c r="E104" s="27"/>
      <c r="F104" s="27"/>
      <c r="G104" s="27"/>
      <c r="H104" s="27"/>
      <c r="I104" s="27"/>
      <c r="J104" s="27"/>
      <c r="K104" s="27"/>
      <c r="L104" s="58">
        <v>4515</v>
      </c>
      <c r="M104" s="27"/>
      <c r="N104" s="6"/>
    </row>
    <row r="105" spans="1:14" ht="15.75">
      <c r="A105" s="136"/>
      <c r="B105" s="27" t="s">
        <v>72</v>
      </c>
      <c r="C105" s="27"/>
      <c r="D105" s="27"/>
      <c r="E105" s="27"/>
      <c r="F105" s="27"/>
      <c r="G105" s="27"/>
      <c r="H105" s="27"/>
      <c r="I105" s="27"/>
      <c r="J105" s="27"/>
      <c r="K105" s="27"/>
      <c r="L105" s="58">
        <v>4515</v>
      </c>
      <c r="M105" s="27"/>
      <c r="N105" s="6"/>
    </row>
    <row r="106" spans="1:14" ht="15.75">
      <c r="A106" s="136"/>
      <c r="B106" s="27" t="s">
        <v>73</v>
      </c>
      <c r="C106" s="27"/>
      <c r="D106" s="27"/>
      <c r="E106" s="27"/>
      <c r="F106" s="27"/>
      <c r="G106" s="27"/>
      <c r="H106" s="27"/>
      <c r="I106" s="27"/>
      <c r="J106" s="27"/>
      <c r="K106" s="27"/>
      <c r="L106" s="58"/>
      <c r="M106" s="27"/>
      <c r="N106" s="6"/>
    </row>
    <row r="107" spans="1:14" ht="15.75">
      <c r="A107" s="136"/>
      <c r="B107" s="27" t="s">
        <v>74</v>
      </c>
      <c r="C107" s="27"/>
      <c r="D107" s="27"/>
      <c r="E107" s="27"/>
      <c r="F107" s="27"/>
      <c r="G107" s="27"/>
      <c r="H107" s="27"/>
      <c r="I107" s="27"/>
      <c r="J107" s="27"/>
      <c r="K107" s="27"/>
      <c r="L107" s="58">
        <v>0</v>
      </c>
      <c r="M107" s="27"/>
      <c r="N107" s="6"/>
    </row>
    <row r="108" spans="1:14" ht="15.75">
      <c r="A108" s="136"/>
      <c r="B108" s="27" t="s">
        <v>75</v>
      </c>
      <c r="C108" s="27"/>
      <c r="D108" s="27"/>
      <c r="E108" s="27"/>
      <c r="F108" s="27"/>
      <c r="G108" s="27"/>
      <c r="H108" s="27"/>
      <c r="I108" s="27"/>
      <c r="J108" s="27"/>
      <c r="K108" s="27"/>
      <c r="L108" s="58"/>
      <c r="M108" s="27"/>
      <c r="N108" s="6"/>
    </row>
    <row r="109" spans="1:14" ht="15.75">
      <c r="A109" s="136"/>
      <c r="B109" s="27" t="s">
        <v>53</v>
      </c>
      <c r="C109" s="27"/>
      <c r="D109" s="27"/>
      <c r="E109" s="27"/>
      <c r="F109" s="27"/>
      <c r="G109" s="27"/>
      <c r="H109" s="27"/>
      <c r="I109" s="27"/>
      <c r="J109" s="27"/>
      <c r="K109" s="27"/>
      <c r="L109" s="58"/>
      <c r="M109" s="27"/>
      <c r="N109" s="6"/>
    </row>
    <row r="110" spans="1:14" ht="15.75">
      <c r="A110" s="136"/>
      <c r="B110" s="27" t="s">
        <v>55</v>
      </c>
      <c r="C110" s="27"/>
      <c r="D110" s="27"/>
      <c r="E110" s="27"/>
      <c r="F110" s="27"/>
      <c r="G110" s="27"/>
      <c r="H110" s="27"/>
      <c r="I110" s="27"/>
      <c r="J110" s="27"/>
      <c r="K110" s="27"/>
      <c r="L110" s="58"/>
      <c r="M110" s="27"/>
      <c r="N110" s="6"/>
    </row>
    <row r="111" spans="1:14" ht="15.75">
      <c r="A111" s="136"/>
      <c r="B111" s="27" t="s">
        <v>76</v>
      </c>
      <c r="C111" s="27"/>
      <c r="D111" s="27"/>
      <c r="E111" s="27"/>
      <c r="F111" s="27"/>
      <c r="G111" s="27"/>
      <c r="H111" s="27"/>
      <c r="I111" s="27"/>
      <c r="J111" s="27"/>
      <c r="K111" s="27"/>
      <c r="L111" s="58">
        <f>L105-L107</f>
        <v>4515</v>
      </c>
      <c r="M111" s="27"/>
      <c r="N111" s="6"/>
    </row>
    <row r="112" spans="1:14" ht="15.75">
      <c r="A112" s="136"/>
      <c r="B112" s="27"/>
      <c r="C112" s="27"/>
      <c r="D112" s="27"/>
      <c r="E112" s="27"/>
      <c r="F112" s="27"/>
      <c r="G112" s="27"/>
      <c r="H112" s="27"/>
      <c r="I112" s="27"/>
      <c r="J112" s="27"/>
      <c r="K112" s="27"/>
      <c r="L112" s="72"/>
      <c r="M112" s="27"/>
      <c r="N112" s="6"/>
    </row>
    <row r="113" spans="1:14" ht="15.75">
      <c r="A113" s="135"/>
      <c r="B113" s="5"/>
      <c r="C113" s="5"/>
      <c r="D113" s="5"/>
      <c r="E113" s="5"/>
      <c r="F113" s="5"/>
      <c r="G113" s="5"/>
      <c r="H113" s="5"/>
      <c r="I113" s="5"/>
      <c r="J113" s="5"/>
      <c r="K113" s="5"/>
      <c r="L113" s="52"/>
      <c r="M113" s="5"/>
      <c r="N113" s="6"/>
    </row>
    <row r="114" spans="1:14" ht="15.75">
      <c r="A114" s="119"/>
      <c r="B114" s="73" t="s">
        <v>77</v>
      </c>
      <c r="C114" s="16"/>
      <c r="D114" s="10"/>
      <c r="E114" s="10"/>
      <c r="F114" s="10"/>
      <c r="G114" s="10"/>
      <c r="H114" s="10"/>
      <c r="I114" s="10"/>
      <c r="J114" s="10"/>
      <c r="K114" s="10"/>
      <c r="L114" s="74"/>
      <c r="M114" s="10"/>
      <c r="N114" s="6"/>
    </row>
    <row r="115" spans="1:14" ht="15.75">
      <c r="A115" s="119"/>
      <c r="B115" s="16"/>
      <c r="C115" s="16"/>
      <c r="D115" s="10"/>
      <c r="E115" s="10"/>
      <c r="F115" s="10"/>
      <c r="G115" s="10"/>
      <c r="H115" s="10"/>
      <c r="I115" s="10"/>
      <c r="J115" s="10"/>
      <c r="K115" s="10"/>
      <c r="L115" s="74"/>
      <c r="M115" s="10"/>
      <c r="N115" s="6"/>
    </row>
    <row r="116" spans="1:14" ht="15.75">
      <c r="A116" s="136"/>
      <c r="B116" s="27" t="s">
        <v>78</v>
      </c>
      <c r="C116" s="27"/>
      <c r="D116" s="27"/>
      <c r="E116" s="27"/>
      <c r="F116" s="27"/>
      <c r="G116" s="27"/>
      <c r="H116" s="27"/>
      <c r="I116" s="27"/>
      <c r="J116" s="27"/>
      <c r="K116" s="27"/>
      <c r="L116" s="58">
        <v>0</v>
      </c>
      <c r="M116" s="27"/>
      <c r="N116" s="6"/>
    </row>
    <row r="117" spans="1:14" ht="15.75">
      <c r="A117" s="136"/>
      <c r="B117" s="27" t="s">
        <v>79</v>
      </c>
      <c r="C117" s="27"/>
      <c r="D117" s="27"/>
      <c r="E117" s="27"/>
      <c r="F117" s="27"/>
      <c r="G117" s="27"/>
      <c r="H117" s="27"/>
      <c r="I117" s="27"/>
      <c r="J117" s="27"/>
      <c r="K117" s="27"/>
      <c r="L117" s="58">
        <v>-95</v>
      </c>
      <c r="M117" s="27"/>
      <c r="N117" s="6"/>
    </row>
    <row r="118" spans="1:14" ht="15.75">
      <c r="A118" s="136"/>
      <c r="B118" s="27" t="s">
        <v>80</v>
      </c>
      <c r="C118" s="27"/>
      <c r="D118" s="27"/>
      <c r="E118" s="27"/>
      <c r="F118" s="27"/>
      <c r="G118" s="27"/>
      <c r="H118" s="27"/>
      <c r="I118" s="27"/>
      <c r="J118" s="27"/>
      <c r="K118" s="27"/>
      <c r="L118" s="58">
        <f>L117+L116</f>
        <v>-95</v>
      </c>
      <c r="M118" s="27"/>
      <c r="N118" s="6"/>
    </row>
    <row r="119" spans="1:14" ht="15.75">
      <c r="A119" s="136"/>
      <c r="B119" s="27" t="s">
        <v>81</v>
      </c>
      <c r="C119" s="27"/>
      <c r="D119" s="27"/>
      <c r="E119" s="27"/>
      <c r="F119" s="27"/>
      <c r="G119" s="27"/>
      <c r="H119" s="75"/>
      <c r="I119" s="27"/>
      <c r="J119" s="27"/>
      <c r="K119" s="27"/>
      <c r="L119" s="58">
        <f>-L85</f>
        <v>95</v>
      </c>
      <c r="M119" s="27"/>
      <c r="N119" s="6"/>
    </row>
    <row r="120" spans="1:14" ht="15.75">
      <c r="A120" s="136"/>
      <c r="B120" s="27" t="s">
        <v>82</v>
      </c>
      <c r="C120" s="27"/>
      <c r="D120" s="27"/>
      <c r="E120" s="27"/>
      <c r="F120" s="27"/>
      <c r="G120" s="27"/>
      <c r="H120" s="27"/>
      <c r="I120" s="27"/>
      <c r="J120" s="27"/>
      <c r="K120" s="27"/>
      <c r="L120" s="58">
        <f>L118+L119</f>
        <v>0</v>
      </c>
      <c r="M120" s="27"/>
      <c r="N120" s="6"/>
    </row>
    <row r="121" spans="1:14" ht="15.75">
      <c r="A121" s="136"/>
      <c r="B121" s="27"/>
      <c r="C121" s="27"/>
      <c r="D121" s="27"/>
      <c r="E121" s="27"/>
      <c r="F121" s="27"/>
      <c r="G121" s="27"/>
      <c r="H121" s="27"/>
      <c r="I121" s="27"/>
      <c r="J121" s="27"/>
      <c r="K121" s="27"/>
      <c r="L121" s="72"/>
      <c r="M121" s="27"/>
      <c r="N121" s="6"/>
    </row>
    <row r="122" spans="1:14" ht="15.75">
      <c r="A122" s="135"/>
      <c r="B122" s="5"/>
      <c r="C122" s="5"/>
      <c r="D122" s="5"/>
      <c r="E122" s="5"/>
      <c r="F122" s="5"/>
      <c r="G122" s="5"/>
      <c r="H122" s="5"/>
      <c r="I122" s="5"/>
      <c r="J122" s="5"/>
      <c r="K122" s="5"/>
      <c r="L122" s="52"/>
      <c r="M122" s="5"/>
      <c r="N122" s="6"/>
    </row>
    <row r="123" spans="1:14" ht="15.75">
      <c r="A123" s="119"/>
      <c r="B123" s="73" t="s">
        <v>83</v>
      </c>
      <c r="C123" s="16"/>
      <c r="D123" s="10"/>
      <c r="E123" s="10"/>
      <c r="F123" s="10"/>
      <c r="G123" s="10"/>
      <c r="H123" s="10"/>
      <c r="I123" s="10"/>
      <c r="J123" s="10"/>
      <c r="K123" s="10"/>
      <c r="L123" s="53"/>
      <c r="M123" s="10"/>
      <c r="N123" s="6"/>
    </row>
    <row r="124" spans="1:14" ht="15.75">
      <c r="A124" s="119"/>
      <c r="B124" s="76"/>
      <c r="C124" s="16"/>
      <c r="D124" s="10"/>
      <c r="E124" s="10"/>
      <c r="F124" s="10"/>
      <c r="G124" s="10"/>
      <c r="H124" s="10"/>
      <c r="I124" s="10"/>
      <c r="J124" s="10"/>
      <c r="K124" s="10"/>
      <c r="L124" s="53"/>
      <c r="M124" s="10"/>
      <c r="N124" s="6"/>
    </row>
    <row r="125" spans="1:14" ht="15.75">
      <c r="A125" s="136"/>
      <c r="B125" s="27" t="s">
        <v>84</v>
      </c>
      <c r="C125" s="71"/>
      <c r="D125" s="27"/>
      <c r="E125" s="27"/>
      <c r="F125" s="27"/>
      <c r="G125" s="27"/>
      <c r="H125" s="27"/>
      <c r="I125" s="27"/>
      <c r="J125" s="27"/>
      <c r="K125" s="27"/>
      <c r="L125" s="58">
        <f>L52</f>
        <v>109359</v>
      </c>
      <c r="M125" s="27"/>
      <c r="N125" s="6"/>
    </row>
    <row r="126" spans="1:14" ht="15.75">
      <c r="A126" s="136"/>
      <c r="B126" s="27" t="s">
        <v>85</v>
      </c>
      <c r="C126" s="71"/>
      <c r="D126" s="27"/>
      <c r="E126" s="27"/>
      <c r="F126" s="27"/>
      <c r="G126" s="27"/>
      <c r="H126" s="27"/>
      <c r="I126" s="27"/>
      <c r="J126" s="27"/>
      <c r="K126" s="27"/>
      <c r="L126" s="58">
        <f>L64</f>
        <v>105454</v>
      </c>
      <c r="M126" s="27"/>
      <c r="N126" s="6"/>
    </row>
    <row r="127" spans="1:14" ht="15.75">
      <c r="A127" s="136"/>
      <c r="B127" s="27"/>
      <c r="C127" s="27"/>
      <c r="D127" s="27"/>
      <c r="E127" s="27"/>
      <c r="F127" s="27"/>
      <c r="G127" s="27"/>
      <c r="H127" s="27"/>
      <c r="I127" s="27"/>
      <c r="J127" s="27"/>
      <c r="K127" s="27"/>
      <c r="L127" s="72"/>
      <c r="M127" s="27"/>
      <c r="N127" s="6"/>
    </row>
    <row r="128" spans="1:14" ht="15.75">
      <c r="A128" s="135"/>
      <c r="B128" s="5"/>
      <c r="C128" s="5"/>
      <c r="D128" s="5"/>
      <c r="E128" s="5"/>
      <c r="F128" s="5"/>
      <c r="G128" s="5"/>
      <c r="H128" s="5"/>
      <c r="I128" s="5"/>
      <c r="J128" s="5"/>
      <c r="K128" s="5"/>
      <c r="L128" s="52"/>
      <c r="M128" s="5"/>
      <c r="N128" s="6"/>
    </row>
    <row r="129" spans="1:14" ht="15.75">
      <c r="A129" s="119"/>
      <c r="B129" s="73" t="s">
        <v>86</v>
      </c>
      <c r="C129" s="12"/>
      <c r="D129" s="12"/>
      <c r="E129" s="12"/>
      <c r="F129" s="12"/>
      <c r="G129" s="12"/>
      <c r="H129" s="77" t="s">
        <v>163</v>
      </c>
      <c r="I129" s="77"/>
      <c r="J129" s="77" t="s">
        <v>175</v>
      </c>
      <c r="K129" s="12"/>
      <c r="L129" s="78" t="s">
        <v>189</v>
      </c>
      <c r="M129" s="10"/>
      <c r="N129" s="6"/>
    </row>
    <row r="130" spans="1:14" ht="15.75">
      <c r="A130" s="136"/>
      <c r="B130" s="27" t="s">
        <v>87</v>
      </c>
      <c r="C130" s="27"/>
      <c r="D130" s="27"/>
      <c r="E130" s="27"/>
      <c r="F130" s="27"/>
      <c r="G130" s="27"/>
      <c r="H130" s="58">
        <v>40000</v>
      </c>
      <c r="I130" s="27"/>
      <c r="J130" s="45" t="s">
        <v>176</v>
      </c>
      <c r="K130" s="27"/>
      <c r="L130" s="58"/>
      <c r="M130" s="27"/>
      <c r="N130" s="6"/>
    </row>
    <row r="131" spans="1:14" ht="15.75">
      <c r="A131" s="136"/>
      <c r="B131" s="27" t="s">
        <v>88</v>
      </c>
      <c r="C131" s="27"/>
      <c r="D131" s="27"/>
      <c r="E131" s="27"/>
      <c r="F131" s="27"/>
      <c r="G131" s="27"/>
      <c r="H131" s="58">
        <v>1388</v>
      </c>
      <c r="I131" s="27"/>
      <c r="J131" s="58">
        <v>110</v>
      </c>
      <c r="K131" s="27"/>
      <c r="L131" s="58">
        <f>J131+H131</f>
        <v>1498</v>
      </c>
      <c r="M131" s="27"/>
      <c r="N131" s="6"/>
    </row>
    <row r="132" spans="1:14" ht="15.75">
      <c r="A132" s="136"/>
      <c r="B132" s="27" t="s">
        <v>89</v>
      </c>
      <c r="C132" s="27"/>
      <c r="D132" s="27"/>
      <c r="E132" s="27"/>
      <c r="F132" s="27"/>
      <c r="G132" s="27"/>
      <c r="H132" s="58">
        <v>234</v>
      </c>
      <c r="I132" s="27"/>
      <c r="J132" s="27">
        <v>0</v>
      </c>
      <c r="K132" s="27"/>
      <c r="L132" s="58">
        <f>J132+H132</f>
        <v>234</v>
      </c>
      <c r="M132" s="27"/>
      <c r="N132" s="6"/>
    </row>
    <row r="133" spans="1:14" ht="15.75">
      <c r="A133" s="136"/>
      <c r="B133" s="27" t="s">
        <v>90</v>
      </c>
      <c r="C133" s="27"/>
      <c r="D133" s="27"/>
      <c r="E133" s="27"/>
      <c r="F133" s="27"/>
      <c r="G133" s="27"/>
      <c r="H133" s="58">
        <f>H132+H131</f>
        <v>1622</v>
      </c>
      <c r="I133" s="27"/>
      <c r="J133" s="58">
        <f>J132+J131</f>
        <v>110</v>
      </c>
      <c r="K133" s="27"/>
      <c r="L133" s="58">
        <f>J133+H133</f>
        <v>1732</v>
      </c>
      <c r="M133" s="27"/>
      <c r="N133" s="6"/>
    </row>
    <row r="134" spans="1:14" ht="15.75">
      <c r="A134" s="136"/>
      <c r="B134" s="27" t="s">
        <v>91</v>
      </c>
      <c r="C134" s="27"/>
      <c r="D134" s="27"/>
      <c r="E134" s="27"/>
      <c r="F134" s="27"/>
      <c r="G134" s="27"/>
      <c r="H134" s="58">
        <f>H130-H133</f>
        <v>38378</v>
      </c>
      <c r="I134" s="27"/>
      <c r="J134" s="45" t="s">
        <v>176</v>
      </c>
      <c r="K134" s="27"/>
      <c r="L134" s="58"/>
      <c r="M134" s="27"/>
      <c r="N134" s="6"/>
    </row>
    <row r="135" spans="1:14" ht="15.75">
      <c r="A135" s="136"/>
      <c r="B135" s="27"/>
      <c r="C135" s="27"/>
      <c r="D135" s="27"/>
      <c r="E135" s="27"/>
      <c r="F135" s="27"/>
      <c r="G135" s="27"/>
      <c r="H135" s="27"/>
      <c r="I135" s="27"/>
      <c r="J135" s="27"/>
      <c r="K135" s="27"/>
      <c r="L135" s="72"/>
      <c r="M135" s="27"/>
      <c r="N135" s="6"/>
    </row>
    <row r="136" spans="1:14" ht="15.75">
      <c r="A136" s="135"/>
      <c r="B136" s="5"/>
      <c r="C136" s="5"/>
      <c r="D136" s="5"/>
      <c r="E136" s="5"/>
      <c r="F136" s="5"/>
      <c r="G136" s="5"/>
      <c r="H136" s="5"/>
      <c r="I136" s="5"/>
      <c r="J136" s="5"/>
      <c r="K136" s="5"/>
      <c r="L136" s="52"/>
      <c r="M136" s="5"/>
      <c r="N136" s="6"/>
    </row>
    <row r="137" spans="1:14" ht="15.75">
      <c r="A137" s="119"/>
      <c r="B137" s="73" t="s">
        <v>92</v>
      </c>
      <c r="C137" s="16"/>
      <c r="D137" s="10"/>
      <c r="E137" s="10"/>
      <c r="F137" s="10"/>
      <c r="G137" s="10"/>
      <c r="H137" s="10"/>
      <c r="I137" s="10"/>
      <c r="J137" s="10"/>
      <c r="K137" s="10"/>
      <c r="L137" s="79"/>
      <c r="M137" s="10"/>
      <c r="N137" s="6"/>
    </row>
    <row r="138" spans="1:14" ht="15.75">
      <c r="A138" s="136"/>
      <c r="B138" s="27" t="s">
        <v>93</v>
      </c>
      <c r="C138" s="27"/>
      <c r="D138" s="27"/>
      <c r="E138" s="27"/>
      <c r="F138" s="27"/>
      <c r="G138" s="27"/>
      <c r="H138" s="27"/>
      <c r="I138" s="27"/>
      <c r="J138" s="27"/>
      <c r="K138" s="27"/>
      <c r="L138" s="68">
        <f>(L74+L77+L78+L79)/-L80</f>
        <v>1.9758418740849195</v>
      </c>
      <c r="M138" s="27" t="s">
        <v>190</v>
      </c>
      <c r="N138" s="6"/>
    </row>
    <row r="139" spans="1:14" ht="15.75">
      <c r="A139" s="136"/>
      <c r="B139" s="27" t="s">
        <v>94</v>
      </c>
      <c r="C139" s="27"/>
      <c r="D139" s="27"/>
      <c r="E139" s="27"/>
      <c r="F139" s="27"/>
      <c r="G139" s="27"/>
      <c r="H139" s="27"/>
      <c r="I139" s="27"/>
      <c r="J139" s="27"/>
      <c r="K139" s="27"/>
      <c r="L139" s="68">
        <v>1.55</v>
      </c>
      <c r="M139" s="27" t="s">
        <v>190</v>
      </c>
      <c r="N139" s="6"/>
    </row>
    <row r="140" spans="1:14" ht="15.75">
      <c r="A140" s="136"/>
      <c r="B140" s="27" t="s">
        <v>95</v>
      </c>
      <c r="C140" s="27"/>
      <c r="D140" s="27"/>
      <c r="E140" s="27"/>
      <c r="F140" s="27"/>
      <c r="G140" s="27"/>
      <c r="H140" s="27"/>
      <c r="I140" s="27"/>
      <c r="J140" s="27"/>
      <c r="K140" s="27"/>
      <c r="L140" s="68">
        <f>(L74+SUM(L77:L81))/-L82</f>
        <v>4.733096085409253</v>
      </c>
      <c r="M140" s="27" t="s">
        <v>190</v>
      </c>
      <c r="N140" s="6"/>
    </row>
    <row r="141" spans="1:14" ht="15.75">
      <c r="A141" s="136"/>
      <c r="B141" s="27" t="s">
        <v>96</v>
      </c>
      <c r="C141" s="27"/>
      <c r="D141" s="27"/>
      <c r="E141" s="27"/>
      <c r="F141" s="27"/>
      <c r="G141" s="27"/>
      <c r="H141" s="27"/>
      <c r="I141" s="27"/>
      <c r="J141" s="27"/>
      <c r="K141" s="27"/>
      <c r="L141" s="81">
        <v>4.33</v>
      </c>
      <c r="M141" s="27" t="s">
        <v>190</v>
      </c>
      <c r="N141" s="6"/>
    </row>
    <row r="142" spans="1:14" ht="15.75">
      <c r="A142" s="136"/>
      <c r="B142" s="27" t="s">
        <v>97</v>
      </c>
      <c r="C142" s="27"/>
      <c r="D142" s="27"/>
      <c r="E142" s="27"/>
      <c r="F142" s="27"/>
      <c r="G142" s="27"/>
      <c r="H142" s="27"/>
      <c r="I142" s="27"/>
      <c r="J142" s="27"/>
      <c r="K142" s="27"/>
      <c r="L142" s="68">
        <f>(L74+L77+L78+L79+L80+L81+L82)/-L83</f>
        <v>5.324873096446701</v>
      </c>
      <c r="M142" s="27" t="s">
        <v>190</v>
      </c>
      <c r="N142" s="6"/>
    </row>
    <row r="143" spans="1:14" ht="15.75">
      <c r="A143" s="136"/>
      <c r="B143" s="27" t="s">
        <v>98</v>
      </c>
      <c r="C143" s="27"/>
      <c r="D143" s="27"/>
      <c r="E143" s="27"/>
      <c r="F143" s="27"/>
      <c r="G143" s="27"/>
      <c r="H143" s="27"/>
      <c r="I143" s="27"/>
      <c r="J143" s="27"/>
      <c r="K143" s="27"/>
      <c r="L143" s="80">
        <v>4.76</v>
      </c>
      <c r="M143" s="27" t="s">
        <v>190</v>
      </c>
      <c r="N143" s="6"/>
    </row>
    <row r="144" spans="1:14" ht="15.75">
      <c r="A144" s="136"/>
      <c r="B144" s="27"/>
      <c r="C144" s="27"/>
      <c r="D144" s="27"/>
      <c r="E144" s="27"/>
      <c r="F144" s="27"/>
      <c r="G144" s="27"/>
      <c r="H144" s="27"/>
      <c r="I144" s="27"/>
      <c r="J144" s="27"/>
      <c r="K144" s="27"/>
      <c r="L144" s="27"/>
      <c r="M144" s="27"/>
      <c r="N144" s="6"/>
    </row>
    <row r="145" spans="1:14" ht="15">
      <c r="A145" s="119"/>
      <c r="B145" s="15"/>
      <c r="C145" s="15"/>
      <c r="D145" s="15"/>
      <c r="E145" s="15"/>
      <c r="F145" s="15"/>
      <c r="G145" s="15"/>
      <c r="H145" s="15"/>
      <c r="I145" s="15"/>
      <c r="J145" s="15"/>
      <c r="K145" s="15"/>
      <c r="L145" s="15"/>
      <c r="M145" s="15"/>
      <c r="N145" s="6"/>
    </row>
    <row r="146" spans="1:14" ht="15.75">
      <c r="A146" s="135"/>
      <c r="B146" s="83" t="s">
        <v>99</v>
      </c>
      <c r="C146" s="84"/>
      <c r="D146" s="84"/>
      <c r="E146" s="84"/>
      <c r="F146" s="84"/>
      <c r="G146" s="85"/>
      <c r="H146" s="85"/>
      <c r="I146" s="85"/>
      <c r="J146" s="85">
        <v>36677</v>
      </c>
      <c r="K146" s="86"/>
      <c r="L146" s="5"/>
      <c r="M146" s="5"/>
      <c r="N146" s="6"/>
    </row>
    <row r="147" spans="1:14" ht="15.75">
      <c r="A147" s="119"/>
      <c r="B147" s="89"/>
      <c r="C147" s="90"/>
      <c r="D147" s="90"/>
      <c r="E147" s="90"/>
      <c r="F147" s="90"/>
      <c r="G147" s="91"/>
      <c r="H147" s="91"/>
      <c r="I147" s="91"/>
      <c r="J147" s="91"/>
      <c r="K147" s="10"/>
      <c r="L147" s="10"/>
      <c r="M147" s="10"/>
      <c r="N147" s="6"/>
    </row>
    <row r="148" spans="1:14" ht="15.75">
      <c r="A148" s="136"/>
      <c r="B148" s="93" t="s">
        <v>100</v>
      </c>
      <c r="C148" s="94"/>
      <c r="D148" s="94"/>
      <c r="E148" s="94"/>
      <c r="F148" s="94"/>
      <c r="G148" s="75"/>
      <c r="H148" s="75"/>
      <c r="I148" s="75"/>
      <c r="J148" s="95">
        <v>0.0981</v>
      </c>
      <c r="K148" s="27"/>
      <c r="L148" s="27"/>
      <c r="M148" s="27"/>
      <c r="N148" s="6"/>
    </row>
    <row r="149" spans="1:14" ht="15.75">
      <c r="A149" s="136"/>
      <c r="B149" s="93" t="s">
        <v>101</v>
      </c>
      <c r="C149" s="94"/>
      <c r="D149" s="94"/>
      <c r="E149" s="94"/>
      <c r="F149" s="94"/>
      <c r="G149" s="75"/>
      <c r="H149" s="75"/>
      <c r="I149" s="75"/>
      <c r="J149" s="44">
        <f>6.96640642439395/100</f>
        <v>0.0696640642439395</v>
      </c>
      <c r="K149" s="27"/>
      <c r="L149" s="27"/>
      <c r="M149" s="27"/>
      <c r="N149" s="6"/>
    </row>
    <row r="150" spans="1:14" ht="15.75">
      <c r="A150" s="136"/>
      <c r="B150" s="93" t="s">
        <v>102</v>
      </c>
      <c r="C150" s="94"/>
      <c r="D150" s="94"/>
      <c r="E150" s="94"/>
      <c r="F150" s="94"/>
      <c r="G150" s="75"/>
      <c r="H150" s="75"/>
      <c r="I150" s="75"/>
      <c r="J150" s="95">
        <f>J148-J149</f>
        <v>0.0284359357560605</v>
      </c>
      <c r="K150" s="27"/>
      <c r="L150" s="27"/>
      <c r="M150" s="27"/>
      <c r="N150" s="6"/>
    </row>
    <row r="151" spans="1:14" ht="15.75">
      <c r="A151" s="136"/>
      <c r="B151" s="93" t="s">
        <v>103</v>
      </c>
      <c r="C151" s="94"/>
      <c r="D151" s="94"/>
      <c r="E151" s="94"/>
      <c r="F151" s="94"/>
      <c r="G151" s="75"/>
      <c r="H151" s="75"/>
      <c r="I151" s="75"/>
      <c r="J151" s="95">
        <v>0.09285</v>
      </c>
      <c r="K151" s="27"/>
      <c r="L151" s="27"/>
      <c r="M151" s="27"/>
      <c r="N151" s="6"/>
    </row>
    <row r="152" spans="1:14" ht="15.75">
      <c r="A152" s="136"/>
      <c r="B152" s="93" t="s">
        <v>104</v>
      </c>
      <c r="C152" s="94"/>
      <c r="D152" s="94"/>
      <c r="E152" s="94"/>
      <c r="F152" s="94"/>
      <c r="G152" s="75"/>
      <c r="H152" s="75"/>
      <c r="I152" s="75"/>
      <c r="J152" s="95">
        <f>L28</f>
        <v>0.06472401849373663</v>
      </c>
      <c r="K152" s="27"/>
      <c r="L152" s="27"/>
      <c r="M152" s="27"/>
      <c r="N152" s="6"/>
    </row>
    <row r="153" spans="1:14" ht="15.75">
      <c r="A153" s="136"/>
      <c r="B153" s="93" t="s">
        <v>105</v>
      </c>
      <c r="C153" s="94"/>
      <c r="D153" s="94"/>
      <c r="E153" s="94"/>
      <c r="F153" s="94"/>
      <c r="G153" s="75"/>
      <c r="H153" s="75"/>
      <c r="I153" s="75"/>
      <c r="J153" s="95">
        <f>J151-J152</f>
        <v>0.028125981506263373</v>
      </c>
      <c r="K153" s="27"/>
      <c r="L153" s="27"/>
      <c r="M153" s="27"/>
      <c r="N153" s="6"/>
    </row>
    <row r="154" spans="1:14" ht="15.75">
      <c r="A154" s="136"/>
      <c r="B154" s="93" t="s">
        <v>106</v>
      </c>
      <c r="C154" s="94"/>
      <c r="D154" s="94"/>
      <c r="E154" s="94"/>
      <c r="F154" s="94"/>
      <c r="G154" s="75"/>
      <c r="H154" s="75"/>
      <c r="I154" s="75"/>
      <c r="J154" s="95" t="s">
        <v>177</v>
      </c>
      <c r="K154" s="27"/>
      <c r="L154" s="27"/>
      <c r="M154" s="27"/>
      <c r="N154" s="6"/>
    </row>
    <row r="155" spans="1:14" ht="15.75">
      <c r="A155" s="136"/>
      <c r="B155" s="93" t="s">
        <v>107</v>
      </c>
      <c r="C155" s="94"/>
      <c r="D155" s="94"/>
      <c r="E155" s="94"/>
      <c r="F155" s="94"/>
      <c r="G155" s="75"/>
      <c r="H155" s="75"/>
      <c r="I155" s="75"/>
      <c r="J155" s="95" t="s">
        <v>178</v>
      </c>
      <c r="K155" s="27"/>
      <c r="L155" s="27"/>
      <c r="M155" s="27"/>
      <c r="N155" s="6"/>
    </row>
    <row r="156" spans="1:14" ht="15.75">
      <c r="A156" s="136"/>
      <c r="B156" s="93" t="s">
        <v>108</v>
      </c>
      <c r="C156" s="94"/>
      <c r="D156" s="94"/>
      <c r="E156" s="94"/>
      <c r="F156" s="94"/>
      <c r="G156" s="75"/>
      <c r="H156" s="75"/>
      <c r="I156" s="75"/>
      <c r="J156" s="95" t="s">
        <v>200</v>
      </c>
      <c r="K156" s="27"/>
      <c r="L156" s="27"/>
      <c r="M156" s="27"/>
      <c r="N156" s="6"/>
    </row>
    <row r="157" spans="1:14" ht="15.75">
      <c r="A157" s="136"/>
      <c r="B157" s="93" t="s">
        <v>109</v>
      </c>
      <c r="C157" s="94"/>
      <c r="D157" s="94"/>
      <c r="E157" s="94"/>
      <c r="F157" s="94"/>
      <c r="G157" s="75"/>
      <c r="H157" s="133"/>
      <c r="I157" s="75"/>
      <c r="J157" s="95">
        <f>F52/D52*4</f>
        <v>0.27438930711322784</v>
      </c>
      <c r="K157" s="27"/>
      <c r="L157" s="27"/>
      <c r="M157" s="27"/>
      <c r="N157" s="6"/>
    </row>
    <row r="158" spans="1:14" ht="15.75">
      <c r="A158" s="136"/>
      <c r="B158" s="93"/>
      <c r="C158" s="93"/>
      <c r="D158" s="93"/>
      <c r="E158" s="93"/>
      <c r="F158" s="93"/>
      <c r="G158" s="27"/>
      <c r="H158" s="27"/>
      <c r="I158" s="27"/>
      <c r="J158" s="72"/>
      <c r="K158" s="27"/>
      <c r="L158" s="97"/>
      <c r="M158" s="27"/>
      <c r="N158" s="6"/>
    </row>
    <row r="159" spans="1:14" ht="15.75">
      <c r="A159" s="119"/>
      <c r="B159" s="17" t="s">
        <v>110</v>
      </c>
      <c r="C159" s="20"/>
      <c r="D159" s="99"/>
      <c r="E159" s="20"/>
      <c r="F159" s="99"/>
      <c r="G159" s="20"/>
      <c r="H159" s="99"/>
      <c r="I159" s="20" t="s">
        <v>164</v>
      </c>
      <c r="J159" s="99" t="s">
        <v>180</v>
      </c>
      <c r="K159" s="18"/>
      <c r="L159" s="18"/>
      <c r="M159" s="10"/>
      <c r="N159" s="6"/>
    </row>
    <row r="160" spans="1:14" ht="15.75">
      <c r="A160" s="136"/>
      <c r="B160" s="93" t="s">
        <v>111</v>
      </c>
      <c r="C160" s="59"/>
      <c r="D160" s="59"/>
      <c r="E160" s="59"/>
      <c r="F160" s="27"/>
      <c r="G160" s="27"/>
      <c r="H160" s="27"/>
      <c r="I160" s="27">
        <v>119</v>
      </c>
      <c r="J160" s="58">
        <v>7737</v>
      </c>
      <c r="K160" s="27"/>
      <c r="L160" s="97"/>
      <c r="M160" s="102"/>
      <c r="N160" s="6"/>
    </row>
    <row r="161" spans="1:14" ht="15.75">
      <c r="A161" s="136"/>
      <c r="B161" s="93" t="s">
        <v>112</v>
      </c>
      <c r="C161" s="59"/>
      <c r="D161" s="59"/>
      <c r="E161" s="59"/>
      <c r="F161" s="27"/>
      <c r="G161" s="27"/>
      <c r="H161" s="27"/>
      <c r="I161" s="27">
        <v>18</v>
      </c>
      <c r="J161" s="58">
        <v>1201</v>
      </c>
      <c r="K161" s="27"/>
      <c r="L161" s="97"/>
      <c r="M161" s="102"/>
      <c r="N161" s="6"/>
    </row>
    <row r="162" spans="1:14" ht="15.75">
      <c r="A162" s="136"/>
      <c r="B162" s="103" t="s">
        <v>113</v>
      </c>
      <c r="C162" s="59"/>
      <c r="D162" s="59"/>
      <c r="E162" s="59"/>
      <c r="F162" s="27"/>
      <c r="G162" s="27"/>
      <c r="H162" s="27"/>
      <c r="I162" s="27"/>
      <c r="J162" s="58">
        <v>0</v>
      </c>
      <c r="K162" s="27"/>
      <c r="L162" s="97"/>
      <c r="M162" s="102"/>
      <c r="N162" s="6"/>
    </row>
    <row r="163" spans="1:14" ht="15.75">
      <c r="A163" s="136"/>
      <c r="B163" s="103" t="s">
        <v>114</v>
      </c>
      <c r="C163" s="59"/>
      <c r="D163" s="59"/>
      <c r="E163" s="59"/>
      <c r="F163" s="27"/>
      <c r="G163" s="27"/>
      <c r="H163" s="27"/>
      <c r="I163" s="27"/>
      <c r="J163" s="68" t="s">
        <v>139</v>
      </c>
      <c r="K163" s="27"/>
      <c r="L163" s="97"/>
      <c r="M163" s="102"/>
      <c r="N163" s="6"/>
    </row>
    <row r="164" spans="1:14" ht="15.75">
      <c r="A164" s="136"/>
      <c r="B164" s="103" t="s">
        <v>115</v>
      </c>
      <c r="C164" s="59"/>
      <c r="D164" s="93"/>
      <c r="E164" s="93"/>
      <c r="F164" s="93"/>
      <c r="G164" s="27"/>
      <c r="H164" s="27"/>
      <c r="I164" s="27"/>
      <c r="J164" s="68"/>
      <c r="K164" s="27"/>
      <c r="L164" s="97"/>
      <c r="M164" s="105"/>
      <c r="N164" s="6"/>
    </row>
    <row r="165" spans="1:14" ht="15.75">
      <c r="A165" s="136"/>
      <c r="B165" s="93" t="s">
        <v>116</v>
      </c>
      <c r="C165" s="59"/>
      <c r="D165" s="59"/>
      <c r="E165" s="59"/>
      <c r="F165" s="59"/>
      <c r="G165" s="27"/>
      <c r="H165" s="27"/>
      <c r="I165" s="27">
        <v>9</v>
      </c>
      <c r="J165" s="58">
        <v>96</v>
      </c>
      <c r="K165" s="27"/>
      <c r="L165" s="97"/>
      <c r="M165" s="105"/>
      <c r="N165" s="6"/>
    </row>
    <row r="166" spans="1:14" ht="15.75">
      <c r="A166" s="136"/>
      <c r="B166" s="93" t="s">
        <v>117</v>
      </c>
      <c r="C166" s="59"/>
      <c r="D166" s="59"/>
      <c r="E166" s="59"/>
      <c r="F166" s="59"/>
      <c r="G166" s="27"/>
      <c r="H166" s="27"/>
      <c r="I166" s="58">
        <v>86</v>
      </c>
      <c r="J166" s="58">
        <v>1407</v>
      </c>
      <c r="K166" s="27"/>
      <c r="L166" s="97"/>
      <c r="M166" s="105"/>
      <c r="N166" s="6"/>
    </row>
    <row r="167" spans="1:14" ht="15.75">
      <c r="A167" s="136"/>
      <c r="B167" s="103" t="s">
        <v>118</v>
      </c>
      <c r="C167" s="59"/>
      <c r="D167" s="93"/>
      <c r="E167" s="93"/>
      <c r="F167" s="93"/>
      <c r="G167" s="27"/>
      <c r="H167" s="27"/>
      <c r="I167" s="27"/>
      <c r="J167" s="58"/>
      <c r="K167" s="27"/>
      <c r="L167" s="97"/>
      <c r="M167" s="105"/>
      <c r="N167" s="6"/>
    </row>
    <row r="168" spans="1:14" ht="15.75">
      <c r="A168" s="136"/>
      <c r="B168" s="93" t="s">
        <v>119</v>
      </c>
      <c r="C168" s="59"/>
      <c r="D168" s="93"/>
      <c r="E168" s="93"/>
      <c r="F168" s="93"/>
      <c r="G168" s="27"/>
      <c r="H168" s="27"/>
      <c r="I168" s="27">
        <v>4</v>
      </c>
      <c r="J168" s="58">
        <v>291</v>
      </c>
      <c r="K168" s="27"/>
      <c r="L168" s="97"/>
      <c r="M168" s="105"/>
      <c r="N168" s="6"/>
    </row>
    <row r="169" spans="1:14" ht="15.75">
      <c r="A169" s="136"/>
      <c r="B169" s="93" t="s">
        <v>120</v>
      </c>
      <c r="C169" s="59"/>
      <c r="D169" s="106"/>
      <c r="E169" s="106"/>
      <c r="F169" s="107"/>
      <c r="G169" s="27"/>
      <c r="H169" s="27"/>
      <c r="I169" s="27"/>
      <c r="J169" s="68">
        <v>14.2</v>
      </c>
      <c r="K169" s="27"/>
      <c r="L169" s="97"/>
      <c r="M169" s="105"/>
      <c r="N169" s="6"/>
    </row>
    <row r="170" spans="1:14" ht="15.75">
      <c r="A170" s="136"/>
      <c r="B170" s="93" t="s">
        <v>197</v>
      </c>
      <c r="C170" s="59"/>
      <c r="D170" s="106"/>
      <c r="E170" s="106"/>
      <c r="F170" s="107"/>
      <c r="G170" s="27"/>
      <c r="H170" s="27"/>
      <c r="I170" s="27"/>
      <c r="J170" s="68">
        <v>14.5</v>
      </c>
      <c r="K170" s="27"/>
      <c r="L170" s="97"/>
      <c r="M170" s="105"/>
      <c r="N170" s="6"/>
    </row>
    <row r="171" spans="1:14" ht="15.75">
      <c r="A171" s="136"/>
      <c r="B171" s="93" t="s">
        <v>122</v>
      </c>
      <c r="C171" s="59"/>
      <c r="D171" s="108"/>
      <c r="E171" s="106"/>
      <c r="F171" s="107"/>
      <c r="G171" s="27"/>
      <c r="H171" s="27"/>
      <c r="I171" s="27"/>
      <c r="J171" s="109">
        <v>1.11</v>
      </c>
      <c r="K171" s="27"/>
      <c r="L171" s="97"/>
      <c r="M171" s="105"/>
      <c r="N171" s="6"/>
    </row>
    <row r="172" spans="1:14" ht="15.75">
      <c r="A172" s="136"/>
      <c r="B172" s="93"/>
      <c r="C172" s="59"/>
      <c r="D172" s="108"/>
      <c r="E172" s="106"/>
      <c r="F172" s="107"/>
      <c r="G172" s="27"/>
      <c r="H172" s="27"/>
      <c r="I172" s="27"/>
      <c r="J172" s="109"/>
      <c r="K172" s="27"/>
      <c r="L172" s="97"/>
      <c r="M172" s="105"/>
      <c r="N172" s="6"/>
    </row>
    <row r="173" spans="1:14" ht="15.75">
      <c r="A173" s="119"/>
      <c r="B173" s="17" t="s">
        <v>123</v>
      </c>
      <c r="C173" s="20"/>
      <c r="D173" s="99"/>
      <c r="E173" s="20"/>
      <c r="F173" s="99"/>
      <c r="G173" s="20"/>
      <c r="H173" s="99" t="s">
        <v>164</v>
      </c>
      <c r="I173" s="20" t="s">
        <v>165</v>
      </c>
      <c r="J173" s="99" t="s">
        <v>181</v>
      </c>
      <c r="K173" s="20" t="s">
        <v>165</v>
      </c>
      <c r="L173" s="18"/>
      <c r="M173" s="112"/>
      <c r="N173" s="6"/>
    </row>
    <row r="174" spans="1:14" ht="15.75">
      <c r="A174" s="136"/>
      <c r="B174" s="59" t="s">
        <v>124</v>
      </c>
      <c r="C174" s="113"/>
      <c r="D174" s="59"/>
      <c r="E174" s="113"/>
      <c r="F174" s="27"/>
      <c r="G174" s="113"/>
      <c r="H174" s="59">
        <f>896+1444</f>
        <v>2340</v>
      </c>
      <c r="I174" s="113">
        <f>H174/H180</f>
        <v>0.7986348122866894</v>
      </c>
      <c r="J174" s="58">
        <f>34527+48897</f>
        <v>83424</v>
      </c>
      <c r="K174" s="113">
        <f>J174/J180</f>
        <v>0.7628453076564343</v>
      </c>
      <c r="L174" s="97"/>
      <c r="M174" s="105"/>
      <c r="N174" s="6"/>
    </row>
    <row r="175" spans="1:14" ht="15.75">
      <c r="A175" s="136"/>
      <c r="B175" s="59" t="s">
        <v>125</v>
      </c>
      <c r="C175" s="113"/>
      <c r="D175" s="59"/>
      <c r="E175" s="113"/>
      <c r="F175" s="27"/>
      <c r="G175" s="115"/>
      <c r="H175" s="59">
        <f>61+41</f>
        <v>102</v>
      </c>
      <c r="I175" s="113">
        <f>H175/H180</f>
        <v>0.0348122866894198</v>
      </c>
      <c r="J175" s="58">
        <f>2435+1561</f>
        <v>3996</v>
      </c>
      <c r="K175" s="113">
        <f>J175/J180</f>
        <v>0.036540202452473046</v>
      </c>
      <c r="L175" s="97"/>
      <c r="M175" s="105"/>
      <c r="N175" s="6"/>
    </row>
    <row r="176" spans="1:14" ht="15.75">
      <c r="A176" s="136"/>
      <c r="B176" s="59" t="s">
        <v>126</v>
      </c>
      <c r="C176" s="113"/>
      <c r="D176" s="59"/>
      <c r="E176" s="113"/>
      <c r="F176" s="27"/>
      <c r="G176" s="115"/>
      <c r="H176" s="59">
        <f>31+15</f>
        <v>46</v>
      </c>
      <c r="I176" s="113">
        <f>H176/H180</f>
        <v>0.015699658703071672</v>
      </c>
      <c r="J176" s="58">
        <f>1302+512</f>
        <v>1814</v>
      </c>
      <c r="K176" s="113">
        <f>J176/J180</f>
        <v>0.016587569381578106</v>
      </c>
      <c r="L176" s="97"/>
      <c r="M176" s="105"/>
      <c r="N176" s="6"/>
    </row>
    <row r="177" spans="1:14" ht="15.75">
      <c r="A177" s="136"/>
      <c r="B177" s="59" t="s">
        <v>127</v>
      </c>
      <c r="C177" s="113"/>
      <c r="D177" s="59"/>
      <c r="E177" s="113"/>
      <c r="F177" s="27"/>
      <c r="G177" s="115"/>
      <c r="H177" s="59">
        <f>29+303+23+87</f>
        <v>442</v>
      </c>
      <c r="I177" s="113">
        <f>H177/H180</f>
        <v>0.15085324232081912</v>
      </c>
      <c r="J177" s="58">
        <f>1170+15624+11+694+1926+1039-1000+661</f>
        <v>20125</v>
      </c>
      <c r="K177" s="113">
        <f>J177/J180</f>
        <v>0.18402692050951452</v>
      </c>
      <c r="L177" s="97"/>
      <c r="M177" s="105"/>
      <c r="N177" s="6"/>
    </row>
    <row r="178" spans="1:14" ht="15.75">
      <c r="A178" s="136"/>
      <c r="B178" s="30"/>
      <c r="C178" s="113"/>
      <c r="D178" s="59"/>
      <c r="E178" s="113"/>
      <c r="F178" s="27"/>
      <c r="G178" s="115"/>
      <c r="H178" s="59"/>
      <c r="I178" s="113"/>
      <c r="J178" s="58"/>
      <c r="K178" s="114"/>
      <c r="L178" s="97"/>
      <c r="M178" s="105"/>
      <c r="N178" s="6"/>
    </row>
    <row r="179" spans="1:14" ht="15.75">
      <c r="A179" s="136"/>
      <c r="B179" s="59"/>
      <c r="C179" s="116"/>
      <c r="D179" s="102"/>
      <c r="E179" s="116"/>
      <c r="F179" s="27"/>
      <c r="G179" s="116"/>
      <c r="H179" s="102"/>
      <c r="I179" s="116"/>
      <c r="J179" s="58"/>
      <c r="K179" s="113"/>
      <c r="L179" s="97"/>
      <c r="M179" s="105"/>
      <c r="N179" s="6"/>
    </row>
    <row r="180" spans="1:14" ht="15.75">
      <c r="A180" s="136"/>
      <c r="B180" s="27"/>
      <c r="C180" s="27"/>
      <c r="D180" s="27"/>
      <c r="E180" s="27"/>
      <c r="F180" s="27"/>
      <c r="G180" s="27"/>
      <c r="H180" s="57">
        <f>SUM(H174:H178)</f>
        <v>2930</v>
      </c>
      <c r="I180" s="114">
        <f>SUM(I174:I177)</f>
        <v>1</v>
      </c>
      <c r="J180" s="58">
        <f>SUM(J174:J179)</f>
        <v>109359</v>
      </c>
      <c r="K180" s="114">
        <f>SUM(K174:K179)</f>
        <v>1</v>
      </c>
      <c r="L180" s="97"/>
      <c r="M180" s="27"/>
      <c r="N180" s="6"/>
    </row>
    <row r="181" spans="1:14" ht="15.75">
      <c r="A181" s="136"/>
      <c r="B181" s="27"/>
      <c r="C181" s="27"/>
      <c r="D181" s="27"/>
      <c r="E181" s="27"/>
      <c r="F181" s="27"/>
      <c r="G181" s="27"/>
      <c r="H181" s="57"/>
      <c r="I181" s="114"/>
      <c r="J181" s="58"/>
      <c r="K181" s="114"/>
      <c r="L181" s="97"/>
      <c r="M181" s="27"/>
      <c r="N181" s="6"/>
    </row>
    <row r="182" spans="1:14" ht="15.75">
      <c r="A182" s="119"/>
      <c r="B182" s="10"/>
      <c r="C182" s="10"/>
      <c r="D182" s="10"/>
      <c r="E182" s="10"/>
      <c r="F182" s="10"/>
      <c r="G182" s="10"/>
      <c r="H182" s="60"/>
      <c r="I182" s="117"/>
      <c r="J182" s="118"/>
      <c r="K182" s="117"/>
      <c r="L182" s="79"/>
      <c r="M182" s="10"/>
      <c r="N182" s="6"/>
    </row>
    <row r="183" spans="1:14" ht="15.75">
      <c r="A183" s="119"/>
      <c r="B183" s="17" t="s">
        <v>129</v>
      </c>
      <c r="C183" s="120"/>
      <c r="D183" s="20" t="s">
        <v>144</v>
      </c>
      <c r="E183" s="18"/>
      <c r="F183" s="17" t="s">
        <v>154</v>
      </c>
      <c r="G183" s="121"/>
      <c r="H183" s="121"/>
      <c r="I183" s="121"/>
      <c r="J183" s="121"/>
      <c r="K183" s="15"/>
      <c r="L183" s="15"/>
      <c r="M183" s="15"/>
      <c r="N183" s="6"/>
    </row>
    <row r="184" spans="1:14" ht="15.75">
      <c r="A184" s="119"/>
      <c r="B184" s="15"/>
      <c r="C184" s="15"/>
      <c r="D184" s="10"/>
      <c r="E184" s="10"/>
      <c r="F184" s="10"/>
      <c r="G184" s="15"/>
      <c r="H184" s="15"/>
      <c r="I184" s="15"/>
      <c r="J184" s="15"/>
      <c r="K184" s="15"/>
      <c r="L184" s="15"/>
      <c r="M184" s="15"/>
      <c r="N184" s="6"/>
    </row>
    <row r="185" spans="1:14" ht="15.75">
      <c r="A185" s="119"/>
      <c r="B185" s="16" t="s">
        <v>130</v>
      </c>
      <c r="C185" s="124"/>
      <c r="D185" s="125" t="s">
        <v>145</v>
      </c>
      <c r="E185" s="16"/>
      <c r="F185" s="16" t="s">
        <v>155</v>
      </c>
      <c r="G185" s="124"/>
      <c r="H185" s="124"/>
      <c r="I185" s="124"/>
      <c r="J185" s="124"/>
      <c r="K185" s="15"/>
      <c r="L185" s="15"/>
      <c r="M185" s="15"/>
      <c r="N185" s="6"/>
    </row>
    <row r="186" spans="1:14" ht="15.75">
      <c r="A186" s="119"/>
      <c r="B186" s="16" t="s">
        <v>131</v>
      </c>
      <c r="C186" s="124"/>
      <c r="D186" s="125" t="s">
        <v>146</v>
      </c>
      <c r="E186" s="16"/>
      <c r="F186" s="16" t="s">
        <v>156</v>
      </c>
      <c r="G186" s="124"/>
      <c r="H186" s="124"/>
      <c r="I186" s="124"/>
      <c r="J186" s="124"/>
      <c r="K186" s="15"/>
      <c r="L186" s="15"/>
      <c r="M186" s="15"/>
      <c r="N186" s="6"/>
    </row>
    <row r="187" spans="1:14" ht="15">
      <c r="A187" s="119"/>
      <c r="B187" s="15"/>
      <c r="C187" s="15"/>
      <c r="D187" s="15"/>
      <c r="E187" s="15"/>
      <c r="F187" s="15"/>
      <c r="G187" s="15"/>
      <c r="H187" s="15"/>
      <c r="I187" s="15"/>
      <c r="J187" s="15"/>
      <c r="K187" s="15"/>
      <c r="L187" s="15"/>
      <c r="M187" s="15"/>
      <c r="N187" s="6"/>
    </row>
    <row r="188" spans="1:14" ht="15">
      <c r="A188" s="126"/>
      <c r="B188" s="126"/>
      <c r="C188" s="126"/>
      <c r="D188" s="126"/>
      <c r="E188" s="126"/>
      <c r="F188" s="126"/>
      <c r="G188" s="126"/>
      <c r="H188" s="126"/>
      <c r="I188" s="126"/>
      <c r="J188" s="126"/>
      <c r="K188" s="126"/>
      <c r="L188" s="126"/>
      <c r="M188" s="126"/>
      <c r="N188" s="7"/>
    </row>
  </sheetData>
  <printOptions/>
  <pageMargins left="0.5" right="0.5" top="0.3" bottom="0.3423611111111111" header="0" footer="0"/>
  <pageSetup orientation="landscape" paperSize="9" scale="63"/>
  <headerFooter alignWithMargins="0">
    <oddFooter>&amp;LFFP1 INVESTOR REPORT QTR END AUGUST 2001</oddFooter>
  </headerFooter>
</worksheet>
</file>

<file path=xl/worksheets/sheet6.xml><?xml version="1.0" encoding="utf-8"?>
<worksheet xmlns="http://schemas.openxmlformats.org/spreadsheetml/2006/main" xmlns:r="http://schemas.openxmlformats.org/officeDocument/2006/relationships">
  <dimension ref="A1:N189"/>
  <sheetViews>
    <sheetView showOutlineSymbols="0" zoomScale="70" zoomScaleNormal="70" workbookViewId="0" topLeftCell="C1">
      <selection activeCell="M9" sqref="M9"/>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9.6640625" style="1" customWidth="1"/>
    <col min="12" max="12" width="13.6640625" style="1" customWidth="1"/>
    <col min="13" max="13" width="19.3359375" style="1" customWidth="1"/>
    <col min="14" max="16384" width="9.6640625" style="1" customWidth="1"/>
  </cols>
  <sheetData>
    <row r="1" spans="1:14" ht="20.25">
      <c r="A1" s="135"/>
      <c r="B1" s="3" t="s">
        <v>0</v>
      </c>
      <c r="C1" s="4"/>
      <c r="D1" s="5"/>
      <c r="E1" s="5"/>
      <c r="F1" s="5"/>
      <c r="G1" s="5"/>
      <c r="H1" s="5"/>
      <c r="I1" s="5"/>
      <c r="J1" s="5"/>
      <c r="K1" s="5"/>
      <c r="L1" s="5"/>
      <c r="M1" s="5"/>
      <c r="N1" s="138"/>
    </row>
    <row r="2" spans="1:14" ht="15.75">
      <c r="A2" s="119"/>
      <c r="B2" s="9"/>
      <c r="C2" s="9"/>
      <c r="D2" s="10"/>
      <c r="E2" s="10"/>
      <c r="F2" s="10"/>
      <c r="G2" s="10"/>
      <c r="H2" s="10"/>
      <c r="I2" s="10"/>
      <c r="J2" s="10"/>
      <c r="K2" s="10"/>
      <c r="L2" s="10"/>
      <c r="M2" s="10"/>
      <c r="N2" s="138"/>
    </row>
    <row r="3" spans="1:14" ht="15.75">
      <c r="A3" s="119"/>
      <c r="B3" s="12" t="s">
        <v>1</v>
      </c>
      <c r="C3" s="10"/>
      <c r="D3" s="10"/>
      <c r="E3" s="10"/>
      <c r="F3" s="10"/>
      <c r="G3" s="10"/>
      <c r="H3" s="10"/>
      <c r="I3" s="10"/>
      <c r="J3" s="10"/>
      <c r="K3" s="10"/>
      <c r="L3" s="10"/>
      <c r="M3" s="10"/>
      <c r="N3" s="138"/>
    </row>
    <row r="4" spans="1:14" ht="15.75">
      <c r="A4" s="119"/>
      <c r="B4" s="9"/>
      <c r="C4" s="9"/>
      <c r="D4" s="10"/>
      <c r="E4" s="10"/>
      <c r="F4" s="10"/>
      <c r="G4" s="10"/>
      <c r="H4" s="10"/>
      <c r="I4" s="10"/>
      <c r="J4" s="10"/>
      <c r="K4" s="10"/>
      <c r="L4" s="10"/>
      <c r="M4" s="10"/>
      <c r="N4" s="138"/>
    </row>
    <row r="5" spans="1:14" ht="15.75">
      <c r="A5" s="119"/>
      <c r="B5" s="13" t="s">
        <v>2</v>
      </c>
      <c r="C5" s="14"/>
      <c r="D5" s="10"/>
      <c r="E5" s="10"/>
      <c r="F5" s="10"/>
      <c r="G5" s="10"/>
      <c r="H5" s="10"/>
      <c r="I5" s="10"/>
      <c r="J5" s="10"/>
      <c r="K5" s="10"/>
      <c r="L5" s="10"/>
      <c r="M5" s="10"/>
      <c r="N5" s="138"/>
    </row>
    <row r="6" spans="1:14" ht="15.75">
      <c r="A6" s="119"/>
      <c r="B6" s="13" t="s">
        <v>3</v>
      </c>
      <c r="C6" s="14"/>
      <c r="D6" s="10"/>
      <c r="E6" s="10"/>
      <c r="F6" s="10"/>
      <c r="G6" s="10"/>
      <c r="H6" s="10"/>
      <c r="I6" s="10"/>
      <c r="J6" s="10"/>
      <c r="K6" s="10"/>
      <c r="L6" s="10"/>
      <c r="M6" s="10"/>
      <c r="N6" s="138"/>
    </row>
    <row r="7" spans="1:14" ht="15.75">
      <c r="A7" s="119"/>
      <c r="B7" s="13" t="s">
        <v>4</v>
      </c>
      <c r="C7" s="14"/>
      <c r="D7" s="10"/>
      <c r="E7" s="10"/>
      <c r="F7" s="10"/>
      <c r="G7" s="10"/>
      <c r="H7" s="10"/>
      <c r="I7" s="10"/>
      <c r="J7" s="10"/>
      <c r="K7" s="10"/>
      <c r="L7" s="10"/>
      <c r="M7" s="10"/>
      <c r="N7" s="138"/>
    </row>
    <row r="8" spans="1:14" ht="15.75">
      <c r="A8" s="119"/>
      <c r="B8" s="15"/>
      <c r="C8" s="14"/>
      <c r="D8" s="10"/>
      <c r="E8" s="10"/>
      <c r="F8" s="10"/>
      <c r="G8" s="10"/>
      <c r="H8" s="10"/>
      <c r="I8" s="10"/>
      <c r="J8" s="10"/>
      <c r="K8" s="10"/>
      <c r="L8" s="10"/>
      <c r="M8" s="10"/>
      <c r="N8" s="138"/>
    </row>
    <row r="9" spans="1:14" ht="15.75">
      <c r="A9" s="119"/>
      <c r="B9" s="14"/>
      <c r="C9" s="14"/>
      <c r="D9" s="16"/>
      <c r="E9" s="16"/>
      <c r="F9" s="10"/>
      <c r="G9" s="10"/>
      <c r="H9" s="10"/>
      <c r="I9" s="10"/>
      <c r="J9" s="10"/>
      <c r="K9" s="10"/>
      <c r="L9" s="10"/>
      <c r="M9" s="10"/>
      <c r="N9" s="138"/>
    </row>
    <row r="10" spans="1:14" ht="15.75">
      <c r="A10" s="119"/>
      <c r="B10" s="17" t="s">
        <v>5</v>
      </c>
      <c r="C10" s="16"/>
      <c r="D10" s="10"/>
      <c r="E10" s="10"/>
      <c r="F10" s="10"/>
      <c r="G10" s="10"/>
      <c r="H10" s="10"/>
      <c r="I10" s="10"/>
      <c r="J10" s="10"/>
      <c r="K10" s="10"/>
      <c r="L10" s="10"/>
      <c r="M10" s="10"/>
      <c r="N10" s="138"/>
    </row>
    <row r="11" spans="1:14" ht="15.75">
      <c r="A11" s="119"/>
      <c r="B11" s="16"/>
      <c r="C11" s="16"/>
      <c r="D11" s="10"/>
      <c r="E11" s="10"/>
      <c r="F11" s="10"/>
      <c r="G11" s="10"/>
      <c r="H11" s="10"/>
      <c r="I11" s="10"/>
      <c r="J11" s="10"/>
      <c r="K11" s="10"/>
      <c r="L11" s="10"/>
      <c r="M11" s="10"/>
      <c r="N11" s="138"/>
    </row>
    <row r="12" spans="1:14" ht="15.75">
      <c r="A12" s="135"/>
      <c r="B12" s="5"/>
      <c r="C12" s="5"/>
      <c r="D12" s="5"/>
      <c r="E12" s="5"/>
      <c r="F12" s="5"/>
      <c r="G12" s="5"/>
      <c r="H12" s="5"/>
      <c r="I12" s="5"/>
      <c r="J12" s="5"/>
      <c r="K12" s="5"/>
      <c r="L12" s="5"/>
      <c r="M12" s="5"/>
      <c r="N12" s="138"/>
    </row>
    <row r="13" spans="1:14" ht="15.75">
      <c r="A13" s="119"/>
      <c r="B13" s="17" t="s">
        <v>6</v>
      </c>
      <c r="C13" s="17"/>
      <c r="D13" s="18"/>
      <c r="E13" s="18"/>
      <c r="F13" s="18"/>
      <c r="G13" s="18"/>
      <c r="H13" s="18"/>
      <c r="I13" s="18"/>
      <c r="J13" s="18"/>
      <c r="K13" s="18"/>
      <c r="L13" s="19" t="s">
        <v>183</v>
      </c>
      <c r="M13" s="10"/>
      <c r="N13" s="138"/>
    </row>
    <row r="14" spans="1:14" ht="15.75">
      <c r="A14" s="119"/>
      <c r="B14" s="17" t="s">
        <v>7</v>
      </c>
      <c r="C14" s="17"/>
      <c r="D14" s="18"/>
      <c r="E14" s="18"/>
      <c r="F14" s="18"/>
      <c r="G14" s="18"/>
      <c r="H14" s="18"/>
      <c r="I14" s="18"/>
      <c r="J14" s="18"/>
      <c r="K14" s="18"/>
      <c r="L14" s="20" t="s">
        <v>184</v>
      </c>
      <c r="M14" s="10"/>
      <c r="N14" s="138"/>
    </row>
    <row r="15" spans="1:14" ht="15.75">
      <c r="A15" s="119"/>
      <c r="B15" s="17" t="s">
        <v>8</v>
      </c>
      <c r="C15" s="17"/>
      <c r="D15" s="18"/>
      <c r="E15" s="18"/>
      <c r="F15" s="18"/>
      <c r="G15" s="18"/>
      <c r="H15" s="18"/>
      <c r="I15" s="18"/>
      <c r="J15" s="18"/>
      <c r="K15" s="18"/>
      <c r="L15" s="21">
        <v>36787</v>
      </c>
      <c r="M15" s="10"/>
      <c r="N15" s="138"/>
    </row>
    <row r="16" spans="1:14" ht="15.75">
      <c r="A16" s="119"/>
      <c r="B16" s="10"/>
      <c r="C16" s="10"/>
      <c r="D16" s="10"/>
      <c r="E16" s="10"/>
      <c r="F16" s="10"/>
      <c r="G16" s="10"/>
      <c r="H16" s="10"/>
      <c r="I16" s="10"/>
      <c r="J16" s="10"/>
      <c r="K16" s="10"/>
      <c r="L16" s="22"/>
      <c r="M16" s="10"/>
      <c r="N16" s="138"/>
    </row>
    <row r="17" spans="1:14" ht="15.75">
      <c r="A17" s="119"/>
      <c r="B17" s="10" t="s">
        <v>9</v>
      </c>
      <c r="C17" s="10"/>
      <c r="D17" s="10"/>
      <c r="E17" s="10"/>
      <c r="F17" s="10"/>
      <c r="G17" s="10"/>
      <c r="H17" s="10"/>
      <c r="I17" s="10"/>
      <c r="J17" s="22" t="s">
        <v>166</v>
      </c>
      <c r="K17" s="10"/>
      <c r="L17" s="15"/>
      <c r="M17" s="10"/>
      <c r="N17" s="138"/>
    </row>
    <row r="18" spans="1:14" ht="15.75">
      <c r="A18" s="119"/>
      <c r="B18" s="10"/>
      <c r="C18" s="10"/>
      <c r="D18" s="10"/>
      <c r="E18" s="10"/>
      <c r="F18" s="10"/>
      <c r="G18" s="10"/>
      <c r="H18" s="10"/>
      <c r="I18" s="10"/>
      <c r="J18" s="10"/>
      <c r="K18" s="10"/>
      <c r="L18" s="23"/>
      <c r="M18" s="10"/>
      <c r="N18" s="138"/>
    </row>
    <row r="19" spans="1:14" ht="15.75">
      <c r="A19" s="119"/>
      <c r="B19" s="10"/>
      <c r="C19" s="24" t="s">
        <v>202</v>
      </c>
      <c r="D19" s="25" t="s">
        <v>135</v>
      </c>
      <c r="E19" s="25"/>
      <c r="F19" s="25" t="s">
        <v>147</v>
      </c>
      <c r="G19" s="25"/>
      <c r="H19" s="25" t="s">
        <v>157</v>
      </c>
      <c r="I19" s="25"/>
      <c r="J19" s="25" t="s">
        <v>167</v>
      </c>
      <c r="K19" s="15"/>
      <c r="L19" s="15"/>
      <c r="M19" s="10"/>
      <c r="N19" s="138"/>
    </row>
    <row r="20" spans="1:14" ht="15.75">
      <c r="A20" s="136"/>
      <c r="B20" s="27" t="s">
        <v>10</v>
      </c>
      <c r="C20" s="28" t="s">
        <v>203</v>
      </c>
      <c r="D20" s="29" t="s">
        <v>136</v>
      </c>
      <c r="E20" s="29"/>
      <c r="F20" s="29" t="s">
        <v>136</v>
      </c>
      <c r="G20" s="29"/>
      <c r="H20" s="29" t="s">
        <v>158</v>
      </c>
      <c r="I20" s="29"/>
      <c r="J20" s="29" t="s">
        <v>168</v>
      </c>
      <c r="K20" s="30"/>
      <c r="L20" s="30"/>
      <c r="M20" s="27"/>
      <c r="N20" s="138"/>
    </row>
    <row r="21" spans="1:14" ht="15.75">
      <c r="A21" s="136"/>
      <c r="B21" s="31" t="s">
        <v>11</v>
      </c>
      <c r="C21" s="31"/>
      <c r="D21" s="32" t="s">
        <v>136</v>
      </c>
      <c r="E21" s="32"/>
      <c r="F21" s="32" t="s">
        <v>136</v>
      </c>
      <c r="G21" s="32"/>
      <c r="H21" s="32" t="s">
        <v>158</v>
      </c>
      <c r="I21" s="32"/>
      <c r="J21" s="32" t="s">
        <v>168</v>
      </c>
      <c r="K21" s="130"/>
      <c r="L21" s="130"/>
      <c r="M21" s="27"/>
      <c r="N21" s="138"/>
    </row>
    <row r="22" spans="1:14" ht="15.75">
      <c r="A22" s="136"/>
      <c r="B22" s="27" t="s">
        <v>12</v>
      </c>
      <c r="C22" s="27"/>
      <c r="D22" s="33" t="s">
        <v>137</v>
      </c>
      <c r="E22" s="29"/>
      <c r="F22" s="33" t="s">
        <v>148</v>
      </c>
      <c r="G22" s="29"/>
      <c r="H22" s="33" t="s">
        <v>159</v>
      </c>
      <c r="I22" s="29"/>
      <c r="J22" s="33" t="s">
        <v>169</v>
      </c>
      <c r="K22" s="30"/>
      <c r="L22" s="30"/>
      <c r="M22" s="27"/>
      <c r="N22" s="138"/>
    </row>
    <row r="23" spans="1:14" ht="15.75">
      <c r="A23" s="136"/>
      <c r="B23" s="27"/>
      <c r="C23" s="27"/>
      <c r="D23" s="27"/>
      <c r="E23" s="29"/>
      <c r="F23" s="29"/>
      <c r="G23" s="29"/>
      <c r="H23" s="29"/>
      <c r="I23" s="29"/>
      <c r="J23" s="29"/>
      <c r="K23" s="30"/>
      <c r="L23" s="30"/>
      <c r="M23" s="27"/>
      <c r="N23" s="138"/>
    </row>
    <row r="24" spans="1:14" ht="15.75">
      <c r="A24" s="136"/>
      <c r="B24" s="27" t="s">
        <v>13</v>
      </c>
      <c r="C24" s="27"/>
      <c r="D24" s="34">
        <v>67000</v>
      </c>
      <c r="E24" s="35"/>
      <c r="F24" s="34">
        <v>128780</v>
      </c>
      <c r="G24" s="34"/>
      <c r="H24" s="34">
        <v>16920</v>
      </c>
      <c r="I24" s="34"/>
      <c r="J24" s="34">
        <v>11290</v>
      </c>
      <c r="K24" s="36"/>
      <c r="L24" s="34">
        <f>J24+H24+F24+D24</f>
        <v>223990</v>
      </c>
      <c r="M24" s="37"/>
      <c r="N24" s="138"/>
    </row>
    <row r="25" spans="1:14" ht="15.75">
      <c r="A25" s="136"/>
      <c r="B25" s="27" t="s">
        <v>14</v>
      </c>
      <c r="C25" s="93">
        <v>0.639541</v>
      </c>
      <c r="D25" s="34">
        <v>0</v>
      </c>
      <c r="E25" s="35"/>
      <c r="F25" s="34">
        <f>120780*C25</f>
        <v>77243.76198000001</v>
      </c>
      <c r="G25" s="34"/>
      <c r="H25" s="34">
        <f>16920*C28</f>
        <v>16920</v>
      </c>
      <c r="I25" s="34"/>
      <c r="J25" s="34">
        <f>11290*C31</f>
        <v>11290</v>
      </c>
      <c r="K25" s="36"/>
      <c r="L25" s="34">
        <f>J25+H25+F25+D25</f>
        <v>105453.76198000001</v>
      </c>
      <c r="M25" s="37"/>
      <c r="N25" s="138"/>
    </row>
    <row r="26" spans="1:14" ht="15.75">
      <c r="A26" s="137"/>
      <c r="B26" s="31" t="s">
        <v>15</v>
      </c>
      <c r="C26" s="93">
        <v>0.608105</v>
      </c>
      <c r="D26" s="40">
        <v>0</v>
      </c>
      <c r="E26" s="41"/>
      <c r="F26" s="40">
        <f>120780*C26</f>
        <v>73446.9219</v>
      </c>
      <c r="G26" s="40"/>
      <c r="H26" s="40">
        <f>16920*C29</f>
        <v>14832.61344</v>
      </c>
      <c r="I26" s="40"/>
      <c r="J26" s="40">
        <f>11290*C32</f>
        <v>9898.40589</v>
      </c>
      <c r="K26" s="42"/>
      <c r="L26" s="40">
        <f>J26+H26+F26+D26</f>
        <v>98177.94123</v>
      </c>
      <c r="M26" s="31"/>
      <c r="N26" s="138"/>
    </row>
    <row r="27" spans="1:14" ht="15.75">
      <c r="A27" s="136"/>
      <c r="B27" s="27" t="s">
        <v>16</v>
      </c>
      <c r="C27" s="27"/>
      <c r="D27" s="33" t="s">
        <v>138</v>
      </c>
      <c r="E27" s="27"/>
      <c r="F27" s="33" t="s">
        <v>149</v>
      </c>
      <c r="G27" s="33"/>
      <c r="H27" s="33" t="s">
        <v>160</v>
      </c>
      <c r="I27" s="33"/>
      <c r="J27" s="33" t="s">
        <v>170</v>
      </c>
      <c r="K27" s="30"/>
      <c r="L27" s="30"/>
      <c r="M27" s="27"/>
      <c r="N27" s="138"/>
    </row>
    <row r="28" spans="1:14" ht="15.75">
      <c r="A28" s="136"/>
      <c r="B28" s="27" t="s">
        <v>17</v>
      </c>
      <c r="C28" s="139">
        <v>1</v>
      </c>
      <c r="D28" s="33" t="s">
        <v>139</v>
      </c>
      <c r="E28" s="27"/>
      <c r="F28" s="43">
        <f>(6.27891+0.13)/100</f>
        <v>0.0640891</v>
      </c>
      <c r="G28" s="44"/>
      <c r="H28" s="43">
        <f>(6.27891+0.35)/100</f>
        <v>0.06628909999999999</v>
      </c>
      <c r="I28" s="44"/>
      <c r="J28" s="43">
        <f>(6.27891+0.69)/100</f>
        <v>0.06968909999999999</v>
      </c>
      <c r="K28" s="30"/>
      <c r="L28" s="44">
        <f>SUMPRODUCT(D28:J28,D25:J25)/L25</f>
        <v>0.0650416312147617</v>
      </c>
      <c r="M28" s="27"/>
      <c r="N28" s="138"/>
    </row>
    <row r="29" spans="1:14" ht="15.75">
      <c r="A29" s="136"/>
      <c r="B29" s="27" t="s">
        <v>18</v>
      </c>
      <c r="C29" s="139">
        <v>0.876632</v>
      </c>
      <c r="D29" s="33" t="s">
        <v>139</v>
      </c>
      <c r="E29" s="27"/>
      <c r="F29" s="43">
        <f>(6.25375+0.13)/100</f>
        <v>0.0638375</v>
      </c>
      <c r="G29" s="44"/>
      <c r="H29" s="43">
        <f>(6.25375+0.35)/100</f>
        <v>0.0660375</v>
      </c>
      <c r="I29" s="44"/>
      <c r="J29" s="43">
        <f>(6.25375+0.69)/100</f>
        <v>0.0694375</v>
      </c>
      <c r="K29" s="30"/>
      <c r="L29" s="30"/>
      <c r="M29" s="27"/>
      <c r="N29" s="138"/>
    </row>
    <row r="30" spans="1:14" ht="15.75">
      <c r="A30" s="136"/>
      <c r="B30" s="27" t="s">
        <v>19</v>
      </c>
      <c r="C30" s="140"/>
      <c r="D30" s="33" t="s">
        <v>140</v>
      </c>
      <c r="E30" s="27"/>
      <c r="F30" s="33" t="s">
        <v>150</v>
      </c>
      <c r="G30" s="33"/>
      <c r="H30" s="33" t="s">
        <v>150</v>
      </c>
      <c r="I30" s="33"/>
      <c r="J30" s="33" t="s">
        <v>150</v>
      </c>
      <c r="K30" s="30"/>
      <c r="L30" s="30"/>
      <c r="M30" s="27"/>
      <c r="N30" s="138"/>
    </row>
    <row r="31" spans="1:14" ht="15.75">
      <c r="A31" s="136"/>
      <c r="B31" s="27" t="s">
        <v>20</v>
      </c>
      <c r="C31" s="139">
        <v>1</v>
      </c>
      <c r="D31" s="33" t="s">
        <v>141</v>
      </c>
      <c r="E31" s="27"/>
      <c r="F31" s="33" t="s">
        <v>151</v>
      </c>
      <c r="G31" s="33"/>
      <c r="H31" s="33" t="s">
        <v>151</v>
      </c>
      <c r="I31" s="33"/>
      <c r="J31" s="33" t="s">
        <v>151</v>
      </c>
      <c r="K31" s="30"/>
      <c r="L31" s="30"/>
      <c r="M31" s="27"/>
      <c r="N31" s="138"/>
    </row>
    <row r="32" spans="1:14" ht="15.75">
      <c r="A32" s="136"/>
      <c r="B32" s="27" t="s">
        <v>21</v>
      </c>
      <c r="C32" s="139">
        <v>0.876741</v>
      </c>
      <c r="D32" s="33" t="s">
        <v>142</v>
      </c>
      <c r="E32" s="27"/>
      <c r="F32" s="33" t="s">
        <v>152</v>
      </c>
      <c r="G32" s="33"/>
      <c r="H32" s="33" t="s">
        <v>161</v>
      </c>
      <c r="I32" s="33"/>
      <c r="J32" s="33" t="s">
        <v>171</v>
      </c>
      <c r="K32" s="30"/>
      <c r="L32" s="30"/>
      <c r="M32" s="27"/>
      <c r="N32" s="138"/>
    </row>
    <row r="33" spans="1:14" ht="15.75">
      <c r="A33" s="136"/>
      <c r="B33" s="27"/>
      <c r="C33" s="27"/>
      <c r="D33" s="45"/>
      <c r="E33" s="45"/>
      <c r="F33" s="27"/>
      <c r="G33" s="45"/>
      <c r="H33" s="45"/>
      <c r="I33" s="45"/>
      <c r="J33" s="45"/>
      <c r="K33" s="45"/>
      <c r="L33" s="45"/>
      <c r="M33" s="27"/>
      <c r="N33" s="138"/>
    </row>
    <row r="34" spans="1:14" ht="15.75">
      <c r="A34" s="136"/>
      <c r="B34" s="27" t="s">
        <v>22</v>
      </c>
      <c r="C34" s="27"/>
      <c r="D34" s="27"/>
      <c r="E34" s="27"/>
      <c r="F34" s="27"/>
      <c r="G34" s="27"/>
      <c r="H34" s="27"/>
      <c r="I34" s="27"/>
      <c r="J34" s="27"/>
      <c r="K34" s="27"/>
      <c r="L34" s="44">
        <f>(H24+J24)/(D24+F24)</f>
        <v>0.14409030544488713</v>
      </c>
      <c r="M34" s="27"/>
      <c r="N34" s="138"/>
    </row>
    <row r="35" spans="1:14" ht="15.75">
      <c r="A35" s="136"/>
      <c r="B35" s="27" t="s">
        <v>23</v>
      </c>
      <c r="C35" s="27"/>
      <c r="D35" s="27"/>
      <c r="E35" s="27"/>
      <c r="F35" s="27"/>
      <c r="G35" s="27"/>
      <c r="H35" s="27"/>
      <c r="I35" s="27"/>
      <c r="J35" s="27"/>
      <c r="K35" s="27"/>
      <c r="L35" s="44">
        <f>(H26+J26)/(D26+F26)</f>
        <v>0.3367196158835895</v>
      </c>
      <c r="M35" s="27"/>
      <c r="N35" s="138"/>
    </row>
    <row r="36" spans="1:14" ht="15.75">
      <c r="A36" s="136"/>
      <c r="B36" s="27" t="s">
        <v>24</v>
      </c>
      <c r="C36" s="27"/>
      <c r="D36" s="27"/>
      <c r="E36" s="27"/>
      <c r="F36" s="27"/>
      <c r="G36" s="27"/>
      <c r="H36" s="27"/>
      <c r="I36" s="27"/>
      <c r="J36" s="33" t="s">
        <v>172</v>
      </c>
      <c r="K36" s="33" t="s">
        <v>182</v>
      </c>
      <c r="L36" s="34">
        <v>83785000</v>
      </c>
      <c r="M36" s="27"/>
      <c r="N36" s="138"/>
    </row>
    <row r="37" spans="1:14" ht="15.75">
      <c r="A37" s="136"/>
      <c r="B37" s="27"/>
      <c r="C37" s="27"/>
      <c r="D37" s="27"/>
      <c r="E37" s="27"/>
      <c r="F37" s="27"/>
      <c r="G37" s="27"/>
      <c r="H37" s="27"/>
      <c r="I37" s="27"/>
      <c r="J37" s="27"/>
      <c r="K37" s="27"/>
      <c r="L37" s="46"/>
      <c r="M37" s="27"/>
      <c r="N37" s="138"/>
    </row>
    <row r="38" spans="1:14" ht="15.75">
      <c r="A38" s="136"/>
      <c r="B38" s="27" t="s">
        <v>25</v>
      </c>
      <c r="C38" s="27"/>
      <c r="D38" s="27"/>
      <c r="E38" s="27"/>
      <c r="F38" s="27"/>
      <c r="G38" s="27"/>
      <c r="H38" s="27"/>
      <c r="I38" s="27"/>
      <c r="J38" s="33"/>
      <c r="K38" s="33"/>
      <c r="L38" s="33" t="s">
        <v>185</v>
      </c>
      <c r="M38" s="27"/>
      <c r="N38" s="138"/>
    </row>
    <row r="39" spans="1:14" ht="15.75">
      <c r="A39" s="136"/>
      <c r="B39" s="31" t="s">
        <v>26</v>
      </c>
      <c r="C39" s="31"/>
      <c r="D39" s="31"/>
      <c r="E39" s="31"/>
      <c r="F39" s="31"/>
      <c r="G39" s="31"/>
      <c r="H39" s="31"/>
      <c r="I39" s="31"/>
      <c r="J39" s="47"/>
      <c r="K39" s="47"/>
      <c r="L39" s="48">
        <v>36769</v>
      </c>
      <c r="M39" s="31"/>
      <c r="N39" s="138"/>
    </row>
    <row r="40" spans="1:14" ht="15.75">
      <c r="A40" s="136"/>
      <c r="B40" s="27" t="s">
        <v>27</v>
      </c>
      <c r="C40" s="27"/>
      <c r="D40" s="27"/>
      <c r="E40" s="27"/>
      <c r="F40" s="27"/>
      <c r="G40" s="27"/>
      <c r="H40" s="30"/>
      <c r="I40" s="27">
        <f>L40-J40+1</f>
        <v>92</v>
      </c>
      <c r="J40" s="49">
        <v>36585</v>
      </c>
      <c r="K40" s="50"/>
      <c r="L40" s="49">
        <v>36676</v>
      </c>
      <c r="M40" s="27"/>
      <c r="N40" s="138"/>
    </row>
    <row r="41" spans="1:14" ht="15.75">
      <c r="A41" s="136"/>
      <c r="B41" s="27" t="s">
        <v>28</v>
      </c>
      <c r="C41" s="27"/>
      <c r="D41" s="27"/>
      <c r="E41" s="27"/>
      <c r="F41" s="27"/>
      <c r="G41" s="27"/>
      <c r="H41" s="30"/>
      <c r="I41" s="27">
        <f>L41-J41+1</f>
        <v>92</v>
      </c>
      <c r="J41" s="49">
        <v>36677</v>
      </c>
      <c r="K41" s="50"/>
      <c r="L41" s="49">
        <v>36768</v>
      </c>
      <c r="M41" s="27"/>
      <c r="N41" s="138"/>
    </row>
    <row r="42" spans="1:14" ht="15.75">
      <c r="A42" s="136"/>
      <c r="B42" s="27" t="s">
        <v>29</v>
      </c>
      <c r="C42" s="27"/>
      <c r="D42" s="27"/>
      <c r="E42" s="27"/>
      <c r="F42" s="27"/>
      <c r="G42" s="27"/>
      <c r="H42" s="27"/>
      <c r="I42" s="27"/>
      <c r="J42" s="49"/>
      <c r="K42" s="50"/>
      <c r="L42" s="49" t="s">
        <v>199</v>
      </c>
      <c r="M42" s="27"/>
      <c r="N42" s="138"/>
    </row>
    <row r="43" spans="1:14" ht="15.75">
      <c r="A43" s="136"/>
      <c r="B43" s="27" t="s">
        <v>30</v>
      </c>
      <c r="C43" s="27"/>
      <c r="D43" s="27"/>
      <c r="E43" s="27"/>
      <c r="F43" s="27"/>
      <c r="G43" s="27"/>
      <c r="H43" s="27"/>
      <c r="I43" s="27"/>
      <c r="J43" s="49"/>
      <c r="K43" s="50"/>
      <c r="L43" s="49">
        <v>36760</v>
      </c>
      <c r="M43" s="27"/>
      <c r="N43" s="138"/>
    </row>
    <row r="44" spans="1:14" ht="15.75">
      <c r="A44" s="136"/>
      <c r="B44" s="27"/>
      <c r="C44" s="27"/>
      <c r="D44" s="27"/>
      <c r="E44" s="27"/>
      <c r="F44" s="27"/>
      <c r="G44" s="27"/>
      <c r="H44" s="27"/>
      <c r="I44" s="27"/>
      <c r="J44" s="27"/>
      <c r="K44" s="27"/>
      <c r="L44" s="51"/>
      <c r="M44" s="27"/>
      <c r="N44" s="138"/>
    </row>
    <row r="45" spans="1:14" ht="15.75">
      <c r="A45" s="135"/>
      <c r="B45" s="5"/>
      <c r="C45" s="5"/>
      <c r="D45" s="5"/>
      <c r="E45" s="5"/>
      <c r="F45" s="5"/>
      <c r="G45" s="5"/>
      <c r="H45" s="5"/>
      <c r="I45" s="5"/>
      <c r="J45" s="5"/>
      <c r="K45" s="5"/>
      <c r="L45" s="52"/>
      <c r="M45" s="5"/>
      <c r="N45" s="138"/>
    </row>
    <row r="46" spans="1:14" ht="15.75">
      <c r="A46" s="119"/>
      <c r="B46" s="63" t="s">
        <v>31</v>
      </c>
      <c r="C46" s="16"/>
      <c r="D46" s="10"/>
      <c r="E46" s="10"/>
      <c r="F46" s="10"/>
      <c r="G46" s="10"/>
      <c r="H46" s="10"/>
      <c r="I46" s="10"/>
      <c r="J46" s="10"/>
      <c r="K46" s="10"/>
      <c r="L46" s="53"/>
      <c r="M46" s="10"/>
      <c r="N46" s="138"/>
    </row>
    <row r="47" spans="1:14" ht="15.75">
      <c r="A47" s="119"/>
      <c r="B47" s="16"/>
      <c r="C47" s="16"/>
      <c r="D47" s="10"/>
      <c r="E47" s="10"/>
      <c r="F47" s="10"/>
      <c r="G47" s="10"/>
      <c r="H47" s="10"/>
      <c r="I47" s="10"/>
      <c r="J47" s="10"/>
      <c r="K47" s="10"/>
      <c r="L47" s="53"/>
      <c r="M47" s="10"/>
      <c r="N47" s="138"/>
    </row>
    <row r="48" spans="1:14" ht="63">
      <c r="A48" s="119"/>
      <c r="B48" s="54" t="s">
        <v>32</v>
      </c>
      <c r="C48" s="55" t="s">
        <v>134</v>
      </c>
      <c r="D48" s="55" t="s">
        <v>143</v>
      </c>
      <c r="E48" s="55"/>
      <c r="F48" s="55" t="s">
        <v>153</v>
      </c>
      <c r="G48" s="55"/>
      <c r="H48" s="55" t="s">
        <v>162</v>
      </c>
      <c r="I48" s="55"/>
      <c r="J48" s="55" t="s">
        <v>173</v>
      </c>
      <c r="K48" s="55"/>
      <c r="L48" s="56" t="s">
        <v>187</v>
      </c>
      <c r="M48" s="10"/>
      <c r="N48" s="138"/>
    </row>
    <row r="49" spans="1:14" ht="15.75">
      <c r="A49" s="136"/>
      <c r="B49" s="27" t="s">
        <v>33</v>
      </c>
      <c r="C49" s="57">
        <v>220604</v>
      </c>
      <c r="D49" s="58">
        <v>108698</v>
      </c>
      <c r="E49" s="57"/>
      <c r="F49" s="57">
        <f>7123+206+163</f>
        <v>7492</v>
      </c>
      <c r="G49" s="57"/>
      <c r="H49" s="57">
        <v>206</v>
      </c>
      <c r="I49" s="57"/>
      <c r="J49" s="57">
        <v>0</v>
      </c>
      <c r="K49" s="57"/>
      <c r="L49" s="58">
        <f>D49-F49+H49-J49</f>
        <v>101412</v>
      </c>
      <c r="M49" s="27"/>
      <c r="N49" s="138"/>
    </row>
    <row r="50" spans="1:14" ht="15.75">
      <c r="A50" s="136"/>
      <c r="B50" s="27" t="s">
        <v>34</v>
      </c>
      <c r="C50" s="57">
        <v>5129</v>
      </c>
      <c r="D50" s="58">
        <v>661</v>
      </c>
      <c r="E50" s="57"/>
      <c r="F50" s="57">
        <v>58</v>
      </c>
      <c r="G50" s="57"/>
      <c r="H50" s="57">
        <v>0</v>
      </c>
      <c r="I50" s="57"/>
      <c r="J50" s="57">
        <v>0</v>
      </c>
      <c r="K50" s="57"/>
      <c r="L50" s="58">
        <f>D50-F50</f>
        <v>603</v>
      </c>
      <c r="M50" s="27"/>
      <c r="N50" s="138"/>
    </row>
    <row r="51" spans="1:14" ht="15.75">
      <c r="A51" s="136"/>
      <c r="B51" s="27"/>
      <c r="C51" s="57"/>
      <c r="D51" s="58"/>
      <c r="E51" s="57"/>
      <c r="F51" s="57"/>
      <c r="G51" s="57"/>
      <c r="H51" s="57"/>
      <c r="I51" s="57"/>
      <c r="J51" s="57"/>
      <c r="K51" s="57"/>
      <c r="L51" s="58"/>
      <c r="M51" s="27"/>
      <c r="N51" s="138"/>
    </row>
    <row r="52" spans="1:14" ht="15.75">
      <c r="A52" s="136"/>
      <c r="B52" s="27" t="s">
        <v>35</v>
      </c>
      <c r="C52" s="57">
        <f>SUM(C49:C51)</f>
        <v>225733</v>
      </c>
      <c r="D52" s="59">
        <f>D50+D49</f>
        <v>109359</v>
      </c>
      <c r="E52" s="57"/>
      <c r="F52" s="57">
        <f>SUM(F49:F51)</f>
        <v>7550</v>
      </c>
      <c r="G52" s="57"/>
      <c r="H52" s="57">
        <f>SUM(H49:H51)</f>
        <v>206</v>
      </c>
      <c r="I52" s="57"/>
      <c r="J52" s="57">
        <f>SUM(J49:J51)</f>
        <v>0</v>
      </c>
      <c r="K52" s="57"/>
      <c r="L52" s="59">
        <f>SUM(L49:L51)</f>
        <v>102015</v>
      </c>
      <c r="M52" s="27"/>
      <c r="N52" s="138"/>
    </row>
    <row r="53" spans="1:14" ht="15.75">
      <c r="A53" s="136"/>
      <c r="B53" s="27"/>
      <c r="C53" s="57"/>
      <c r="D53" s="59"/>
      <c r="E53" s="57"/>
      <c r="F53" s="57"/>
      <c r="G53" s="57"/>
      <c r="H53" s="57"/>
      <c r="I53" s="57"/>
      <c r="J53" s="57"/>
      <c r="K53" s="57"/>
      <c r="L53" s="59"/>
      <c r="M53" s="27"/>
      <c r="N53" s="138"/>
    </row>
    <row r="54" spans="1:14" ht="15.75">
      <c r="A54" s="119"/>
      <c r="B54" s="12" t="s">
        <v>36</v>
      </c>
      <c r="C54" s="60"/>
      <c r="D54" s="62"/>
      <c r="E54" s="60"/>
      <c r="F54" s="61"/>
      <c r="G54" s="60"/>
      <c r="H54" s="60"/>
      <c r="I54" s="60"/>
      <c r="J54" s="60"/>
      <c r="K54" s="60"/>
      <c r="L54" s="62"/>
      <c r="M54" s="10"/>
      <c r="N54" s="138"/>
    </row>
    <row r="55" spans="1:14" ht="15.75">
      <c r="A55" s="119"/>
      <c r="B55" s="10"/>
      <c r="C55" s="60"/>
      <c r="D55" s="118"/>
      <c r="E55" s="60"/>
      <c r="F55" s="60"/>
      <c r="G55" s="60"/>
      <c r="H55" s="60"/>
      <c r="I55" s="60"/>
      <c r="J55" s="60"/>
      <c r="K55" s="60"/>
      <c r="L55" s="118"/>
      <c r="M55" s="10"/>
      <c r="N55" s="138"/>
    </row>
    <row r="56" spans="1:14" ht="15.75">
      <c r="A56" s="136"/>
      <c r="B56" s="27" t="s">
        <v>33</v>
      </c>
      <c r="C56" s="57"/>
      <c r="D56" s="59"/>
      <c r="E56" s="57"/>
      <c r="F56" s="57"/>
      <c r="G56" s="57"/>
      <c r="H56" s="57"/>
      <c r="I56" s="57"/>
      <c r="J56" s="57"/>
      <c r="K56" s="57"/>
      <c r="L56" s="59"/>
      <c r="M56" s="27"/>
      <c r="N56" s="138"/>
    </row>
    <row r="57" spans="1:14" ht="15.75">
      <c r="A57" s="136"/>
      <c r="B57" s="27" t="s">
        <v>34</v>
      </c>
      <c r="C57" s="57"/>
      <c r="D57" s="59"/>
      <c r="E57" s="57"/>
      <c r="F57" s="57"/>
      <c r="G57" s="57"/>
      <c r="H57" s="57"/>
      <c r="I57" s="57"/>
      <c r="J57" s="57"/>
      <c r="K57" s="57"/>
      <c r="L57" s="59"/>
      <c r="M57" s="27"/>
      <c r="N57" s="138"/>
    </row>
    <row r="58" spans="1:14" ht="15.75">
      <c r="A58" s="136"/>
      <c r="B58" s="27"/>
      <c r="C58" s="57"/>
      <c r="D58" s="59"/>
      <c r="E58" s="57"/>
      <c r="F58" s="57"/>
      <c r="G58" s="57"/>
      <c r="H58" s="57"/>
      <c r="I58" s="57"/>
      <c r="J58" s="57"/>
      <c r="K58" s="57"/>
      <c r="L58" s="59"/>
      <c r="M58" s="27"/>
      <c r="N58" s="138"/>
    </row>
    <row r="59" spans="1:14" ht="15.75">
      <c r="A59" s="136"/>
      <c r="B59" s="27" t="s">
        <v>35</v>
      </c>
      <c r="C59" s="57"/>
      <c r="D59" s="59"/>
      <c r="E59" s="57"/>
      <c r="F59" s="57"/>
      <c r="G59" s="57"/>
      <c r="H59" s="57"/>
      <c r="I59" s="57"/>
      <c r="J59" s="57"/>
      <c r="K59" s="57"/>
      <c r="L59" s="59"/>
      <c r="M59" s="27"/>
      <c r="N59" s="138"/>
    </row>
    <row r="60" spans="1:14" ht="15.75">
      <c r="A60" s="136"/>
      <c r="B60" s="27"/>
      <c r="C60" s="57"/>
      <c r="D60" s="59"/>
      <c r="E60" s="57"/>
      <c r="F60" s="57"/>
      <c r="G60" s="57"/>
      <c r="H60" s="57"/>
      <c r="I60" s="57"/>
      <c r="J60" s="57"/>
      <c r="K60" s="57"/>
      <c r="L60" s="59"/>
      <c r="M60" s="27"/>
      <c r="N60" s="138"/>
    </row>
    <row r="61" spans="1:14" ht="15.75">
      <c r="A61" s="136"/>
      <c r="B61" s="27" t="s">
        <v>37</v>
      </c>
      <c r="C61" s="57">
        <v>-1743</v>
      </c>
      <c r="D61" s="57">
        <v>-1743</v>
      </c>
      <c r="E61" s="57"/>
      <c r="F61" s="57"/>
      <c r="G61" s="57"/>
      <c r="H61" s="57"/>
      <c r="I61" s="57"/>
      <c r="J61" s="57"/>
      <c r="K61" s="57"/>
      <c r="L61" s="57">
        <v>-1743</v>
      </c>
      <c r="M61" s="27"/>
      <c r="N61" s="138"/>
    </row>
    <row r="62" spans="1:14" ht="15.75">
      <c r="A62" s="136"/>
      <c r="B62" s="27" t="s">
        <v>38</v>
      </c>
      <c r="C62" s="57">
        <v>0</v>
      </c>
      <c r="D62" s="59">
        <v>-2257</v>
      </c>
      <c r="E62" s="57"/>
      <c r="F62" s="57"/>
      <c r="G62" s="57"/>
      <c r="H62" s="57"/>
      <c r="I62" s="57"/>
      <c r="J62" s="57"/>
      <c r="K62" s="57"/>
      <c r="L62" s="59">
        <v>-2257</v>
      </c>
      <c r="M62" s="27"/>
      <c r="N62" s="138"/>
    </row>
    <row r="63" spans="1:14" ht="15.75">
      <c r="A63" s="136"/>
      <c r="B63" s="27" t="s">
        <v>198</v>
      </c>
      <c r="C63" s="57">
        <v>0</v>
      </c>
      <c r="D63" s="59">
        <v>95</v>
      </c>
      <c r="E63" s="57"/>
      <c r="F63" s="57"/>
      <c r="G63" s="57"/>
      <c r="H63" s="57"/>
      <c r="I63" s="57"/>
      <c r="J63" s="57"/>
      <c r="K63" s="57"/>
      <c r="L63" s="59">
        <v>163</v>
      </c>
      <c r="M63" s="27"/>
      <c r="N63" s="138"/>
    </row>
    <row r="64" spans="1:14" ht="15.75">
      <c r="A64" s="136"/>
      <c r="B64" s="27" t="s">
        <v>15</v>
      </c>
      <c r="C64" s="59">
        <f>SUM(C52:C63)</f>
        <v>223990</v>
      </c>
      <c r="D64" s="59">
        <f>SUM(D52:D63)</f>
        <v>105454</v>
      </c>
      <c r="E64" s="57"/>
      <c r="F64" s="57"/>
      <c r="G64" s="57"/>
      <c r="H64" s="57"/>
      <c r="I64" s="57"/>
      <c r="J64" s="57"/>
      <c r="K64" s="57"/>
      <c r="L64" s="59">
        <f>SUM(L52:L63)</f>
        <v>98178</v>
      </c>
      <c r="M64" s="27"/>
      <c r="N64" s="138"/>
    </row>
    <row r="65" spans="1:14" ht="15.75">
      <c r="A65" s="136"/>
      <c r="B65" s="27"/>
      <c r="C65" s="57"/>
      <c r="D65" s="57"/>
      <c r="E65" s="57"/>
      <c r="F65" s="57"/>
      <c r="G65" s="57"/>
      <c r="H65" s="57"/>
      <c r="I65" s="57"/>
      <c r="J65" s="57"/>
      <c r="K65" s="57"/>
      <c r="L65" s="59"/>
      <c r="M65" s="27"/>
      <c r="N65" s="138"/>
    </row>
    <row r="66" spans="1:14" ht="15.75">
      <c r="A66" s="119"/>
      <c r="B66" s="10"/>
      <c r="C66" s="10"/>
      <c r="D66" s="10"/>
      <c r="E66" s="10"/>
      <c r="F66" s="10"/>
      <c r="G66" s="10"/>
      <c r="H66" s="10"/>
      <c r="I66" s="10"/>
      <c r="J66" s="10"/>
      <c r="K66" s="10"/>
      <c r="L66" s="10"/>
      <c r="M66" s="10"/>
      <c r="N66" s="138"/>
    </row>
    <row r="67" spans="1:14" ht="15.75">
      <c r="A67" s="119"/>
      <c r="B67" s="63" t="s">
        <v>40</v>
      </c>
      <c r="C67" s="16"/>
      <c r="D67" s="10"/>
      <c r="E67" s="10"/>
      <c r="F67" s="10"/>
      <c r="G67" s="10"/>
      <c r="H67" s="10"/>
      <c r="I67" s="22"/>
      <c r="J67" s="20" t="s">
        <v>174</v>
      </c>
      <c r="K67" s="20"/>
      <c r="L67" s="20" t="s">
        <v>188</v>
      </c>
      <c r="M67" s="17"/>
      <c r="N67" s="138"/>
    </row>
    <row r="68" spans="1:14" ht="15.75">
      <c r="A68" s="136"/>
      <c r="B68" s="27" t="s">
        <v>41</v>
      </c>
      <c r="C68" s="27"/>
      <c r="D68" s="27"/>
      <c r="E68" s="27"/>
      <c r="F68" s="27"/>
      <c r="G68" s="27"/>
      <c r="H68" s="27"/>
      <c r="I68" s="27"/>
      <c r="J68" s="57">
        <v>0</v>
      </c>
      <c r="K68" s="27"/>
      <c r="L68" s="58">
        <v>0</v>
      </c>
      <c r="M68" s="27"/>
      <c r="N68" s="138"/>
    </row>
    <row r="69" spans="1:14" ht="15.75">
      <c r="A69" s="136"/>
      <c r="B69" s="27" t="s">
        <v>42</v>
      </c>
      <c r="C69" s="45" t="s">
        <v>204</v>
      </c>
      <c r="D69" s="64">
        <f>L43</f>
        <v>36760</v>
      </c>
      <c r="E69" s="27"/>
      <c r="F69" s="27"/>
      <c r="G69" s="27"/>
      <c r="H69" s="27"/>
      <c r="I69" s="27"/>
      <c r="J69" s="57">
        <f>7492-163+95</f>
        <v>7424</v>
      </c>
      <c r="K69" s="27"/>
      <c r="L69" s="58"/>
      <c r="M69" s="27"/>
      <c r="N69" s="138"/>
    </row>
    <row r="70" spans="1:14" ht="15.75">
      <c r="A70" s="136"/>
      <c r="B70" s="27" t="s">
        <v>43</v>
      </c>
      <c r="C70" s="27"/>
      <c r="D70" s="27"/>
      <c r="E70" s="27"/>
      <c r="F70" s="27"/>
      <c r="G70" s="27"/>
      <c r="H70" s="27"/>
      <c r="I70" s="27"/>
      <c r="J70" s="57"/>
      <c r="K70" s="27"/>
      <c r="L70" s="58">
        <f>963+109+184-716-19-23+2491</f>
        <v>2989</v>
      </c>
      <c r="M70" s="27"/>
      <c r="N70" s="138"/>
    </row>
    <row r="71" spans="1:14" ht="15.75">
      <c r="A71" s="136"/>
      <c r="B71" s="27" t="s">
        <v>44</v>
      </c>
      <c r="C71" s="27"/>
      <c r="D71" s="27"/>
      <c r="E71" s="27"/>
      <c r="F71" s="27"/>
      <c r="G71" s="27"/>
      <c r="H71" s="27"/>
      <c r="I71" s="27"/>
      <c r="J71" s="57"/>
      <c r="K71" s="27"/>
      <c r="L71" s="58"/>
      <c r="M71" s="27"/>
      <c r="N71" s="138"/>
    </row>
    <row r="72" spans="1:14" ht="15.75">
      <c r="A72" s="136"/>
      <c r="B72" s="27" t="s">
        <v>45</v>
      </c>
      <c r="C72" s="27"/>
      <c r="D72" s="27"/>
      <c r="E72" s="27"/>
      <c r="F72" s="27"/>
      <c r="G72" s="27"/>
      <c r="H72" s="27"/>
      <c r="I72" s="27"/>
      <c r="J72" s="59">
        <f>SUM(J68:J71)</f>
        <v>7424</v>
      </c>
      <c r="K72" s="27"/>
      <c r="L72" s="59">
        <f>SUM(L68:L71)</f>
        <v>2989</v>
      </c>
      <c r="M72" s="27"/>
      <c r="N72" s="138"/>
    </row>
    <row r="73" spans="1:14" ht="15.75">
      <c r="A73" s="136"/>
      <c r="B73" s="27" t="s">
        <v>46</v>
      </c>
      <c r="C73" s="27"/>
      <c r="D73" s="27"/>
      <c r="E73" s="27"/>
      <c r="F73" s="27"/>
      <c r="G73" s="27"/>
      <c r="H73" s="27"/>
      <c r="I73" s="27"/>
      <c r="J73" s="57">
        <v>58</v>
      </c>
      <c r="K73" s="27"/>
      <c r="L73" s="58">
        <v>-58</v>
      </c>
      <c r="M73" s="27"/>
      <c r="N73" s="138"/>
    </row>
    <row r="74" spans="1:14" ht="15.75">
      <c r="A74" s="136"/>
      <c r="B74" s="27" t="s">
        <v>47</v>
      </c>
      <c r="C74" s="27"/>
      <c r="D74" s="27"/>
      <c r="E74" s="27"/>
      <c r="F74" s="27"/>
      <c r="G74" s="27"/>
      <c r="H74" s="27"/>
      <c r="I74" s="27"/>
      <c r="J74" s="57">
        <f>J72+J73</f>
        <v>7482</v>
      </c>
      <c r="K74" s="27"/>
      <c r="L74" s="59">
        <f>L72+L73</f>
        <v>2931</v>
      </c>
      <c r="M74" s="27"/>
      <c r="N74" s="138"/>
    </row>
    <row r="75" spans="1:14" ht="15.75">
      <c r="A75" s="136"/>
      <c r="B75" s="65" t="s">
        <v>48</v>
      </c>
      <c r="C75" s="66"/>
      <c r="D75" s="27"/>
      <c r="E75" s="27"/>
      <c r="F75" s="27"/>
      <c r="G75" s="27"/>
      <c r="H75" s="27"/>
      <c r="I75" s="27"/>
      <c r="J75" s="57"/>
      <c r="K75" s="27"/>
      <c r="L75" s="58"/>
      <c r="M75" s="27"/>
      <c r="N75" s="138"/>
    </row>
    <row r="76" spans="1:14" ht="15.75">
      <c r="A76" s="26">
        <v>1</v>
      </c>
      <c r="B76" s="27" t="s">
        <v>49</v>
      </c>
      <c r="C76" s="27"/>
      <c r="D76" s="27"/>
      <c r="E76" s="27"/>
      <c r="F76" s="27"/>
      <c r="G76" s="27"/>
      <c r="H76" s="27"/>
      <c r="I76" s="27"/>
      <c r="J76" s="27"/>
      <c r="K76" s="27"/>
      <c r="L76" s="58"/>
      <c r="M76" s="27"/>
      <c r="N76" s="138"/>
    </row>
    <row r="77" spans="1:14" ht="15.75">
      <c r="A77" s="26">
        <v>2</v>
      </c>
      <c r="B77" s="27" t="s">
        <v>50</v>
      </c>
      <c r="C77" s="27"/>
      <c r="D77" s="27"/>
      <c r="E77" s="27"/>
      <c r="F77" s="27"/>
      <c r="G77" s="27"/>
      <c r="H77" s="27"/>
      <c r="I77" s="27"/>
      <c r="J77" s="27"/>
      <c r="K77" s="27"/>
      <c r="L77" s="58">
        <v>-5</v>
      </c>
      <c r="M77" s="27"/>
      <c r="N77" s="138"/>
    </row>
    <row r="78" spans="1:14" ht="15.75">
      <c r="A78" s="26">
        <v>3</v>
      </c>
      <c r="B78" s="27" t="s">
        <v>51</v>
      </c>
      <c r="C78" s="27"/>
      <c r="D78" s="27"/>
      <c r="E78" s="27"/>
      <c r="F78" s="27"/>
      <c r="G78" s="27"/>
      <c r="H78" s="27"/>
      <c r="I78" s="27"/>
      <c r="J78" s="27"/>
      <c r="K78" s="27"/>
      <c r="L78" s="58">
        <f>-115-4</f>
        <v>-119</v>
      </c>
      <c r="M78" s="27"/>
      <c r="N78" s="138"/>
    </row>
    <row r="79" spans="1:14" ht="15.75">
      <c r="A79" s="26">
        <v>4</v>
      </c>
      <c r="B79" s="27" t="s">
        <v>52</v>
      </c>
      <c r="C79" s="27"/>
      <c r="D79" s="27"/>
      <c r="E79" s="27"/>
      <c r="F79" s="27"/>
      <c r="G79" s="27"/>
      <c r="H79" s="27"/>
      <c r="I79" s="27"/>
      <c r="J79" s="27"/>
      <c r="K79" s="27"/>
      <c r="L79" s="58">
        <v>-4</v>
      </c>
      <c r="M79" s="27"/>
      <c r="N79" s="138"/>
    </row>
    <row r="80" spans="1:14" ht="15.75">
      <c r="A80" s="26">
        <v>5</v>
      </c>
      <c r="B80" s="27" t="s">
        <v>53</v>
      </c>
      <c r="C80" s="27"/>
      <c r="D80" s="27"/>
      <c r="E80" s="27"/>
      <c r="F80" s="27"/>
      <c r="G80" s="27"/>
      <c r="H80" s="27"/>
      <c r="I80" s="27"/>
      <c r="J80" s="27"/>
      <c r="K80" s="27"/>
      <c r="L80" s="58">
        <v>-1244</v>
      </c>
      <c r="M80" s="27"/>
      <c r="N80" s="138"/>
    </row>
    <row r="81" spans="1:14" ht="15.75">
      <c r="A81" s="26">
        <v>6</v>
      </c>
      <c r="B81" s="27" t="s">
        <v>54</v>
      </c>
      <c r="C81" s="27"/>
      <c r="D81" s="27"/>
      <c r="E81" s="27"/>
      <c r="F81" s="27"/>
      <c r="G81" s="27"/>
      <c r="H81" s="27"/>
      <c r="I81" s="27"/>
      <c r="J81" s="27"/>
      <c r="K81" s="27"/>
      <c r="L81" s="58">
        <v>-3</v>
      </c>
      <c r="M81" s="27"/>
      <c r="N81" s="138"/>
    </row>
    <row r="82" spans="1:14" ht="15.75">
      <c r="A82" s="26">
        <v>7</v>
      </c>
      <c r="B82" s="27" t="s">
        <v>55</v>
      </c>
      <c r="C82" s="27"/>
      <c r="D82" s="27"/>
      <c r="E82" s="27"/>
      <c r="F82" s="27"/>
      <c r="G82" s="27"/>
      <c r="H82" s="27"/>
      <c r="I82" s="27"/>
      <c r="J82" s="27"/>
      <c r="K82" s="27"/>
      <c r="L82" s="58">
        <v>-282</v>
      </c>
      <c r="M82" s="27"/>
      <c r="N82" s="138"/>
    </row>
    <row r="83" spans="1:14" ht="15.75">
      <c r="A83" s="26">
        <v>8</v>
      </c>
      <c r="B83" s="27" t="s">
        <v>56</v>
      </c>
      <c r="C83" s="27"/>
      <c r="D83" s="27"/>
      <c r="E83" s="27"/>
      <c r="F83" s="27"/>
      <c r="G83" s="27"/>
      <c r="H83" s="27"/>
      <c r="I83" s="27"/>
      <c r="J83" s="27"/>
      <c r="K83" s="27"/>
      <c r="L83" s="58">
        <v>-198</v>
      </c>
      <c r="M83" s="27"/>
      <c r="N83" s="138"/>
    </row>
    <row r="84" spans="1:14" ht="15.75">
      <c r="A84" s="26">
        <v>9</v>
      </c>
      <c r="B84" s="27" t="s">
        <v>57</v>
      </c>
      <c r="C84" s="27"/>
      <c r="D84" s="27"/>
      <c r="E84" s="27"/>
      <c r="F84" s="27"/>
      <c r="G84" s="27"/>
      <c r="H84" s="27"/>
      <c r="I84" s="27"/>
      <c r="J84" s="27"/>
      <c r="K84" s="27"/>
      <c r="L84" s="58">
        <v>0</v>
      </c>
      <c r="M84" s="27"/>
      <c r="N84" s="138"/>
    </row>
    <row r="85" spans="1:14" ht="15.75">
      <c r="A85" s="26">
        <v>10</v>
      </c>
      <c r="B85" s="27" t="s">
        <v>58</v>
      </c>
      <c r="C85" s="27"/>
      <c r="D85" s="27"/>
      <c r="E85" s="27"/>
      <c r="F85" s="27"/>
      <c r="G85" s="27"/>
      <c r="H85" s="27"/>
      <c r="I85" s="27"/>
      <c r="J85" s="27"/>
      <c r="K85" s="27"/>
      <c r="L85" s="58">
        <v>-163</v>
      </c>
      <c r="M85" s="27"/>
      <c r="N85" s="138"/>
    </row>
    <row r="86" spans="1:14" ht="15.75">
      <c r="A86" s="26">
        <v>11</v>
      </c>
      <c r="B86" s="27" t="s">
        <v>59</v>
      </c>
      <c r="C86" s="27"/>
      <c r="D86" s="27"/>
      <c r="E86" s="27"/>
      <c r="F86" s="27"/>
      <c r="G86" s="27"/>
      <c r="H86" s="27"/>
      <c r="I86" s="27"/>
      <c r="J86" s="27"/>
      <c r="K86" s="27"/>
      <c r="L86" s="58">
        <v>0</v>
      </c>
      <c r="M86" s="27"/>
      <c r="N86" s="138"/>
    </row>
    <row r="87" spans="1:14" ht="15.75">
      <c r="A87" s="26">
        <v>12</v>
      </c>
      <c r="B87" s="27" t="s">
        <v>60</v>
      </c>
      <c r="C87" s="27"/>
      <c r="D87" s="27"/>
      <c r="E87" s="27"/>
      <c r="F87" s="27"/>
      <c r="G87" s="27"/>
      <c r="H87" s="27"/>
      <c r="I87" s="27"/>
      <c r="J87" s="27"/>
      <c r="K87" s="27"/>
      <c r="L87" s="58">
        <f>SUM(L74:L85)*-1</f>
        <v>-913</v>
      </c>
      <c r="M87" s="27"/>
      <c r="N87" s="138"/>
    </row>
    <row r="88" spans="1:14" ht="15.75">
      <c r="A88" s="136"/>
      <c r="B88" s="65" t="s">
        <v>61</v>
      </c>
      <c r="C88" s="66"/>
      <c r="D88" s="27"/>
      <c r="E88" s="27"/>
      <c r="F88" s="27"/>
      <c r="G88" s="27"/>
      <c r="H88" s="27"/>
      <c r="I88" s="27"/>
      <c r="J88" s="27"/>
      <c r="K88" s="27"/>
      <c r="L88" s="68"/>
      <c r="M88" s="27"/>
      <c r="N88" s="138"/>
    </row>
    <row r="89" spans="1:14" ht="15.75">
      <c r="A89" s="136"/>
      <c r="B89" s="27" t="s">
        <v>62</v>
      </c>
      <c r="C89" s="66"/>
      <c r="D89" s="27"/>
      <c r="E89" s="27"/>
      <c r="F89" s="27"/>
      <c r="G89" s="27"/>
      <c r="H89" s="27"/>
      <c r="I89" s="27"/>
      <c r="J89" s="57">
        <f>-J133</f>
        <v>0</v>
      </c>
      <c r="K89" s="57"/>
      <c r="L89" s="58"/>
      <c r="M89" s="27"/>
      <c r="N89" s="138"/>
    </row>
    <row r="90" spans="1:14" ht="15.75">
      <c r="A90" s="136"/>
      <c r="B90" s="27" t="s">
        <v>63</v>
      </c>
      <c r="C90" s="27"/>
      <c r="D90" s="27"/>
      <c r="E90" s="27"/>
      <c r="F90" s="27"/>
      <c r="G90" s="27"/>
      <c r="H90" s="27"/>
      <c r="I90" s="27"/>
      <c r="J90" s="57">
        <v>-206</v>
      </c>
      <c r="K90" s="57"/>
      <c r="L90" s="58"/>
      <c r="M90" s="27"/>
      <c r="N90" s="138"/>
    </row>
    <row r="91" spans="1:14" ht="15.75">
      <c r="A91" s="136"/>
      <c r="B91" s="27" t="s">
        <v>64</v>
      </c>
      <c r="C91" s="27"/>
      <c r="D91" s="27"/>
      <c r="E91" s="27"/>
      <c r="F91" s="27"/>
      <c r="G91" s="27"/>
      <c r="H91" s="27"/>
      <c r="I91" s="27"/>
      <c r="J91" s="57">
        <v>0</v>
      </c>
      <c r="K91" s="57"/>
      <c r="L91" s="58"/>
      <c r="M91" s="27"/>
      <c r="N91" s="138"/>
    </row>
    <row r="92" spans="1:14" ht="15.75">
      <c r="A92" s="136"/>
      <c r="B92" s="27" t="s">
        <v>65</v>
      </c>
      <c r="C92" s="27"/>
      <c r="D92" s="27"/>
      <c r="E92" s="27"/>
      <c r="F92" s="27"/>
      <c r="G92" s="27"/>
      <c r="H92" s="27"/>
      <c r="I92" s="27"/>
      <c r="J92" s="57">
        <v>-3797</v>
      </c>
      <c r="K92" s="57"/>
      <c r="L92" s="58"/>
      <c r="M92" s="27"/>
      <c r="N92" s="138"/>
    </row>
    <row r="93" spans="1:14" ht="15.75">
      <c r="A93" s="136"/>
      <c r="B93" s="27" t="s">
        <v>66</v>
      </c>
      <c r="C93" s="27"/>
      <c r="D93" s="27"/>
      <c r="E93" s="27"/>
      <c r="F93" s="27"/>
      <c r="G93" s="27"/>
      <c r="H93" s="27"/>
      <c r="I93" s="27"/>
      <c r="J93" s="57">
        <v>-2087</v>
      </c>
      <c r="K93" s="57"/>
      <c r="L93" s="58"/>
      <c r="M93" s="27"/>
      <c r="N93" s="138"/>
    </row>
    <row r="94" spans="1:14" ht="15.75">
      <c r="A94" s="136"/>
      <c r="B94" s="27" t="s">
        <v>201</v>
      </c>
      <c r="C94" s="27"/>
      <c r="D94" s="27"/>
      <c r="E94" s="27"/>
      <c r="F94" s="27"/>
      <c r="G94" s="27"/>
      <c r="H94" s="27"/>
      <c r="I94" s="27"/>
      <c r="J94" s="57">
        <v>-1392</v>
      </c>
      <c r="K94" s="57"/>
      <c r="L94" s="58"/>
      <c r="M94" s="27"/>
      <c r="N94" s="138"/>
    </row>
    <row r="95" spans="1:14" ht="15.75">
      <c r="A95" s="136"/>
      <c r="B95" s="27" t="s">
        <v>67</v>
      </c>
      <c r="C95" s="27"/>
      <c r="D95" s="27"/>
      <c r="E95" s="27"/>
      <c r="F95" s="27"/>
      <c r="G95" s="27"/>
      <c r="H95" s="27"/>
      <c r="I95" s="27"/>
      <c r="J95" s="57">
        <f>SUM(J75:J94)</f>
        <v>-7482</v>
      </c>
      <c r="K95" s="57"/>
      <c r="L95" s="57">
        <f>SUM(L75:L93)</f>
        <v>-2931</v>
      </c>
      <c r="M95" s="27"/>
      <c r="N95" s="138"/>
    </row>
    <row r="96" spans="1:14" ht="15.75">
      <c r="A96" s="136"/>
      <c r="B96" s="27" t="s">
        <v>68</v>
      </c>
      <c r="C96" s="27"/>
      <c r="D96" s="27"/>
      <c r="E96" s="27"/>
      <c r="F96" s="27"/>
      <c r="G96" s="27"/>
      <c r="H96" s="27"/>
      <c r="I96" s="27"/>
      <c r="J96" s="57">
        <f>J74+J95</f>
        <v>0</v>
      </c>
      <c r="K96" s="57"/>
      <c r="L96" s="57">
        <f>L74+L95</f>
        <v>0</v>
      </c>
      <c r="M96" s="27"/>
      <c r="N96" s="138"/>
    </row>
    <row r="97" spans="1:14" ht="15.75">
      <c r="A97" s="136"/>
      <c r="B97" s="27"/>
      <c r="C97" s="27"/>
      <c r="D97" s="27"/>
      <c r="E97" s="27"/>
      <c r="F97" s="27"/>
      <c r="G97" s="27"/>
      <c r="H97" s="27"/>
      <c r="I97" s="27"/>
      <c r="J97" s="57"/>
      <c r="K97" s="57"/>
      <c r="L97" s="57"/>
      <c r="M97" s="27"/>
      <c r="N97" s="138"/>
    </row>
    <row r="98" spans="1:14" ht="15.75">
      <c r="A98" s="119"/>
      <c r="B98" s="15"/>
      <c r="C98" s="10"/>
      <c r="D98" s="10"/>
      <c r="E98" s="10"/>
      <c r="F98" s="10"/>
      <c r="G98" s="10"/>
      <c r="H98" s="10"/>
      <c r="I98" s="10"/>
      <c r="J98" s="60"/>
      <c r="K98" s="60"/>
      <c r="L98" s="60"/>
      <c r="M98" s="10"/>
      <c r="N98" s="138"/>
    </row>
    <row r="99" spans="1:14" ht="15.75">
      <c r="A99" s="119"/>
      <c r="B99" s="10"/>
      <c r="C99" s="10"/>
      <c r="D99" s="10"/>
      <c r="E99" s="10"/>
      <c r="F99" s="10"/>
      <c r="G99" s="10"/>
      <c r="H99" s="10"/>
      <c r="I99" s="10"/>
      <c r="J99" s="60"/>
      <c r="K99" s="60"/>
      <c r="L99" s="60"/>
      <c r="M99" s="10"/>
      <c r="N99" s="138"/>
    </row>
    <row r="100" spans="1:14" ht="15.75">
      <c r="A100" s="119"/>
      <c r="B100" s="10"/>
      <c r="C100" s="10"/>
      <c r="D100" s="10"/>
      <c r="E100" s="10"/>
      <c r="F100" s="10"/>
      <c r="G100" s="10"/>
      <c r="H100" s="10"/>
      <c r="I100" s="10"/>
      <c r="J100" s="10"/>
      <c r="K100" s="10"/>
      <c r="L100" s="53"/>
      <c r="M100" s="10"/>
      <c r="N100" s="138"/>
    </row>
    <row r="101" spans="1:14" ht="15.75">
      <c r="A101" s="119"/>
      <c r="B101" s="10"/>
      <c r="C101" s="9"/>
      <c r="D101" s="10"/>
      <c r="E101" s="10"/>
      <c r="F101" s="10"/>
      <c r="G101" s="10"/>
      <c r="H101" s="10"/>
      <c r="I101" s="10"/>
      <c r="J101" s="10"/>
      <c r="K101" s="10"/>
      <c r="L101" s="53"/>
      <c r="M101" s="10"/>
      <c r="N101" s="138"/>
    </row>
    <row r="102" spans="1:14" ht="15.75">
      <c r="A102" s="135"/>
      <c r="B102" s="83" t="s">
        <v>69</v>
      </c>
      <c r="C102" s="5"/>
      <c r="D102" s="5"/>
      <c r="E102" s="5"/>
      <c r="F102" s="5"/>
      <c r="G102" s="5"/>
      <c r="H102" s="5"/>
      <c r="I102" s="5"/>
      <c r="J102" s="5"/>
      <c r="K102" s="5"/>
      <c r="L102" s="52"/>
      <c r="M102" s="70"/>
      <c r="N102" s="138"/>
    </row>
    <row r="103" spans="1:14" ht="15.75">
      <c r="A103" s="119"/>
      <c r="B103" s="10"/>
      <c r="C103" s="10"/>
      <c r="D103" s="10"/>
      <c r="E103" s="10"/>
      <c r="F103" s="10"/>
      <c r="G103" s="10"/>
      <c r="H103" s="10"/>
      <c r="I103" s="10"/>
      <c r="J103" s="10"/>
      <c r="K103" s="10"/>
      <c r="L103" s="53"/>
      <c r="M103" s="10"/>
      <c r="N103" s="138"/>
    </row>
    <row r="104" spans="1:14" ht="15.75">
      <c r="A104" s="119"/>
      <c r="B104" s="73" t="s">
        <v>70</v>
      </c>
      <c r="C104" s="16"/>
      <c r="D104" s="10"/>
      <c r="E104" s="10"/>
      <c r="F104" s="10"/>
      <c r="G104" s="10"/>
      <c r="H104" s="10"/>
      <c r="I104" s="10"/>
      <c r="J104" s="10"/>
      <c r="K104" s="10"/>
      <c r="L104" s="53"/>
      <c r="M104" s="10"/>
      <c r="N104" s="138"/>
    </row>
    <row r="105" spans="1:14" ht="15.75">
      <c r="A105" s="136"/>
      <c r="B105" s="27" t="s">
        <v>71</v>
      </c>
      <c r="C105" s="27"/>
      <c r="D105" s="27"/>
      <c r="E105" s="27"/>
      <c r="F105" s="27"/>
      <c r="G105" s="27"/>
      <c r="H105" s="27"/>
      <c r="I105" s="27"/>
      <c r="J105" s="27"/>
      <c r="K105" s="27"/>
      <c r="L105" s="58">
        <v>4515</v>
      </c>
      <c r="M105" s="27"/>
      <c r="N105" s="138"/>
    </row>
    <row r="106" spans="1:14" ht="15.75">
      <c r="A106" s="136"/>
      <c r="B106" s="27" t="s">
        <v>72</v>
      </c>
      <c r="C106" s="27"/>
      <c r="D106" s="27"/>
      <c r="E106" s="27"/>
      <c r="F106" s="27"/>
      <c r="G106" s="27"/>
      <c r="H106" s="27"/>
      <c r="I106" s="27"/>
      <c r="J106" s="27"/>
      <c r="K106" s="27"/>
      <c r="L106" s="58">
        <v>4515</v>
      </c>
      <c r="M106" s="27"/>
      <c r="N106" s="138"/>
    </row>
    <row r="107" spans="1:14" ht="15.75">
      <c r="A107" s="136"/>
      <c r="B107" s="27" t="s">
        <v>73</v>
      </c>
      <c r="C107" s="27"/>
      <c r="D107" s="27"/>
      <c r="E107" s="27"/>
      <c r="F107" s="27"/>
      <c r="G107" s="27"/>
      <c r="H107" s="27"/>
      <c r="I107" s="27"/>
      <c r="J107" s="27"/>
      <c r="K107" s="27"/>
      <c r="L107" s="58"/>
      <c r="M107" s="27"/>
      <c r="N107" s="138"/>
    </row>
    <row r="108" spans="1:14" ht="15.75">
      <c r="A108" s="136"/>
      <c r="B108" s="27" t="s">
        <v>74</v>
      </c>
      <c r="C108" s="27"/>
      <c r="D108" s="27"/>
      <c r="E108" s="27"/>
      <c r="F108" s="27"/>
      <c r="G108" s="27"/>
      <c r="H108" s="27"/>
      <c r="I108" s="27"/>
      <c r="J108" s="27"/>
      <c r="K108" s="27"/>
      <c r="L108" s="58">
        <v>0</v>
      </c>
      <c r="M108" s="27"/>
      <c r="N108" s="138"/>
    </row>
    <row r="109" spans="1:14" ht="15.75">
      <c r="A109" s="136"/>
      <c r="B109" s="27" t="s">
        <v>75</v>
      </c>
      <c r="C109" s="27"/>
      <c r="D109" s="27"/>
      <c r="E109" s="27"/>
      <c r="F109" s="27"/>
      <c r="G109" s="27"/>
      <c r="H109" s="27"/>
      <c r="I109" s="27"/>
      <c r="J109" s="27"/>
      <c r="K109" s="27"/>
      <c r="L109" s="58"/>
      <c r="M109" s="27"/>
      <c r="N109" s="138"/>
    </row>
    <row r="110" spans="1:14" ht="15.75">
      <c r="A110" s="136"/>
      <c r="B110" s="27" t="s">
        <v>53</v>
      </c>
      <c r="C110" s="27"/>
      <c r="D110" s="27"/>
      <c r="E110" s="27"/>
      <c r="F110" s="27"/>
      <c r="G110" s="27"/>
      <c r="H110" s="27"/>
      <c r="I110" s="27"/>
      <c r="J110" s="27"/>
      <c r="K110" s="27"/>
      <c r="L110" s="58"/>
      <c r="M110" s="27"/>
      <c r="N110" s="138"/>
    </row>
    <row r="111" spans="1:14" ht="15.75">
      <c r="A111" s="136"/>
      <c r="B111" s="27" t="s">
        <v>55</v>
      </c>
      <c r="C111" s="27"/>
      <c r="D111" s="27"/>
      <c r="E111" s="27"/>
      <c r="F111" s="27"/>
      <c r="G111" s="27"/>
      <c r="H111" s="27"/>
      <c r="I111" s="27"/>
      <c r="J111" s="27"/>
      <c r="K111" s="27"/>
      <c r="L111" s="58"/>
      <c r="M111" s="27"/>
      <c r="N111" s="138"/>
    </row>
    <row r="112" spans="1:14" ht="15.75">
      <c r="A112" s="136"/>
      <c r="B112" s="27" t="s">
        <v>76</v>
      </c>
      <c r="C112" s="27"/>
      <c r="D112" s="27"/>
      <c r="E112" s="27"/>
      <c r="F112" s="27"/>
      <c r="G112" s="27"/>
      <c r="H112" s="27"/>
      <c r="I112" s="27"/>
      <c r="J112" s="27"/>
      <c r="K112" s="27"/>
      <c r="L112" s="58">
        <f>L106-L108</f>
        <v>4515</v>
      </c>
      <c r="M112" s="27"/>
      <c r="N112" s="138"/>
    </row>
    <row r="113" spans="1:14" ht="15.75">
      <c r="A113" s="136"/>
      <c r="B113" s="27"/>
      <c r="C113" s="27"/>
      <c r="D113" s="27"/>
      <c r="E113" s="27"/>
      <c r="F113" s="27"/>
      <c r="G113" s="27"/>
      <c r="H113" s="27"/>
      <c r="I113" s="27"/>
      <c r="J113" s="27"/>
      <c r="K113" s="27"/>
      <c r="L113" s="72"/>
      <c r="M113" s="27"/>
      <c r="N113" s="138"/>
    </row>
    <row r="114" spans="1:14" ht="15.75">
      <c r="A114" s="135"/>
      <c r="B114" s="5"/>
      <c r="C114" s="5"/>
      <c r="D114" s="5"/>
      <c r="E114" s="5"/>
      <c r="F114" s="5"/>
      <c r="G114" s="5"/>
      <c r="H114" s="5"/>
      <c r="I114" s="5"/>
      <c r="J114" s="5"/>
      <c r="K114" s="5"/>
      <c r="L114" s="52"/>
      <c r="M114" s="5"/>
      <c r="N114" s="138"/>
    </row>
    <row r="115" spans="1:14" ht="15.75">
      <c r="A115" s="119"/>
      <c r="B115" s="73" t="s">
        <v>77</v>
      </c>
      <c r="C115" s="16"/>
      <c r="D115" s="10"/>
      <c r="E115" s="10"/>
      <c r="F115" s="10"/>
      <c r="G115" s="10"/>
      <c r="H115" s="10"/>
      <c r="I115" s="10"/>
      <c r="J115" s="10"/>
      <c r="K115" s="10"/>
      <c r="L115" s="74"/>
      <c r="M115" s="10"/>
      <c r="N115" s="138"/>
    </row>
    <row r="116" spans="1:14" ht="15.75">
      <c r="A116" s="119"/>
      <c r="B116" s="16"/>
      <c r="C116" s="16"/>
      <c r="D116" s="10"/>
      <c r="E116" s="10"/>
      <c r="F116" s="10"/>
      <c r="G116" s="10"/>
      <c r="H116" s="10"/>
      <c r="I116" s="10"/>
      <c r="J116" s="10"/>
      <c r="K116" s="10"/>
      <c r="L116" s="74"/>
      <c r="M116" s="10"/>
      <c r="N116" s="138"/>
    </row>
    <row r="117" spans="1:14" ht="15.75">
      <c r="A117" s="136"/>
      <c r="B117" s="27" t="s">
        <v>78</v>
      </c>
      <c r="C117" s="27"/>
      <c r="D117" s="27"/>
      <c r="E117" s="27"/>
      <c r="F117" s="27"/>
      <c r="G117" s="27"/>
      <c r="H117" s="27"/>
      <c r="I117" s="27"/>
      <c r="J117" s="27"/>
      <c r="K117" s="27"/>
      <c r="L117" s="58">
        <v>0</v>
      </c>
      <c r="M117" s="27"/>
      <c r="N117" s="138"/>
    </row>
    <row r="118" spans="1:14" ht="15.75">
      <c r="A118" s="136"/>
      <c r="B118" s="27" t="s">
        <v>79</v>
      </c>
      <c r="C118" s="27"/>
      <c r="D118" s="27"/>
      <c r="E118" s="27"/>
      <c r="F118" s="27"/>
      <c r="G118" s="27"/>
      <c r="H118" s="27"/>
      <c r="I118" s="27"/>
      <c r="J118" s="27"/>
      <c r="K118" s="27"/>
      <c r="L118" s="58">
        <v>-163</v>
      </c>
      <c r="M118" s="27"/>
      <c r="N118" s="138"/>
    </row>
    <row r="119" spans="1:14" ht="15.75">
      <c r="A119" s="136"/>
      <c r="B119" s="27" t="s">
        <v>80</v>
      </c>
      <c r="C119" s="27"/>
      <c r="D119" s="27"/>
      <c r="E119" s="27"/>
      <c r="F119" s="27"/>
      <c r="G119" s="27"/>
      <c r="H119" s="27"/>
      <c r="I119" s="27"/>
      <c r="J119" s="27"/>
      <c r="K119" s="27"/>
      <c r="L119" s="58">
        <f>L118+L117</f>
        <v>-163</v>
      </c>
      <c r="M119" s="27"/>
      <c r="N119" s="138"/>
    </row>
    <row r="120" spans="1:14" ht="15.75">
      <c r="A120" s="136"/>
      <c r="B120" s="27" t="s">
        <v>81</v>
      </c>
      <c r="C120" s="27"/>
      <c r="D120" s="27"/>
      <c r="E120" s="27"/>
      <c r="F120" s="27"/>
      <c r="G120" s="27"/>
      <c r="H120" s="75"/>
      <c r="I120" s="27"/>
      <c r="J120" s="27"/>
      <c r="K120" s="27"/>
      <c r="L120" s="58">
        <f>-L85</f>
        <v>163</v>
      </c>
      <c r="M120" s="27"/>
      <c r="N120" s="138"/>
    </row>
    <row r="121" spans="1:14" ht="15.75">
      <c r="A121" s="136"/>
      <c r="B121" s="27" t="s">
        <v>82</v>
      </c>
      <c r="C121" s="27"/>
      <c r="D121" s="27"/>
      <c r="E121" s="27"/>
      <c r="F121" s="27"/>
      <c r="G121" s="27"/>
      <c r="H121" s="27"/>
      <c r="I121" s="27"/>
      <c r="J121" s="27"/>
      <c r="K121" s="27"/>
      <c r="L121" s="58">
        <f>L119+L120</f>
        <v>0</v>
      </c>
      <c r="M121" s="27"/>
      <c r="N121" s="138"/>
    </row>
    <row r="122" spans="1:14" ht="15.75">
      <c r="A122" s="136"/>
      <c r="B122" s="27"/>
      <c r="C122" s="27"/>
      <c r="D122" s="27"/>
      <c r="E122" s="27"/>
      <c r="F122" s="27"/>
      <c r="G122" s="27"/>
      <c r="H122" s="27"/>
      <c r="I122" s="27"/>
      <c r="J122" s="27"/>
      <c r="K122" s="27"/>
      <c r="L122" s="72"/>
      <c r="M122" s="27"/>
      <c r="N122" s="138"/>
    </row>
    <row r="123" spans="1:14" ht="15.75">
      <c r="A123" s="135"/>
      <c r="B123" s="5"/>
      <c r="C123" s="5"/>
      <c r="D123" s="5"/>
      <c r="E123" s="5"/>
      <c r="F123" s="5"/>
      <c r="G123" s="5"/>
      <c r="H123" s="5"/>
      <c r="I123" s="5"/>
      <c r="J123" s="5"/>
      <c r="K123" s="5"/>
      <c r="L123" s="52"/>
      <c r="M123" s="5"/>
      <c r="N123" s="138"/>
    </row>
    <row r="124" spans="1:14" ht="15.75">
      <c r="A124" s="119"/>
      <c r="B124" s="73" t="s">
        <v>83</v>
      </c>
      <c r="C124" s="16"/>
      <c r="D124" s="10"/>
      <c r="E124" s="10"/>
      <c r="F124" s="10"/>
      <c r="G124" s="10"/>
      <c r="H124" s="10"/>
      <c r="I124" s="10"/>
      <c r="J124" s="10"/>
      <c r="K124" s="10"/>
      <c r="L124" s="53"/>
      <c r="M124" s="10"/>
      <c r="N124" s="138"/>
    </row>
    <row r="125" spans="1:14" ht="15.75">
      <c r="A125" s="119"/>
      <c r="B125" s="76"/>
      <c r="C125" s="16"/>
      <c r="D125" s="10"/>
      <c r="E125" s="10"/>
      <c r="F125" s="10"/>
      <c r="G125" s="10"/>
      <c r="H125" s="10"/>
      <c r="I125" s="10"/>
      <c r="J125" s="10"/>
      <c r="K125" s="10"/>
      <c r="L125" s="53"/>
      <c r="M125" s="10"/>
      <c r="N125" s="138"/>
    </row>
    <row r="126" spans="1:14" ht="15.75">
      <c r="A126" s="136"/>
      <c r="B126" s="27" t="s">
        <v>84</v>
      </c>
      <c r="C126" s="71"/>
      <c r="D126" s="27"/>
      <c r="E126" s="27"/>
      <c r="F126" s="27"/>
      <c r="G126" s="27"/>
      <c r="H126" s="27"/>
      <c r="I126" s="27"/>
      <c r="J126" s="27"/>
      <c r="K126" s="27"/>
      <c r="L126" s="58">
        <f>L52</f>
        <v>102015</v>
      </c>
      <c r="M126" s="27"/>
      <c r="N126" s="138"/>
    </row>
    <row r="127" spans="1:14" ht="15.75">
      <c r="A127" s="136"/>
      <c r="B127" s="27" t="s">
        <v>85</v>
      </c>
      <c r="C127" s="71"/>
      <c r="D127" s="27"/>
      <c r="E127" s="27"/>
      <c r="F127" s="27"/>
      <c r="G127" s="27"/>
      <c r="H127" s="27"/>
      <c r="I127" s="27"/>
      <c r="J127" s="27"/>
      <c r="K127" s="27"/>
      <c r="L127" s="58">
        <f>L64</f>
        <v>98178</v>
      </c>
      <c r="M127" s="27"/>
      <c r="N127" s="138"/>
    </row>
    <row r="128" spans="1:14" ht="15.75">
      <c r="A128" s="136"/>
      <c r="B128" s="27"/>
      <c r="C128" s="27"/>
      <c r="D128" s="27"/>
      <c r="E128" s="27"/>
      <c r="F128" s="27"/>
      <c r="G128" s="27"/>
      <c r="H128" s="27"/>
      <c r="I128" s="27"/>
      <c r="J128" s="27"/>
      <c r="K128" s="27"/>
      <c r="L128" s="72"/>
      <c r="M128" s="27"/>
      <c r="N128" s="138"/>
    </row>
    <row r="129" spans="1:14" ht="15.75">
      <c r="A129" s="135"/>
      <c r="B129" s="5"/>
      <c r="C129" s="5"/>
      <c r="D129" s="5"/>
      <c r="E129" s="5"/>
      <c r="F129" s="5"/>
      <c r="G129" s="5"/>
      <c r="H129" s="5"/>
      <c r="I129" s="5"/>
      <c r="J129" s="5"/>
      <c r="K129" s="5"/>
      <c r="L129" s="52"/>
      <c r="M129" s="5"/>
      <c r="N129" s="138"/>
    </row>
    <row r="130" spans="1:14" ht="15.75">
      <c r="A130" s="119"/>
      <c r="B130" s="73" t="s">
        <v>86</v>
      </c>
      <c r="C130" s="12"/>
      <c r="D130" s="12"/>
      <c r="E130" s="12"/>
      <c r="F130" s="12"/>
      <c r="G130" s="12"/>
      <c r="H130" s="77" t="s">
        <v>163</v>
      </c>
      <c r="I130" s="77"/>
      <c r="J130" s="77" t="s">
        <v>175</v>
      </c>
      <c r="K130" s="12"/>
      <c r="L130" s="78" t="s">
        <v>189</v>
      </c>
      <c r="M130" s="10"/>
      <c r="N130" s="138"/>
    </row>
    <row r="131" spans="1:14" ht="15.75">
      <c r="A131" s="136"/>
      <c r="B131" s="27" t="s">
        <v>87</v>
      </c>
      <c r="C131" s="27"/>
      <c r="D131" s="27"/>
      <c r="E131" s="27"/>
      <c r="F131" s="27"/>
      <c r="G131" s="27"/>
      <c r="H131" s="58">
        <v>40000</v>
      </c>
      <c r="I131" s="27"/>
      <c r="J131" s="45" t="s">
        <v>176</v>
      </c>
      <c r="K131" s="27"/>
      <c r="L131" s="58"/>
      <c r="M131" s="27"/>
      <c r="N131" s="138"/>
    </row>
    <row r="132" spans="1:14" ht="15.75">
      <c r="A132" s="136"/>
      <c r="B132" s="27" t="s">
        <v>88</v>
      </c>
      <c r="C132" s="27"/>
      <c r="D132" s="27"/>
      <c r="E132" s="27"/>
      <c r="F132" s="27"/>
      <c r="G132" s="27"/>
      <c r="H132" s="58">
        <v>1622</v>
      </c>
      <c r="I132" s="27"/>
      <c r="J132" s="58">
        <v>110</v>
      </c>
      <c r="K132" s="27"/>
      <c r="L132" s="58">
        <f>J132+H132</f>
        <v>1732</v>
      </c>
      <c r="M132" s="27"/>
      <c r="N132" s="138"/>
    </row>
    <row r="133" spans="1:14" ht="15.75">
      <c r="A133" s="136"/>
      <c r="B133" s="27" t="s">
        <v>89</v>
      </c>
      <c r="C133" s="27"/>
      <c r="D133" s="27"/>
      <c r="E133" s="27"/>
      <c r="F133" s="27"/>
      <c r="G133" s="27"/>
      <c r="H133" s="58">
        <v>206</v>
      </c>
      <c r="I133" s="27"/>
      <c r="J133" s="27">
        <v>0</v>
      </c>
      <c r="K133" s="27"/>
      <c r="L133" s="58">
        <f>J133+H133</f>
        <v>206</v>
      </c>
      <c r="M133" s="27"/>
      <c r="N133" s="138"/>
    </row>
    <row r="134" spans="1:14" ht="15.75">
      <c r="A134" s="136"/>
      <c r="B134" s="27" t="s">
        <v>90</v>
      </c>
      <c r="C134" s="27"/>
      <c r="D134" s="27"/>
      <c r="E134" s="27"/>
      <c r="F134" s="27"/>
      <c r="G134" s="27"/>
      <c r="H134" s="58">
        <f>H133+H132</f>
        <v>1828</v>
      </c>
      <c r="I134" s="27"/>
      <c r="J134" s="58">
        <f>J133+J132</f>
        <v>110</v>
      </c>
      <c r="K134" s="27"/>
      <c r="L134" s="58">
        <f>J134+H134</f>
        <v>1938</v>
      </c>
      <c r="M134" s="27"/>
      <c r="N134" s="138"/>
    </row>
    <row r="135" spans="1:14" ht="15.75">
      <c r="A135" s="136"/>
      <c r="B135" s="27" t="s">
        <v>91</v>
      </c>
      <c r="C135" s="27"/>
      <c r="D135" s="27"/>
      <c r="E135" s="27"/>
      <c r="F135" s="27"/>
      <c r="G135" s="27"/>
      <c r="H135" s="58">
        <f>H131-H134</f>
        <v>38172</v>
      </c>
      <c r="I135" s="27"/>
      <c r="J135" s="45" t="s">
        <v>176</v>
      </c>
      <c r="K135" s="27"/>
      <c r="L135" s="58"/>
      <c r="M135" s="27"/>
      <c r="N135" s="138"/>
    </row>
    <row r="136" spans="1:14" ht="15.75">
      <c r="A136" s="136"/>
      <c r="B136" s="27"/>
      <c r="C136" s="27"/>
      <c r="D136" s="27"/>
      <c r="E136" s="27"/>
      <c r="F136" s="27"/>
      <c r="G136" s="27"/>
      <c r="H136" s="27"/>
      <c r="I136" s="27"/>
      <c r="J136" s="27"/>
      <c r="K136" s="27"/>
      <c r="L136" s="72"/>
      <c r="M136" s="27"/>
      <c r="N136" s="138"/>
    </row>
    <row r="137" spans="1:14" ht="15.75">
      <c r="A137" s="135"/>
      <c r="B137" s="5"/>
      <c r="C137" s="5"/>
      <c r="D137" s="5"/>
      <c r="E137" s="5"/>
      <c r="F137" s="5"/>
      <c r="G137" s="5"/>
      <c r="H137" s="5"/>
      <c r="I137" s="5"/>
      <c r="J137" s="5"/>
      <c r="K137" s="5"/>
      <c r="L137" s="52"/>
      <c r="M137" s="5"/>
      <c r="N137" s="138"/>
    </row>
    <row r="138" spans="1:14" ht="15.75">
      <c r="A138" s="119"/>
      <c r="B138" s="73" t="s">
        <v>92</v>
      </c>
      <c r="C138" s="16"/>
      <c r="D138" s="10"/>
      <c r="E138" s="10"/>
      <c r="F138" s="10"/>
      <c r="G138" s="10"/>
      <c r="H138" s="10"/>
      <c r="I138" s="10"/>
      <c r="J138" s="10"/>
      <c r="K138" s="10"/>
      <c r="L138" s="79"/>
      <c r="M138" s="10"/>
      <c r="N138" s="138"/>
    </row>
    <row r="139" spans="1:14" ht="15.75">
      <c r="A139" s="136"/>
      <c r="B139" s="27" t="s">
        <v>93</v>
      </c>
      <c r="C139" s="27"/>
      <c r="D139" s="27"/>
      <c r="E139" s="27"/>
      <c r="F139" s="27"/>
      <c r="G139" s="27"/>
      <c r="H139" s="27"/>
      <c r="I139" s="27"/>
      <c r="J139" s="27"/>
      <c r="K139" s="27"/>
      <c r="L139" s="68">
        <f>(L74+L77+L78+L79)/-L80</f>
        <v>2.2532154340836015</v>
      </c>
      <c r="M139" s="27" t="s">
        <v>190</v>
      </c>
      <c r="N139" s="138"/>
    </row>
    <row r="140" spans="1:14" ht="15.75">
      <c r="A140" s="136"/>
      <c r="B140" s="27" t="s">
        <v>94</v>
      </c>
      <c r="C140" s="27"/>
      <c r="D140" s="27"/>
      <c r="E140" s="27"/>
      <c r="F140" s="27"/>
      <c r="G140" s="27"/>
      <c r="H140" s="27"/>
      <c r="I140" s="27"/>
      <c r="J140" s="27"/>
      <c r="K140" s="27"/>
      <c r="L140" s="68">
        <v>1.58</v>
      </c>
      <c r="M140" s="27" t="s">
        <v>190</v>
      </c>
      <c r="N140" s="138"/>
    </row>
    <row r="141" spans="1:14" ht="15.75">
      <c r="A141" s="136"/>
      <c r="B141" s="27" t="s">
        <v>95</v>
      </c>
      <c r="C141" s="27"/>
      <c r="D141" s="27"/>
      <c r="E141" s="27"/>
      <c r="F141" s="27"/>
      <c r="G141" s="27"/>
      <c r="H141" s="27"/>
      <c r="I141" s="27"/>
      <c r="J141" s="27"/>
      <c r="K141" s="27"/>
      <c r="L141" s="68">
        <f>(L74+SUM(L77:L81))/-L82</f>
        <v>5.5177304964539005</v>
      </c>
      <c r="M141" s="27" t="s">
        <v>190</v>
      </c>
      <c r="N141" s="138"/>
    </row>
    <row r="142" spans="1:14" ht="15.75">
      <c r="A142" s="136"/>
      <c r="B142" s="27" t="s">
        <v>96</v>
      </c>
      <c r="C142" s="27"/>
      <c r="D142" s="27"/>
      <c r="E142" s="27"/>
      <c r="F142" s="27"/>
      <c r="G142" s="27"/>
      <c r="H142" s="27"/>
      <c r="I142" s="27"/>
      <c r="J142" s="27"/>
      <c r="K142" s="27"/>
      <c r="L142" s="81">
        <v>4.42</v>
      </c>
      <c r="M142" s="27" t="s">
        <v>190</v>
      </c>
      <c r="N142" s="138"/>
    </row>
    <row r="143" spans="1:14" ht="15.75">
      <c r="A143" s="136"/>
      <c r="B143" s="27" t="s">
        <v>97</v>
      </c>
      <c r="C143" s="27"/>
      <c r="D143" s="27"/>
      <c r="E143" s="27"/>
      <c r="F143" s="27"/>
      <c r="G143" s="27"/>
      <c r="H143" s="27"/>
      <c r="I143" s="27"/>
      <c r="J143" s="27"/>
      <c r="K143" s="27"/>
      <c r="L143" s="68">
        <f>(L74+L77+L78+L79+L80+L81+L82)/-L83</f>
        <v>6.434343434343434</v>
      </c>
      <c r="M143" s="27" t="s">
        <v>190</v>
      </c>
      <c r="N143" s="138"/>
    </row>
    <row r="144" spans="1:14" ht="15.75">
      <c r="A144" s="136"/>
      <c r="B144" s="27" t="s">
        <v>98</v>
      </c>
      <c r="C144" s="27"/>
      <c r="D144" s="27"/>
      <c r="E144" s="27"/>
      <c r="F144" s="27"/>
      <c r="G144" s="27"/>
      <c r="H144" s="27"/>
      <c r="I144" s="27"/>
      <c r="J144" s="27"/>
      <c r="K144" s="27"/>
      <c r="L144" s="80">
        <v>4.89</v>
      </c>
      <c r="M144" s="27" t="s">
        <v>190</v>
      </c>
      <c r="N144" s="138"/>
    </row>
    <row r="145" spans="1:14" ht="15.75">
      <c r="A145" s="136"/>
      <c r="B145" s="27"/>
      <c r="C145" s="27"/>
      <c r="D145" s="27"/>
      <c r="E145" s="27"/>
      <c r="F145" s="27"/>
      <c r="G145" s="27"/>
      <c r="H145" s="27"/>
      <c r="I145" s="27"/>
      <c r="J145" s="27"/>
      <c r="K145" s="27"/>
      <c r="L145" s="27"/>
      <c r="M145" s="27"/>
      <c r="N145" s="138"/>
    </row>
    <row r="146" spans="1:14" ht="15">
      <c r="A146" s="119"/>
      <c r="B146" s="15"/>
      <c r="C146" s="15"/>
      <c r="D146" s="15"/>
      <c r="E146" s="15"/>
      <c r="F146" s="15"/>
      <c r="G146" s="15"/>
      <c r="H146" s="15"/>
      <c r="I146" s="15"/>
      <c r="J146" s="15"/>
      <c r="K146" s="15"/>
      <c r="L146" s="15"/>
      <c r="M146" s="15"/>
      <c r="N146" s="138"/>
    </row>
    <row r="147" spans="1:14" ht="15.75">
      <c r="A147" s="135"/>
      <c r="B147" s="83" t="s">
        <v>99</v>
      </c>
      <c r="C147" s="84"/>
      <c r="D147" s="84"/>
      <c r="E147" s="84"/>
      <c r="F147" s="84"/>
      <c r="G147" s="85"/>
      <c r="H147" s="85"/>
      <c r="I147" s="85"/>
      <c r="J147" s="85">
        <v>36769</v>
      </c>
      <c r="K147" s="86"/>
      <c r="L147" s="5"/>
      <c r="M147" s="5"/>
      <c r="N147" s="138"/>
    </row>
    <row r="148" spans="1:14" ht="15.75">
      <c r="A148" s="119"/>
      <c r="B148" s="89"/>
      <c r="C148" s="90"/>
      <c r="D148" s="90"/>
      <c r="E148" s="90"/>
      <c r="F148" s="90"/>
      <c r="G148" s="91"/>
      <c r="H148" s="91"/>
      <c r="I148" s="91"/>
      <c r="J148" s="91"/>
      <c r="K148" s="10"/>
      <c r="L148" s="10"/>
      <c r="M148" s="10"/>
      <c r="N148" s="138"/>
    </row>
    <row r="149" spans="1:14" ht="15.75">
      <c r="A149" s="136"/>
      <c r="B149" s="93" t="s">
        <v>100</v>
      </c>
      <c r="C149" s="94"/>
      <c r="D149" s="94"/>
      <c r="E149" s="94"/>
      <c r="F149" s="94"/>
      <c r="G149" s="75"/>
      <c r="H149" s="75"/>
      <c r="I149" s="75"/>
      <c r="J149" s="95">
        <v>0.0981</v>
      </c>
      <c r="K149" s="27"/>
      <c r="L149" s="27"/>
      <c r="M149" s="27"/>
      <c r="N149" s="138"/>
    </row>
    <row r="150" spans="1:14" ht="15.75">
      <c r="A150" s="136"/>
      <c r="B150" s="93" t="s">
        <v>101</v>
      </c>
      <c r="C150" s="94"/>
      <c r="D150" s="94"/>
      <c r="E150" s="94"/>
      <c r="F150" s="94"/>
      <c r="G150" s="75"/>
      <c r="H150" s="75"/>
      <c r="I150" s="75"/>
      <c r="J150" s="44">
        <f>6.96640642439395/100</f>
        <v>0.0696640642439395</v>
      </c>
      <c r="K150" s="27"/>
      <c r="L150" s="27"/>
      <c r="M150" s="27"/>
      <c r="N150" s="138"/>
    </row>
    <row r="151" spans="1:14" ht="15.75">
      <c r="A151" s="136"/>
      <c r="B151" s="93" t="s">
        <v>102</v>
      </c>
      <c r="C151" s="94"/>
      <c r="D151" s="94"/>
      <c r="E151" s="94"/>
      <c r="F151" s="94"/>
      <c r="G151" s="75"/>
      <c r="H151" s="75"/>
      <c r="I151" s="75"/>
      <c r="J151" s="95">
        <f>J149-J150</f>
        <v>0.0284359357560605</v>
      </c>
      <c r="K151" s="27"/>
      <c r="L151" s="27"/>
      <c r="M151" s="27"/>
      <c r="N151" s="138"/>
    </row>
    <row r="152" spans="1:14" ht="15.75">
      <c r="A152" s="136"/>
      <c r="B152" s="93" t="s">
        <v>103</v>
      </c>
      <c r="C152" s="94"/>
      <c r="D152" s="94"/>
      <c r="E152" s="94"/>
      <c r="F152" s="94"/>
      <c r="G152" s="75"/>
      <c r="H152" s="75"/>
      <c r="I152" s="75"/>
      <c r="J152" s="95">
        <v>0.09159</v>
      </c>
      <c r="K152" s="27"/>
      <c r="L152" s="27"/>
      <c r="M152" s="27"/>
      <c r="N152" s="138"/>
    </row>
    <row r="153" spans="1:14" ht="15.75">
      <c r="A153" s="136"/>
      <c r="B153" s="93" t="s">
        <v>104</v>
      </c>
      <c r="C153" s="94"/>
      <c r="D153" s="94"/>
      <c r="E153" s="94"/>
      <c r="F153" s="94"/>
      <c r="G153" s="75"/>
      <c r="H153" s="75"/>
      <c r="I153" s="75"/>
      <c r="J153" s="95">
        <f>L28</f>
        <v>0.0650416312147617</v>
      </c>
      <c r="K153" s="27"/>
      <c r="L153" s="27"/>
      <c r="M153" s="27"/>
      <c r="N153" s="138"/>
    </row>
    <row r="154" spans="1:14" ht="15.75">
      <c r="A154" s="136"/>
      <c r="B154" s="93" t="s">
        <v>105</v>
      </c>
      <c r="C154" s="94"/>
      <c r="D154" s="94"/>
      <c r="E154" s="94"/>
      <c r="F154" s="94"/>
      <c r="G154" s="75"/>
      <c r="H154" s="75"/>
      <c r="I154" s="75"/>
      <c r="J154" s="95">
        <f>J152-J153</f>
        <v>0.026548368785238308</v>
      </c>
      <c r="K154" s="27"/>
      <c r="L154" s="27"/>
      <c r="M154" s="27"/>
      <c r="N154" s="138"/>
    </row>
    <row r="155" spans="1:14" ht="15.75">
      <c r="A155" s="136"/>
      <c r="B155" s="93" t="s">
        <v>106</v>
      </c>
      <c r="C155" s="94"/>
      <c r="D155" s="94"/>
      <c r="E155" s="94"/>
      <c r="F155" s="94"/>
      <c r="G155" s="75"/>
      <c r="H155" s="75"/>
      <c r="I155" s="75"/>
      <c r="J155" s="95" t="s">
        <v>177</v>
      </c>
      <c r="K155" s="27"/>
      <c r="L155" s="27"/>
      <c r="M155" s="27"/>
      <c r="N155" s="138"/>
    </row>
    <row r="156" spans="1:14" ht="15.75">
      <c r="A156" s="136"/>
      <c r="B156" s="93" t="s">
        <v>107</v>
      </c>
      <c r="C156" s="94"/>
      <c r="D156" s="94"/>
      <c r="E156" s="94"/>
      <c r="F156" s="94"/>
      <c r="G156" s="75"/>
      <c r="H156" s="75"/>
      <c r="I156" s="75"/>
      <c r="J156" s="95" t="s">
        <v>178</v>
      </c>
      <c r="K156" s="27"/>
      <c r="L156" s="27"/>
      <c r="M156" s="27"/>
      <c r="N156" s="138"/>
    </row>
    <row r="157" spans="1:14" ht="15.75">
      <c r="A157" s="136"/>
      <c r="B157" s="93" t="s">
        <v>108</v>
      </c>
      <c r="C157" s="94"/>
      <c r="D157" s="94"/>
      <c r="E157" s="94"/>
      <c r="F157" s="94"/>
      <c r="G157" s="75"/>
      <c r="H157" s="75"/>
      <c r="I157" s="75"/>
      <c r="J157" s="95" t="s">
        <v>200</v>
      </c>
      <c r="K157" s="27"/>
      <c r="L157" s="27"/>
      <c r="M157" s="27"/>
      <c r="N157" s="138"/>
    </row>
    <row r="158" spans="1:14" ht="15.75">
      <c r="A158" s="136"/>
      <c r="B158" s="93" t="s">
        <v>109</v>
      </c>
      <c r="C158" s="94"/>
      <c r="D158" s="94"/>
      <c r="E158" s="94"/>
      <c r="F158" s="94"/>
      <c r="G158" s="75"/>
      <c r="H158" s="133"/>
      <c r="I158" s="75"/>
      <c r="J158" s="95">
        <f>F52/D52*4</f>
        <v>0.27615468319937087</v>
      </c>
      <c r="K158" s="27"/>
      <c r="L158" s="27"/>
      <c r="M158" s="27"/>
      <c r="N158" s="138"/>
    </row>
    <row r="159" spans="1:14" ht="15.75">
      <c r="A159" s="136"/>
      <c r="B159" s="93"/>
      <c r="C159" s="93"/>
      <c r="D159" s="93"/>
      <c r="E159" s="93"/>
      <c r="F159" s="93"/>
      <c r="G159" s="27"/>
      <c r="H159" s="27"/>
      <c r="I159" s="27"/>
      <c r="J159" s="72"/>
      <c r="K159" s="27"/>
      <c r="L159" s="97"/>
      <c r="M159" s="27"/>
      <c r="N159" s="138"/>
    </row>
    <row r="160" spans="1:14" ht="15.75">
      <c r="A160" s="119"/>
      <c r="B160" s="17" t="s">
        <v>110</v>
      </c>
      <c r="C160" s="20"/>
      <c r="D160" s="99"/>
      <c r="E160" s="20"/>
      <c r="F160" s="99"/>
      <c r="G160" s="20"/>
      <c r="H160" s="99"/>
      <c r="I160" s="20" t="s">
        <v>164</v>
      </c>
      <c r="J160" s="99" t="s">
        <v>180</v>
      </c>
      <c r="K160" s="18"/>
      <c r="L160" s="18"/>
      <c r="M160" s="10"/>
      <c r="N160" s="138"/>
    </row>
    <row r="161" spans="1:14" ht="15.75">
      <c r="A161" s="136"/>
      <c r="B161" s="93" t="s">
        <v>111</v>
      </c>
      <c r="C161" s="59"/>
      <c r="D161" s="59"/>
      <c r="E161" s="59"/>
      <c r="F161" s="27"/>
      <c r="G161" s="27"/>
      <c r="H161" s="27"/>
      <c r="I161" s="27">
        <v>103</v>
      </c>
      <c r="J161" s="58">
        <v>6943</v>
      </c>
      <c r="K161" s="27"/>
      <c r="L161" s="97"/>
      <c r="M161" s="102"/>
      <c r="N161" s="138"/>
    </row>
    <row r="162" spans="1:14" ht="15.75">
      <c r="A162" s="136"/>
      <c r="B162" s="93" t="s">
        <v>112</v>
      </c>
      <c r="C162" s="59"/>
      <c r="D162" s="59"/>
      <c r="E162" s="59"/>
      <c r="F162" s="27"/>
      <c r="G162" s="27"/>
      <c r="H162" s="27"/>
      <c r="I162" s="27">
        <v>11</v>
      </c>
      <c r="J162" s="58">
        <v>637</v>
      </c>
      <c r="K162" s="27"/>
      <c r="L162" s="97"/>
      <c r="M162" s="102"/>
      <c r="N162" s="138"/>
    </row>
    <row r="163" spans="1:14" ht="15.75">
      <c r="A163" s="136"/>
      <c r="B163" s="103" t="s">
        <v>113</v>
      </c>
      <c r="C163" s="59"/>
      <c r="D163" s="59"/>
      <c r="E163" s="59"/>
      <c r="F163" s="27"/>
      <c r="G163" s="27"/>
      <c r="H163" s="27"/>
      <c r="I163" s="27"/>
      <c r="J163" s="58">
        <v>0</v>
      </c>
      <c r="K163" s="27"/>
      <c r="L163" s="97"/>
      <c r="M163" s="102"/>
      <c r="N163" s="138"/>
    </row>
    <row r="164" spans="1:14" ht="15.75">
      <c r="A164" s="136"/>
      <c r="B164" s="103" t="s">
        <v>114</v>
      </c>
      <c r="C164" s="59"/>
      <c r="D164" s="59"/>
      <c r="E164" s="59"/>
      <c r="F164" s="27"/>
      <c r="G164" s="27"/>
      <c r="H164" s="27"/>
      <c r="I164" s="27"/>
      <c r="J164" s="68" t="s">
        <v>139</v>
      </c>
      <c r="K164" s="27"/>
      <c r="L164" s="97"/>
      <c r="M164" s="102"/>
      <c r="N164" s="138"/>
    </row>
    <row r="165" spans="1:14" ht="15.75">
      <c r="A165" s="136"/>
      <c r="B165" s="103" t="s">
        <v>115</v>
      </c>
      <c r="C165" s="59"/>
      <c r="D165" s="93"/>
      <c r="E165" s="93"/>
      <c r="F165" s="93"/>
      <c r="G165" s="27"/>
      <c r="H165" s="27"/>
      <c r="I165" s="27"/>
      <c r="J165" s="68"/>
      <c r="K165" s="27"/>
      <c r="L165" s="97"/>
      <c r="M165" s="105"/>
      <c r="N165" s="138"/>
    </row>
    <row r="166" spans="1:14" ht="15.75">
      <c r="A166" s="136"/>
      <c r="B166" s="93" t="s">
        <v>116</v>
      </c>
      <c r="C166" s="59"/>
      <c r="D166" s="59"/>
      <c r="E166" s="59"/>
      <c r="F166" s="59"/>
      <c r="G166" s="27"/>
      <c r="H166" s="27"/>
      <c r="I166" s="27">
        <v>9</v>
      </c>
      <c r="J166" s="58">
        <v>163</v>
      </c>
      <c r="K166" s="27"/>
      <c r="L166" s="97"/>
      <c r="M166" s="105"/>
      <c r="N166" s="138"/>
    </row>
    <row r="167" spans="1:14" ht="15.75">
      <c r="A167" s="136"/>
      <c r="B167" s="93" t="s">
        <v>117</v>
      </c>
      <c r="C167" s="59"/>
      <c r="D167" s="59"/>
      <c r="E167" s="59"/>
      <c r="F167" s="59"/>
      <c r="G167" s="27"/>
      <c r="H167" s="27"/>
      <c r="I167" s="58">
        <v>95</v>
      </c>
      <c r="J167" s="58">
        <v>1570</v>
      </c>
      <c r="K167" s="27"/>
      <c r="L167" s="97"/>
      <c r="M167" s="105"/>
      <c r="N167" s="138"/>
    </row>
    <row r="168" spans="1:14" ht="15.75">
      <c r="A168" s="136"/>
      <c r="B168" s="103" t="s">
        <v>118</v>
      </c>
      <c r="C168" s="59"/>
      <c r="D168" s="93"/>
      <c r="E168" s="93"/>
      <c r="F168" s="93"/>
      <c r="G168" s="27"/>
      <c r="H168" s="27"/>
      <c r="I168" s="27"/>
      <c r="J168" s="58"/>
      <c r="K168" s="27"/>
      <c r="L168" s="97"/>
      <c r="M168" s="105"/>
      <c r="N168" s="138"/>
    </row>
    <row r="169" spans="1:14" ht="15.75">
      <c r="A169" s="136"/>
      <c r="B169" s="93" t="s">
        <v>119</v>
      </c>
      <c r="C169" s="59"/>
      <c r="D169" s="93"/>
      <c r="E169" s="93"/>
      <c r="F169" s="93"/>
      <c r="G169" s="27"/>
      <c r="H169" s="27"/>
      <c r="I169" s="27">
        <v>10</v>
      </c>
      <c r="J169" s="58">
        <v>1010</v>
      </c>
      <c r="K169" s="27"/>
      <c r="L169" s="97"/>
      <c r="M169" s="105"/>
      <c r="N169" s="138"/>
    </row>
    <row r="170" spans="1:14" ht="15.75">
      <c r="A170" s="136"/>
      <c r="B170" s="93" t="s">
        <v>120</v>
      </c>
      <c r="C170" s="59"/>
      <c r="D170" s="106"/>
      <c r="E170" s="106"/>
      <c r="F170" s="107"/>
      <c r="G170" s="27"/>
      <c r="H170" s="27"/>
      <c r="I170" s="27"/>
      <c r="J170" s="68">
        <v>19.9</v>
      </c>
      <c r="K170" s="27"/>
      <c r="L170" s="97"/>
      <c r="M170" s="105"/>
      <c r="N170" s="138"/>
    </row>
    <row r="171" spans="1:14" ht="15.75">
      <c r="A171" s="136"/>
      <c r="B171" s="93" t="s">
        <v>197</v>
      </c>
      <c r="C171" s="59"/>
      <c r="D171" s="106"/>
      <c r="E171" s="106"/>
      <c r="F171" s="107"/>
      <c r="G171" s="27"/>
      <c r="H171" s="27"/>
      <c r="I171" s="27"/>
      <c r="J171" s="68">
        <v>7</v>
      </c>
      <c r="K171" s="27"/>
      <c r="L171" s="97"/>
      <c r="M171" s="105"/>
      <c r="N171" s="138"/>
    </row>
    <row r="172" spans="1:14" ht="15.75">
      <c r="A172" s="136"/>
      <c r="B172" s="93" t="s">
        <v>122</v>
      </c>
      <c r="C172" s="59"/>
      <c r="D172" s="108"/>
      <c r="E172" s="106"/>
      <c r="F172" s="107"/>
      <c r="G172" s="27"/>
      <c r="H172" s="27"/>
      <c r="I172" s="27"/>
      <c r="J172" s="109">
        <v>1.23</v>
      </c>
      <c r="K172" s="27"/>
      <c r="L172" s="97"/>
      <c r="M172" s="105"/>
      <c r="N172" s="138"/>
    </row>
    <row r="173" spans="1:14" ht="15.75">
      <c r="A173" s="136"/>
      <c r="B173" s="93"/>
      <c r="C173" s="59"/>
      <c r="D173" s="108"/>
      <c r="E173" s="106"/>
      <c r="F173" s="107"/>
      <c r="G173" s="27"/>
      <c r="H173" s="27"/>
      <c r="I173" s="27"/>
      <c r="J173" s="109"/>
      <c r="K173" s="27"/>
      <c r="L173" s="97"/>
      <c r="M173" s="105"/>
      <c r="N173" s="138"/>
    </row>
    <row r="174" spans="1:14" ht="15.75">
      <c r="A174" s="119"/>
      <c r="B174" s="17" t="s">
        <v>123</v>
      </c>
      <c r="C174" s="20"/>
      <c r="D174" s="99"/>
      <c r="E174" s="20"/>
      <c r="F174" s="99"/>
      <c r="G174" s="20"/>
      <c r="H174" s="99" t="s">
        <v>164</v>
      </c>
      <c r="I174" s="20" t="s">
        <v>165</v>
      </c>
      <c r="J174" s="99" t="s">
        <v>181</v>
      </c>
      <c r="K174" s="20" t="s">
        <v>165</v>
      </c>
      <c r="L174" s="18"/>
      <c r="M174" s="112"/>
      <c r="N174" s="138"/>
    </row>
    <row r="175" spans="1:14" ht="15.75">
      <c r="A175" s="136"/>
      <c r="B175" s="59" t="s">
        <v>124</v>
      </c>
      <c r="C175" s="113"/>
      <c r="D175" s="59"/>
      <c r="E175" s="113"/>
      <c r="F175" s="27"/>
      <c r="G175" s="113"/>
      <c r="H175" s="59">
        <f>833+1387</f>
        <v>2220</v>
      </c>
      <c r="I175" s="113">
        <f>H175/H181</f>
        <v>0.8125915080527086</v>
      </c>
      <c r="J175" s="58">
        <f>32047+47102</f>
        <v>79149</v>
      </c>
      <c r="K175" s="113">
        <f>J175/J181</f>
        <v>0.7758564916923982</v>
      </c>
      <c r="L175" s="97"/>
      <c r="M175" s="105"/>
      <c r="N175" s="138"/>
    </row>
    <row r="176" spans="1:14" ht="15.75">
      <c r="A176" s="136"/>
      <c r="B176" s="59" t="s">
        <v>125</v>
      </c>
      <c r="C176" s="113"/>
      <c r="D176" s="59"/>
      <c r="E176" s="113"/>
      <c r="F176" s="27"/>
      <c r="G176" s="115"/>
      <c r="H176" s="59">
        <f>56+33</f>
        <v>89</v>
      </c>
      <c r="I176" s="113">
        <f>H176/H181</f>
        <v>0.03257686676427526</v>
      </c>
      <c r="J176" s="58">
        <f>2231+1269</f>
        <v>3500</v>
      </c>
      <c r="K176" s="113">
        <f>J176/J181</f>
        <v>0.0343086800960643</v>
      </c>
      <c r="L176" s="97"/>
      <c r="M176" s="105"/>
      <c r="N176" s="138"/>
    </row>
    <row r="177" spans="1:14" ht="15.75">
      <c r="A177" s="136"/>
      <c r="B177" s="59" t="s">
        <v>126</v>
      </c>
      <c r="C177" s="113"/>
      <c r="D177" s="59"/>
      <c r="E177" s="113"/>
      <c r="F177" s="27"/>
      <c r="G177" s="115"/>
      <c r="H177" s="59">
        <f>22+21</f>
        <v>43</v>
      </c>
      <c r="I177" s="113">
        <f>H177/H181</f>
        <v>0.0157393850658858</v>
      </c>
      <c r="J177" s="58">
        <f>1037+600</f>
        <v>1637</v>
      </c>
      <c r="K177" s="113">
        <f>J177/J181</f>
        <v>0.016046659804930648</v>
      </c>
      <c r="L177" s="97"/>
      <c r="M177" s="105"/>
      <c r="N177" s="138"/>
    </row>
    <row r="178" spans="1:14" ht="15.75">
      <c r="A178" s="136"/>
      <c r="B178" s="59" t="s">
        <v>127</v>
      </c>
      <c r="C178" s="113"/>
      <c r="D178" s="59"/>
      <c r="E178" s="113"/>
      <c r="F178" s="27"/>
      <c r="G178" s="115"/>
      <c r="H178" s="59">
        <f>25+266+13+76</f>
        <v>380</v>
      </c>
      <c r="I178" s="113">
        <f>H178/H181</f>
        <v>0.1390922401171303</v>
      </c>
      <c r="J178" s="58">
        <f>961+13690+72+450+1768+1183-1000+603+2</f>
        <v>17729</v>
      </c>
      <c r="K178" s="113">
        <f>J178/J181</f>
        <v>0.17378816840660688</v>
      </c>
      <c r="L178" s="97"/>
      <c r="M178" s="105"/>
      <c r="N178" s="138"/>
    </row>
    <row r="179" spans="1:14" ht="15.75">
      <c r="A179" s="136"/>
      <c r="B179" s="30"/>
      <c r="C179" s="113"/>
      <c r="D179" s="59"/>
      <c r="E179" s="113"/>
      <c r="F179" s="27"/>
      <c r="G179" s="115"/>
      <c r="H179" s="59"/>
      <c r="I179" s="113"/>
      <c r="J179" s="58"/>
      <c r="K179" s="114"/>
      <c r="L179" s="97"/>
      <c r="M179" s="105"/>
      <c r="N179" s="138"/>
    </row>
    <row r="180" spans="1:14" ht="15.75">
      <c r="A180" s="136"/>
      <c r="B180" s="59"/>
      <c r="C180" s="116"/>
      <c r="D180" s="102"/>
      <c r="E180" s="116"/>
      <c r="F180" s="27"/>
      <c r="G180" s="116"/>
      <c r="H180" s="102"/>
      <c r="I180" s="116"/>
      <c r="J180" s="58"/>
      <c r="K180" s="113"/>
      <c r="L180" s="97"/>
      <c r="M180" s="105"/>
      <c r="N180" s="138"/>
    </row>
    <row r="181" spans="1:14" ht="15.75">
      <c r="A181" s="136"/>
      <c r="B181" s="27"/>
      <c r="C181" s="27"/>
      <c r="D181" s="27"/>
      <c r="E181" s="27"/>
      <c r="F181" s="27"/>
      <c r="G181" s="27"/>
      <c r="H181" s="57">
        <f>SUM(H175:H179)</f>
        <v>2732</v>
      </c>
      <c r="I181" s="114">
        <f>SUM(I175:I178)</f>
        <v>1</v>
      </c>
      <c r="J181" s="58">
        <f>SUM(J175:J180)</f>
        <v>102015</v>
      </c>
      <c r="K181" s="114">
        <f>SUM(K175:K180)</f>
        <v>1.0000000000000002</v>
      </c>
      <c r="L181" s="97"/>
      <c r="M181" s="27"/>
      <c r="N181" s="138"/>
    </row>
    <row r="182" spans="1:14" ht="15.75">
      <c r="A182" s="136"/>
      <c r="B182" s="27"/>
      <c r="C182" s="27"/>
      <c r="D182" s="27"/>
      <c r="E182" s="27"/>
      <c r="F182" s="27"/>
      <c r="G182" s="27"/>
      <c r="H182" s="57"/>
      <c r="I182" s="114"/>
      <c r="J182" s="58"/>
      <c r="K182" s="114"/>
      <c r="L182" s="97"/>
      <c r="M182" s="27"/>
      <c r="N182" s="138"/>
    </row>
    <row r="183" spans="1:14" ht="15.75">
      <c r="A183" s="119"/>
      <c r="B183" s="10"/>
      <c r="C183" s="10"/>
      <c r="D183" s="10"/>
      <c r="E183" s="10"/>
      <c r="F183" s="10"/>
      <c r="G183" s="10"/>
      <c r="H183" s="60"/>
      <c r="I183" s="117"/>
      <c r="J183" s="118"/>
      <c r="K183" s="117"/>
      <c r="L183" s="79"/>
      <c r="M183" s="10"/>
      <c r="N183" s="138"/>
    </row>
    <row r="184" spans="1:14" ht="15.75">
      <c r="A184" s="119"/>
      <c r="B184" s="17" t="s">
        <v>129</v>
      </c>
      <c r="C184" s="120"/>
      <c r="D184" s="20" t="s">
        <v>144</v>
      </c>
      <c r="E184" s="18"/>
      <c r="F184" s="17" t="s">
        <v>154</v>
      </c>
      <c r="G184" s="121"/>
      <c r="H184" s="121"/>
      <c r="I184" s="121"/>
      <c r="J184" s="121"/>
      <c r="K184" s="15"/>
      <c r="L184" s="15"/>
      <c r="M184" s="15"/>
      <c r="N184" s="138"/>
    </row>
    <row r="185" spans="1:14" ht="15.75">
      <c r="A185" s="119"/>
      <c r="B185" s="15"/>
      <c r="C185" s="15"/>
      <c r="D185" s="10"/>
      <c r="E185" s="10"/>
      <c r="F185" s="10"/>
      <c r="G185" s="15"/>
      <c r="H185" s="15"/>
      <c r="I185" s="15"/>
      <c r="J185" s="15"/>
      <c r="K185" s="15"/>
      <c r="L185" s="15"/>
      <c r="M185" s="15"/>
      <c r="N185" s="138"/>
    </row>
    <row r="186" spans="1:14" ht="15.75">
      <c r="A186" s="119"/>
      <c r="B186" s="16" t="s">
        <v>130</v>
      </c>
      <c r="C186" s="124"/>
      <c r="D186" s="125" t="s">
        <v>145</v>
      </c>
      <c r="E186" s="16"/>
      <c r="F186" s="16" t="s">
        <v>155</v>
      </c>
      <c r="G186" s="124"/>
      <c r="H186" s="124"/>
      <c r="I186" s="124"/>
      <c r="J186" s="124"/>
      <c r="K186" s="15"/>
      <c r="L186" s="15"/>
      <c r="M186" s="15"/>
      <c r="N186" s="138"/>
    </row>
    <row r="187" spans="1:14" ht="15.75">
      <c r="A187" s="119"/>
      <c r="B187" s="16" t="s">
        <v>131</v>
      </c>
      <c r="C187" s="124"/>
      <c r="D187" s="125" t="s">
        <v>205</v>
      </c>
      <c r="E187" s="16"/>
      <c r="F187" s="16" t="s">
        <v>156</v>
      </c>
      <c r="G187" s="124"/>
      <c r="H187" s="124"/>
      <c r="I187" s="124"/>
      <c r="J187" s="124"/>
      <c r="K187" s="15"/>
      <c r="L187" s="15"/>
      <c r="M187" s="15"/>
      <c r="N187" s="138"/>
    </row>
    <row r="188" spans="1:14" ht="15">
      <c r="A188" s="119"/>
      <c r="B188" s="15"/>
      <c r="C188" s="15"/>
      <c r="D188" s="15"/>
      <c r="E188" s="15"/>
      <c r="F188" s="15"/>
      <c r="G188" s="15"/>
      <c r="H188" s="15"/>
      <c r="I188" s="15"/>
      <c r="J188" s="15"/>
      <c r="K188" s="15"/>
      <c r="L188" s="15"/>
      <c r="M188" s="15"/>
      <c r="N188" s="138"/>
    </row>
    <row r="189" spans="1:13" ht="15">
      <c r="A189" s="141"/>
      <c r="B189" s="141"/>
      <c r="C189" s="141"/>
      <c r="D189" s="141"/>
      <c r="E189" s="141"/>
      <c r="F189" s="141"/>
      <c r="G189" s="141"/>
      <c r="H189" s="141"/>
      <c r="I189" s="141"/>
      <c r="J189" s="141"/>
      <c r="K189" s="141"/>
      <c r="L189" s="141"/>
      <c r="M189" s="141"/>
    </row>
  </sheetData>
  <printOptions/>
  <pageMargins left="0.5" right="0.5" top="0.3" bottom="0.3423611111111111" header="0" footer="0"/>
  <pageSetup orientation="landscape" paperSize="9" scale="63"/>
  <headerFooter alignWithMargins="0">
    <oddFooter>&amp;LFFP1 INVESTOR REPORT QTR END AUGUST 2001</oddFooter>
  </headerFooter>
</worksheet>
</file>

<file path=xl/worksheets/sheet7.xml><?xml version="1.0" encoding="utf-8"?>
<worksheet xmlns="http://schemas.openxmlformats.org/spreadsheetml/2006/main" xmlns:r="http://schemas.openxmlformats.org/officeDocument/2006/relationships">
  <dimension ref="A1:N189"/>
  <sheetViews>
    <sheetView showOutlineSymbols="0" zoomScale="70" zoomScaleNormal="70" workbookViewId="0" topLeftCell="C1">
      <selection activeCell="M8" sqref="M8"/>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9.6640625" style="1" customWidth="1"/>
    <col min="12" max="12" width="13.6640625" style="1" customWidth="1"/>
    <col min="13" max="13" width="18.99609375" style="1" customWidth="1"/>
    <col min="14" max="16384" width="9.6640625" style="1" customWidth="1"/>
  </cols>
  <sheetData>
    <row r="1" spans="1:14" ht="20.25">
      <c r="A1" s="135"/>
      <c r="B1" s="3" t="s">
        <v>0</v>
      </c>
      <c r="C1" s="4"/>
      <c r="D1" s="5"/>
      <c r="E1" s="5"/>
      <c r="F1" s="5"/>
      <c r="G1" s="5"/>
      <c r="H1" s="5"/>
      <c r="I1" s="5"/>
      <c r="J1" s="5"/>
      <c r="K1" s="5"/>
      <c r="L1" s="5"/>
      <c r="M1" s="5"/>
      <c r="N1" s="138"/>
    </row>
    <row r="2" spans="1:14" ht="15.75">
      <c r="A2" s="119"/>
      <c r="B2" s="9"/>
      <c r="C2" s="9"/>
      <c r="D2" s="10"/>
      <c r="E2" s="10"/>
      <c r="F2" s="10"/>
      <c r="G2" s="10"/>
      <c r="H2" s="10"/>
      <c r="I2" s="10"/>
      <c r="J2" s="10"/>
      <c r="K2" s="10"/>
      <c r="L2" s="10"/>
      <c r="M2" s="10"/>
      <c r="N2" s="138"/>
    </row>
    <row r="3" spans="1:14" ht="15.75">
      <c r="A3" s="119"/>
      <c r="B3" s="12" t="s">
        <v>1</v>
      </c>
      <c r="C3" s="10"/>
      <c r="D3" s="10"/>
      <c r="E3" s="10"/>
      <c r="F3" s="10"/>
      <c r="G3" s="10"/>
      <c r="H3" s="10"/>
      <c r="I3" s="10"/>
      <c r="J3" s="10"/>
      <c r="K3" s="10"/>
      <c r="L3" s="10"/>
      <c r="M3" s="10"/>
      <c r="N3" s="138"/>
    </row>
    <row r="4" spans="1:14" ht="15.75">
      <c r="A4" s="119"/>
      <c r="B4" s="9"/>
      <c r="C4" s="9"/>
      <c r="D4" s="10"/>
      <c r="E4" s="10"/>
      <c r="F4" s="10"/>
      <c r="G4" s="10"/>
      <c r="H4" s="10"/>
      <c r="I4" s="10"/>
      <c r="J4" s="10"/>
      <c r="K4" s="10"/>
      <c r="L4" s="10"/>
      <c r="M4" s="10"/>
      <c r="N4" s="138"/>
    </row>
    <row r="5" spans="1:14" ht="15.75">
      <c r="A5" s="119"/>
      <c r="B5" s="13" t="s">
        <v>2</v>
      </c>
      <c r="C5" s="14"/>
      <c r="D5" s="10"/>
      <c r="E5" s="10"/>
      <c r="F5" s="10"/>
      <c r="G5" s="10"/>
      <c r="H5" s="10"/>
      <c r="I5" s="10"/>
      <c r="J5" s="10"/>
      <c r="K5" s="10"/>
      <c r="L5" s="10"/>
      <c r="M5" s="10"/>
      <c r="N5" s="138"/>
    </row>
    <row r="6" spans="1:14" ht="15.75">
      <c r="A6" s="119"/>
      <c r="B6" s="13" t="s">
        <v>3</v>
      </c>
      <c r="C6" s="14"/>
      <c r="D6" s="10"/>
      <c r="E6" s="10"/>
      <c r="F6" s="10"/>
      <c r="G6" s="10"/>
      <c r="H6" s="10"/>
      <c r="I6" s="10"/>
      <c r="J6" s="10"/>
      <c r="K6" s="10"/>
      <c r="L6" s="10"/>
      <c r="M6" s="10"/>
      <c r="N6" s="138"/>
    </row>
    <row r="7" spans="1:14" ht="15.75">
      <c r="A7" s="119"/>
      <c r="B7" s="13" t="s">
        <v>4</v>
      </c>
      <c r="C7" s="14"/>
      <c r="D7" s="10"/>
      <c r="E7" s="10"/>
      <c r="F7" s="10"/>
      <c r="G7" s="10"/>
      <c r="H7" s="10"/>
      <c r="I7" s="10"/>
      <c r="J7" s="10"/>
      <c r="K7" s="10"/>
      <c r="L7" s="10"/>
      <c r="M7" s="10"/>
      <c r="N7" s="138"/>
    </row>
    <row r="8" spans="1:14" ht="15.75">
      <c r="A8" s="119"/>
      <c r="B8" s="15"/>
      <c r="C8" s="14"/>
      <c r="D8" s="10"/>
      <c r="E8" s="10"/>
      <c r="F8" s="10"/>
      <c r="G8" s="10"/>
      <c r="H8" s="10"/>
      <c r="I8" s="10"/>
      <c r="J8" s="10"/>
      <c r="K8" s="10"/>
      <c r="L8" s="10"/>
      <c r="M8" s="10"/>
      <c r="N8" s="138"/>
    </row>
    <row r="9" spans="1:14" ht="15.75">
      <c r="A9" s="119"/>
      <c r="B9" s="14"/>
      <c r="C9" s="14"/>
      <c r="D9" s="16"/>
      <c r="E9" s="16"/>
      <c r="F9" s="10"/>
      <c r="G9" s="10"/>
      <c r="H9" s="10"/>
      <c r="I9" s="10"/>
      <c r="J9" s="10"/>
      <c r="K9" s="10"/>
      <c r="L9" s="10"/>
      <c r="M9" s="10"/>
      <c r="N9" s="138"/>
    </row>
    <row r="10" spans="1:14" ht="15.75">
      <c r="A10" s="119"/>
      <c r="B10" s="17" t="s">
        <v>5</v>
      </c>
      <c r="C10" s="16"/>
      <c r="D10" s="10"/>
      <c r="E10" s="10"/>
      <c r="F10" s="10"/>
      <c r="G10" s="10"/>
      <c r="H10" s="10"/>
      <c r="I10" s="10"/>
      <c r="J10" s="10"/>
      <c r="K10" s="10"/>
      <c r="L10" s="10"/>
      <c r="M10" s="10"/>
      <c r="N10" s="138"/>
    </row>
    <row r="11" spans="1:14" ht="15.75">
      <c r="A11" s="119"/>
      <c r="B11" s="16"/>
      <c r="C11" s="16"/>
      <c r="D11" s="10"/>
      <c r="E11" s="10"/>
      <c r="F11" s="10"/>
      <c r="G11" s="10"/>
      <c r="H11" s="10"/>
      <c r="I11" s="10"/>
      <c r="J11" s="10"/>
      <c r="K11" s="10"/>
      <c r="L11" s="10"/>
      <c r="M11" s="10"/>
      <c r="N11" s="138"/>
    </row>
    <row r="12" spans="1:14" ht="15.75">
      <c r="A12" s="135"/>
      <c r="B12" s="5"/>
      <c r="C12" s="5"/>
      <c r="D12" s="5"/>
      <c r="E12" s="5"/>
      <c r="F12" s="5"/>
      <c r="G12" s="5"/>
      <c r="H12" s="5"/>
      <c r="I12" s="5"/>
      <c r="J12" s="5"/>
      <c r="K12" s="5"/>
      <c r="L12" s="5"/>
      <c r="M12" s="5"/>
      <c r="N12" s="138"/>
    </row>
    <row r="13" spans="1:14" ht="15.75">
      <c r="A13" s="119"/>
      <c r="B13" s="17" t="s">
        <v>6</v>
      </c>
      <c r="C13" s="17"/>
      <c r="D13" s="18"/>
      <c r="E13" s="18"/>
      <c r="F13" s="18"/>
      <c r="G13" s="18"/>
      <c r="H13" s="18"/>
      <c r="I13" s="18"/>
      <c r="J13" s="18"/>
      <c r="K13" s="18"/>
      <c r="L13" s="19" t="s">
        <v>183</v>
      </c>
      <c r="M13" s="10"/>
      <c r="N13" s="138"/>
    </row>
    <row r="14" spans="1:14" ht="15.75">
      <c r="A14" s="119"/>
      <c r="B14" s="17" t="s">
        <v>7</v>
      </c>
      <c r="C14" s="17"/>
      <c r="D14" s="18"/>
      <c r="E14" s="18"/>
      <c r="F14" s="18"/>
      <c r="G14" s="18"/>
      <c r="H14" s="18"/>
      <c r="I14" s="18"/>
      <c r="J14" s="18"/>
      <c r="K14" s="18"/>
      <c r="L14" s="20" t="s">
        <v>184</v>
      </c>
      <c r="M14" s="10"/>
      <c r="N14" s="138"/>
    </row>
    <row r="15" spans="1:14" ht="15.75">
      <c r="A15" s="119"/>
      <c r="B15" s="17" t="s">
        <v>8</v>
      </c>
      <c r="C15" s="17"/>
      <c r="D15" s="18"/>
      <c r="E15" s="18"/>
      <c r="F15" s="18"/>
      <c r="G15" s="18"/>
      <c r="H15" s="18"/>
      <c r="I15" s="18"/>
      <c r="J15" s="18"/>
      <c r="K15" s="18"/>
      <c r="L15" s="21">
        <v>36879</v>
      </c>
      <c r="M15" s="10"/>
      <c r="N15" s="138"/>
    </row>
    <row r="16" spans="1:14" ht="15.75">
      <c r="A16" s="119"/>
      <c r="B16" s="10"/>
      <c r="C16" s="10"/>
      <c r="D16" s="10"/>
      <c r="E16" s="10"/>
      <c r="F16" s="10"/>
      <c r="G16" s="10"/>
      <c r="H16" s="10"/>
      <c r="I16" s="10"/>
      <c r="J16" s="10"/>
      <c r="K16" s="10"/>
      <c r="L16" s="22"/>
      <c r="M16" s="10"/>
      <c r="N16" s="138"/>
    </row>
    <row r="17" spans="1:14" ht="15.75">
      <c r="A17" s="119"/>
      <c r="B17" s="10" t="s">
        <v>9</v>
      </c>
      <c r="C17" s="10"/>
      <c r="D17" s="10"/>
      <c r="E17" s="10"/>
      <c r="F17" s="10"/>
      <c r="G17" s="10"/>
      <c r="H17" s="10"/>
      <c r="I17" s="10"/>
      <c r="J17" s="22" t="s">
        <v>166</v>
      </c>
      <c r="K17" s="10"/>
      <c r="L17" s="15"/>
      <c r="M17" s="10"/>
      <c r="N17" s="138"/>
    </row>
    <row r="18" spans="1:14" ht="15.75">
      <c r="A18" s="119"/>
      <c r="B18" s="10"/>
      <c r="C18" s="10"/>
      <c r="D18" s="10"/>
      <c r="E18" s="10"/>
      <c r="F18" s="10"/>
      <c r="G18" s="10"/>
      <c r="H18" s="10"/>
      <c r="I18" s="10"/>
      <c r="J18" s="10"/>
      <c r="K18" s="10"/>
      <c r="L18" s="23"/>
      <c r="M18" s="10"/>
      <c r="N18" s="138"/>
    </row>
    <row r="19" spans="1:14" ht="15.75">
      <c r="A19" s="119"/>
      <c r="B19" s="10"/>
      <c r="C19" s="24" t="s">
        <v>202</v>
      </c>
      <c r="D19" s="25" t="s">
        <v>135</v>
      </c>
      <c r="E19" s="25"/>
      <c r="F19" s="25" t="s">
        <v>147</v>
      </c>
      <c r="G19" s="25"/>
      <c r="H19" s="25" t="s">
        <v>157</v>
      </c>
      <c r="I19" s="25"/>
      <c r="J19" s="25" t="s">
        <v>167</v>
      </c>
      <c r="K19" s="15"/>
      <c r="L19" s="15"/>
      <c r="M19" s="10"/>
      <c r="N19" s="138"/>
    </row>
    <row r="20" spans="1:14" ht="15.75">
      <c r="A20" s="136"/>
      <c r="B20" s="27" t="s">
        <v>10</v>
      </c>
      <c r="C20" s="28" t="s">
        <v>203</v>
      </c>
      <c r="D20" s="29" t="s">
        <v>136</v>
      </c>
      <c r="E20" s="29"/>
      <c r="F20" s="29" t="s">
        <v>136</v>
      </c>
      <c r="G20" s="29"/>
      <c r="H20" s="29" t="s">
        <v>158</v>
      </c>
      <c r="I20" s="29"/>
      <c r="J20" s="29" t="s">
        <v>168</v>
      </c>
      <c r="K20" s="30"/>
      <c r="L20" s="30"/>
      <c r="M20" s="27"/>
      <c r="N20" s="138"/>
    </row>
    <row r="21" spans="1:14" ht="15.75">
      <c r="A21" s="136"/>
      <c r="B21" s="31" t="s">
        <v>11</v>
      </c>
      <c r="C21" s="31"/>
      <c r="D21" s="32" t="s">
        <v>136</v>
      </c>
      <c r="E21" s="32"/>
      <c r="F21" s="32" t="s">
        <v>136</v>
      </c>
      <c r="G21" s="32"/>
      <c r="H21" s="32" t="s">
        <v>158</v>
      </c>
      <c r="I21" s="32"/>
      <c r="J21" s="32" t="s">
        <v>168</v>
      </c>
      <c r="K21" s="130"/>
      <c r="L21" s="130"/>
      <c r="M21" s="27"/>
      <c r="N21" s="138"/>
    </row>
    <row r="22" spans="1:14" ht="15.75">
      <c r="A22" s="136"/>
      <c r="B22" s="27" t="s">
        <v>12</v>
      </c>
      <c r="C22" s="27"/>
      <c r="D22" s="33" t="s">
        <v>137</v>
      </c>
      <c r="E22" s="29"/>
      <c r="F22" s="33" t="s">
        <v>148</v>
      </c>
      <c r="G22" s="29"/>
      <c r="H22" s="33" t="s">
        <v>159</v>
      </c>
      <c r="I22" s="29"/>
      <c r="J22" s="33" t="s">
        <v>169</v>
      </c>
      <c r="K22" s="30"/>
      <c r="L22" s="30"/>
      <c r="M22" s="27"/>
      <c r="N22" s="138"/>
    </row>
    <row r="23" spans="1:14" ht="15.75">
      <c r="A23" s="136"/>
      <c r="B23" s="27"/>
      <c r="C23" s="27"/>
      <c r="D23" s="27"/>
      <c r="E23" s="29"/>
      <c r="F23" s="29"/>
      <c r="G23" s="29"/>
      <c r="H23" s="29"/>
      <c r="I23" s="29"/>
      <c r="J23" s="29"/>
      <c r="K23" s="30"/>
      <c r="L23" s="30"/>
      <c r="M23" s="27"/>
      <c r="N23" s="138"/>
    </row>
    <row r="24" spans="1:14" ht="15.75">
      <c r="A24" s="136"/>
      <c r="B24" s="27" t="s">
        <v>13</v>
      </c>
      <c r="C24" s="27"/>
      <c r="D24" s="34">
        <v>67000</v>
      </c>
      <c r="E24" s="35"/>
      <c r="F24" s="34">
        <v>128780</v>
      </c>
      <c r="G24" s="34"/>
      <c r="H24" s="34">
        <v>16920</v>
      </c>
      <c r="I24" s="34"/>
      <c r="J24" s="34">
        <v>11290</v>
      </c>
      <c r="K24" s="36"/>
      <c r="L24" s="34">
        <f>J24+H24+F24+D24</f>
        <v>223990</v>
      </c>
      <c r="M24" s="37"/>
      <c r="N24" s="138"/>
    </row>
    <row r="25" spans="1:14" ht="15.75">
      <c r="A25" s="136"/>
      <c r="B25" s="27" t="s">
        <v>14</v>
      </c>
      <c r="C25" s="93">
        <v>0.608105</v>
      </c>
      <c r="D25" s="34">
        <v>0</v>
      </c>
      <c r="E25" s="35"/>
      <c r="F25" s="34">
        <f>120780*C25</f>
        <v>73446.9219</v>
      </c>
      <c r="G25" s="34"/>
      <c r="H25" s="34">
        <f>16920*C28</f>
        <v>14832.61344</v>
      </c>
      <c r="I25" s="34"/>
      <c r="J25" s="34">
        <f>11290*C31</f>
        <v>9898.40589</v>
      </c>
      <c r="K25" s="36"/>
      <c r="L25" s="34">
        <f>J25+H25+F25+D25</f>
        <v>98177.94123</v>
      </c>
      <c r="M25" s="37"/>
      <c r="N25" s="138"/>
    </row>
    <row r="26" spans="1:14" ht="15.75">
      <c r="A26" s="137"/>
      <c r="B26" s="31" t="s">
        <v>15</v>
      </c>
      <c r="C26" s="93">
        <v>0.569441</v>
      </c>
      <c r="D26" s="40">
        <v>0</v>
      </c>
      <c r="E26" s="41"/>
      <c r="F26" s="40">
        <f>120780*C26</f>
        <v>68777.08398</v>
      </c>
      <c r="G26" s="40"/>
      <c r="H26" s="40">
        <f>16920*C29</f>
        <v>13889.154240000002</v>
      </c>
      <c r="I26" s="40"/>
      <c r="J26" s="40">
        <f>11290*C32</f>
        <v>9269.4287</v>
      </c>
      <c r="K26" s="42"/>
      <c r="L26" s="40">
        <f>J26+H26+F26+D26</f>
        <v>91935.66691999999</v>
      </c>
      <c r="M26" s="31"/>
      <c r="N26" s="138"/>
    </row>
    <row r="27" spans="1:14" ht="15.75">
      <c r="A27" s="136"/>
      <c r="B27" s="27" t="s">
        <v>16</v>
      </c>
      <c r="C27" s="27"/>
      <c r="D27" s="33" t="s">
        <v>138</v>
      </c>
      <c r="E27" s="27"/>
      <c r="F27" s="33" t="s">
        <v>149</v>
      </c>
      <c r="G27" s="33"/>
      <c r="H27" s="33" t="s">
        <v>160</v>
      </c>
      <c r="I27" s="33"/>
      <c r="J27" s="33" t="s">
        <v>170</v>
      </c>
      <c r="K27" s="30"/>
      <c r="L27" s="30"/>
      <c r="M27" s="27"/>
      <c r="N27" s="138"/>
    </row>
    <row r="28" spans="1:14" ht="15.75">
      <c r="A28" s="136"/>
      <c r="B28" s="27" t="s">
        <v>17</v>
      </c>
      <c r="C28" s="139">
        <v>0.876632</v>
      </c>
      <c r="D28" s="33" t="s">
        <v>139</v>
      </c>
      <c r="E28" s="27"/>
      <c r="F28" s="43">
        <f>(6.24625+0.13)/100</f>
        <v>0.0637625</v>
      </c>
      <c r="G28" s="44"/>
      <c r="H28" s="43">
        <f>(6.24625+0.35)/100</f>
        <v>0.0659625</v>
      </c>
      <c r="I28" s="44"/>
      <c r="J28" s="43">
        <f>(6.24625+0.69)/100</f>
        <v>0.0693625</v>
      </c>
      <c r="K28" s="30"/>
      <c r="L28" s="44">
        <f>SUMPRODUCT(D28:J28,D25:J25)/L25</f>
        <v>0.06465947157476236</v>
      </c>
      <c r="M28" s="27"/>
      <c r="N28" s="138"/>
    </row>
    <row r="29" spans="1:14" ht="15.75">
      <c r="A29" s="136"/>
      <c r="B29" s="27" t="s">
        <v>18</v>
      </c>
      <c r="C29" s="139">
        <v>0.820872</v>
      </c>
      <c r="D29" s="33" t="s">
        <v>139</v>
      </c>
      <c r="E29" s="27"/>
      <c r="F29" s="43">
        <f>(6.27891+0.13)/100</f>
        <v>0.0640891</v>
      </c>
      <c r="G29" s="44"/>
      <c r="H29" s="43">
        <f>(6.27891+0.35)/100</f>
        <v>0.06628909999999999</v>
      </c>
      <c r="I29" s="44"/>
      <c r="J29" s="43">
        <f>(6.27891+0.69)/100</f>
        <v>0.06968909999999999</v>
      </c>
      <c r="K29" s="30"/>
      <c r="L29" s="30"/>
      <c r="M29" s="27"/>
      <c r="N29" s="138"/>
    </row>
    <row r="30" spans="1:14" ht="15.75">
      <c r="A30" s="136"/>
      <c r="B30" s="27" t="s">
        <v>19</v>
      </c>
      <c r="C30" s="140"/>
      <c r="D30" s="33" t="s">
        <v>140</v>
      </c>
      <c r="E30" s="27"/>
      <c r="F30" s="33" t="s">
        <v>150</v>
      </c>
      <c r="G30" s="33"/>
      <c r="H30" s="33" t="s">
        <v>150</v>
      </c>
      <c r="I30" s="33"/>
      <c r="J30" s="33" t="s">
        <v>150</v>
      </c>
      <c r="K30" s="30"/>
      <c r="L30" s="30"/>
      <c r="M30" s="27"/>
      <c r="N30" s="138"/>
    </row>
    <row r="31" spans="1:14" ht="15.75">
      <c r="A31" s="136"/>
      <c r="B31" s="27" t="s">
        <v>20</v>
      </c>
      <c r="C31" s="139">
        <v>0.876741</v>
      </c>
      <c r="D31" s="33" t="s">
        <v>141</v>
      </c>
      <c r="E31" s="27"/>
      <c r="F31" s="33" t="s">
        <v>151</v>
      </c>
      <c r="G31" s="33"/>
      <c r="H31" s="33" t="s">
        <v>151</v>
      </c>
      <c r="I31" s="33"/>
      <c r="J31" s="33" t="s">
        <v>151</v>
      </c>
      <c r="K31" s="30"/>
      <c r="L31" s="30"/>
      <c r="M31" s="27"/>
      <c r="N31" s="138"/>
    </row>
    <row r="32" spans="1:14" ht="15.75">
      <c r="A32" s="136"/>
      <c r="B32" s="27" t="s">
        <v>21</v>
      </c>
      <c r="C32" s="139">
        <v>0.82103</v>
      </c>
      <c r="D32" s="33" t="s">
        <v>142</v>
      </c>
      <c r="E32" s="27"/>
      <c r="F32" s="33" t="s">
        <v>152</v>
      </c>
      <c r="G32" s="33"/>
      <c r="H32" s="33" t="s">
        <v>161</v>
      </c>
      <c r="I32" s="33"/>
      <c r="J32" s="33" t="s">
        <v>171</v>
      </c>
      <c r="K32" s="30"/>
      <c r="L32" s="30"/>
      <c r="M32" s="27"/>
      <c r="N32" s="138"/>
    </row>
    <row r="33" spans="1:14" ht="15.75">
      <c r="A33" s="136"/>
      <c r="B33" s="27"/>
      <c r="C33" s="27"/>
      <c r="D33" s="45"/>
      <c r="E33" s="45"/>
      <c r="F33" s="27"/>
      <c r="G33" s="45"/>
      <c r="H33" s="45"/>
      <c r="I33" s="45"/>
      <c r="J33" s="45"/>
      <c r="K33" s="45"/>
      <c r="L33" s="45"/>
      <c r="M33" s="27"/>
      <c r="N33" s="138"/>
    </row>
    <row r="34" spans="1:14" ht="15.75">
      <c r="A34" s="136"/>
      <c r="B34" s="27" t="s">
        <v>22</v>
      </c>
      <c r="C34" s="27"/>
      <c r="D34" s="27"/>
      <c r="E34" s="27"/>
      <c r="F34" s="27"/>
      <c r="G34" s="27"/>
      <c r="H34" s="27"/>
      <c r="I34" s="27"/>
      <c r="J34" s="27"/>
      <c r="K34" s="27"/>
      <c r="L34" s="44">
        <f>(H24+J24)/(D24+F24)</f>
        <v>0.14409030544488713</v>
      </c>
      <c r="M34" s="27"/>
      <c r="N34" s="138"/>
    </row>
    <row r="35" spans="1:14" ht="15.75">
      <c r="A35" s="136"/>
      <c r="B35" s="27" t="s">
        <v>23</v>
      </c>
      <c r="C35" s="27"/>
      <c r="D35" s="27"/>
      <c r="E35" s="27"/>
      <c r="F35" s="27"/>
      <c r="G35" s="27"/>
      <c r="H35" s="27"/>
      <c r="I35" s="27"/>
      <c r="J35" s="27"/>
      <c r="K35" s="27"/>
      <c r="L35" s="44">
        <f>(H26+J26)/(D26+F26)</f>
        <v>0.33671946526163266</v>
      </c>
      <c r="M35" s="27"/>
      <c r="N35" s="138"/>
    </row>
    <row r="36" spans="1:14" ht="15.75">
      <c r="A36" s="136"/>
      <c r="B36" s="27" t="s">
        <v>24</v>
      </c>
      <c r="C36" s="27"/>
      <c r="D36" s="27"/>
      <c r="E36" s="27"/>
      <c r="F36" s="27"/>
      <c r="G36" s="27"/>
      <c r="H36" s="27"/>
      <c r="I36" s="27"/>
      <c r="J36" s="33" t="s">
        <v>172</v>
      </c>
      <c r="K36" s="33" t="s">
        <v>182</v>
      </c>
      <c r="L36" s="34">
        <v>83785000</v>
      </c>
      <c r="M36" s="27"/>
      <c r="N36" s="138"/>
    </row>
    <row r="37" spans="1:14" ht="15.75">
      <c r="A37" s="136"/>
      <c r="B37" s="27"/>
      <c r="C37" s="27"/>
      <c r="D37" s="27"/>
      <c r="E37" s="27"/>
      <c r="F37" s="27"/>
      <c r="G37" s="27"/>
      <c r="H37" s="27"/>
      <c r="I37" s="27"/>
      <c r="J37" s="27"/>
      <c r="K37" s="27"/>
      <c r="L37" s="46"/>
      <c r="M37" s="27"/>
      <c r="N37" s="138"/>
    </row>
    <row r="38" spans="1:14" ht="15.75">
      <c r="A38" s="136"/>
      <c r="B38" s="27" t="s">
        <v>25</v>
      </c>
      <c r="C38" s="27"/>
      <c r="D38" s="27"/>
      <c r="E38" s="27"/>
      <c r="F38" s="27"/>
      <c r="G38" s="27"/>
      <c r="H38" s="27"/>
      <c r="I38" s="27"/>
      <c r="J38" s="33"/>
      <c r="K38" s="33"/>
      <c r="L38" s="33" t="s">
        <v>185</v>
      </c>
      <c r="M38" s="27"/>
      <c r="N38" s="138"/>
    </row>
    <row r="39" spans="1:14" ht="15.75">
      <c r="A39" s="136"/>
      <c r="B39" s="31" t="s">
        <v>26</v>
      </c>
      <c r="C39" s="31"/>
      <c r="D39" s="31"/>
      <c r="E39" s="31"/>
      <c r="F39" s="31"/>
      <c r="G39" s="31"/>
      <c r="H39" s="31"/>
      <c r="I39" s="31"/>
      <c r="J39" s="47"/>
      <c r="K39" s="47"/>
      <c r="L39" s="48">
        <v>36860</v>
      </c>
      <c r="M39" s="31"/>
      <c r="N39" s="138"/>
    </row>
    <row r="40" spans="1:14" ht="15.75">
      <c r="A40" s="136"/>
      <c r="B40" s="27" t="s">
        <v>27</v>
      </c>
      <c r="C40" s="27"/>
      <c r="D40" s="27"/>
      <c r="E40" s="27"/>
      <c r="F40" s="27"/>
      <c r="G40" s="27"/>
      <c r="H40" s="30"/>
      <c r="I40" s="27">
        <f>L40-J40+1</f>
        <v>92</v>
      </c>
      <c r="J40" s="49">
        <v>36677</v>
      </c>
      <c r="K40" s="50"/>
      <c r="L40" s="49">
        <v>36768</v>
      </c>
      <c r="M40" s="27"/>
      <c r="N40" s="138"/>
    </row>
    <row r="41" spans="1:14" ht="15.75">
      <c r="A41" s="136"/>
      <c r="B41" s="27" t="s">
        <v>28</v>
      </c>
      <c r="C41" s="27"/>
      <c r="D41" s="27"/>
      <c r="E41" s="27"/>
      <c r="F41" s="27"/>
      <c r="G41" s="27"/>
      <c r="H41" s="30"/>
      <c r="I41" s="27">
        <f>L41-J41+1</f>
        <v>91</v>
      </c>
      <c r="J41" s="49">
        <v>36769</v>
      </c>
      <c r="K41" s="50"/>
      <c r="L41" s="49">
        <v>36859</v>
      </c>
      <c r="M41" s="27"/>
      <c r="N41" s="138"/>
    </row>
    <row r="42" spans="1:14" ht="15.75">
      <c r="A42" s="136"/>
      <c r="B42" s="27" t="s">
        <v>29</v>
      </c>
      <c r="C42" s="27"/>
      <c r="D42" s="27"/>
      <c r="E42" s="27"/>
      <c r="F42" s="27"/>
      <c r="G42" s="27"/>
      <c r="H42" s="27"/>
      <c r="I42" s="27"/>
      <c r="J42" s="49"/>
      <c r="K42" s="50"/>
      <c r="L42" s="49" t="s">
        <v>199</v>
      </c>
      <c r="M42" s="27"/>
      <c r="N42" s="138"/>
    </row>
    <row r="43" spans="1:14" ht="15.75">
      <c r="A43" s="136"/>
      <c r="B43" s="27" t="s">
        <v>30</v>
      </c>
      <c r="C43" s="27"/>
      <c r="D43" s="27"/>
      <c r="E43" s="27"/>
      <c r="F43" s="27"/>
      <c r="G43" s="27"/>
      <c r="H43" s="27"/>
      <c r="I43" s="27"/>
      <c r="J43" s="49"/>
      <c r="K43" s="50"/>
      <c r="L43" s="49">
        <v>36851</v>
      </c>
      <c r="M43" s="27"/>
      <c r="N43" s="138"/>
    </row>
    <row r="44" spans="1:14" ht="15.75">
      <c r="A44" s="136"/>
      <c r="B44" s="27"/>
      <c r="C44" s="27"/>
      <c r="D44" s="27"/>
      <c r="E44" s="27"/>
      <c r="F44" s="27"/>
      <c r="G44" s="27"/>
      <c r="H44" s="27"/>
      <c r="I44" s="27"/>
      <c r="J44" s="27"/>
      <c r="K44" s="27"/>
      <c r="L44" s="51"/>
      <c r="M44" s="27"/>
      <c r="N44" s="138"/>
    </row>
    <row r="45" spans="1:14" ht="15.75">
      <c r="A45" s="135"/>
      <c r="B45" s="5"/>
      <c r="C45" s="5"/>
      <c r="D45" s="5"/>
      <c r="E45" s="5"/>
      <c r="F45" s="5"/>
      <c r="G45" s="5"/>
      <c r="H45" s="5"/>
      <c r="I45" s="5"/>
      <c r="J45" s="5"/>
      <c r="K45" s="5"/>
      <c r="L45" s="52"/>
      <c r="M45" s="5"/>
      <c r="N45" s="138"/>
    </row>
    <row r="46" spans="1:14" ht="15.75">
      <c r="A46" s="119"/>
      <c r="B46" s="63" t="s">
        <v>31</v>
      </c>
      <c r="C46" s="16"/>
      <c r="D46" s="10"/>
      <c r="E46" s="10"/>
      <c r="F46" s="10"/>
      <c r="G46" s="10"/>
      <c r="H46" s="10"/>
      <c r="I46" s="10"/>
      <c r="J46" s="10"/>
      <c r="K46" s="10"/>
      <c r="L46" s="53"/>
      <c r="M46" s="10"/>
      <c r="N46" s="138"/>
    </row>
    <row r="47" spans="1:14" ht="15.75">
      <c r="A47" s="119"/>
      <c r="B47" s="16"/>
      <c r="C47" s="16"/>
      <c r="D47" s="10"/>
      <c r="E47" s="10"/>
      <c r="F47" s="10"/>
      <c r="G47" s="10"/>
      <c r="H47" s="10"/>
      <c r="I47" s="10"/>
      <c r="J47" s="10"/>
      <c r="K47" s="10"/>
      <c r="L47" s="53"/>
      <c r="M47" s="10"/>
      <c r="N47" s="138"/>
    </row>
    <row r="48" spans="1:14" ht="63">
      <c r="A48" s="119"/>
      <c r="B48" s="54" t="s">
        <v>32</v>
      </c>
      <c r="C48" s="55" t="s">
        <v>134</v>
      </c>
      <c r="D48" s="55" t="s">
        <v>143</v>
      </c>
      <c r="E48" s="55"/>
      <c r="F48" s="55" t="s">
        <v>153</v>
      </c>
      <c r="G48" s="55"/>
      <c r="H48" s="55" t="s">
        <v>162</v>
      </c>
      <c r="I48" s="55"/>
      <c r="J48" s="55" t="s">
        <v>173</v>
      </c>
      <c r="K48" s="55"/>
      <c r="L48" s="56" t="s">
        <v>187</v>
      </c>
      <c r="M48" s="10"/>
      <c r="N48" s="138"/>
    </row>
    <row r="49" spans="1:14" ht="15.75">
      <c r="A49" s="136"/>
      <c r="B49" s="27" t="s">
        <v>33</v>
      </c>
      <c r="C49" s="57">
        <v>220604</v>
      </c>
      <c r="D49" s="58">
        <v>101412</v>
      </c>
      <c r="E49" s="57"/>
      <c r="F49" s="57">
        <f>6018+75+28</f>
        <v>6121</v>
      </c>
      <c r="G49" s="57"/>
      <c r="H49" s="57">
        <v>75</v>
      </c>
      <c r="I49" s="57"/>
      <c r="J49" s="57">
        <v>0</v>
      </c>
      <c r="K49" s="57"/>
      <c r="L49" s="58">
        <f>D49-F49+H49-J49</f>
        <v>95366</v>
      </c>
      <c r="M49" s="27"/>
      <c r="N49" s="138"/>
    </row>
    <row r="50" spans="1:14" ht="15.75">
      <c r="A50" s="136"/>
      <c r="B50" s="27" t="s">
        <v>34</v>
      </c>
      <c r="C50" s="57">
        <v>5129</v>
      </c>
      <c r="D50" s="58">
        <v>603</v>
      </c>
      <c r="E50" s="57"/>
      <c r="F50" s="57">
        <v>61</v>
      </c>
      <c r="G50" s="57"/>
      <c r="H50" s="57">
        <v>0</v>
      </c>
      <c r="I50" s="57"/>
      <c r="J50" s="57">
        <v>0</v>
      </c>
      <c r="K50" s="57"/>
      <c r="L50" s="58">
        <f>D50-F50</f>
        <v>542</v>
      </c>
      <c r="M50" s="27"/>
      <c r="N50" s="138"/>
    </row>
    <row r="51" spans="1:14" ht="15.75">
      <c r="A51" s="136"/>
      <c r="B51" s="27"/>
      <c r="C51" s="57"/>
      <c r="D51" s="58"/>
      <c r="E51" s="57"/>
      <c r="F51" s="57"/>
      <c r="G51" s="57"/>
      <c r="H51" s="57"/>
      <c r="I51" s="57"/>
      <c r="J51" s="57"/>
      <c r="K51" s="57"/>
      <c r="L51" s="58"/>
      <c r="M51" s="27"/>
      <c r="N51" s="138"/>
    </row>
    <row r="52" spans="1:14" ht="15.75">
      <c r="A52" s="136"/>
      <c r="B52" s="27" t="s">
        <v>35</v>
      </c>
      <c r="C52" s="57">
        <f>SUM(C49:C51)</f>
        <v>225733</v>
      </c>
      <c r="D52" s="59">
        <f>D50+D49</f>
        <v>102015</v>
      </c>
      <c r="E52" s="57"/>
      <c r="F52" s="57">
        <f>SUM(F49:F51)</f>
        <v>6182</v>
      </c>
      <c r="G52" s="57"/>
      <c r="H52" s="57">
        <f>SUM(H49:H51)</f>
        <v>75</v>
      </c>
      <c r="I52" s="57"/>
      <c r="J52" s="57">
        <f>SUM(J49:J51)</f>
        <v>0</v>
      </c>
      <c r="K52" s="57"/>
      <c r="L52" s="59">
        <f>SUM(L49:L51)</f>
        <v>95908</v>
      </c>
      <c r="M52" s="27"/>
      <c r="N52" s="138"/>
    </row>
    <row r="53" spans="1:14" ht="15.75">
      <c r="A53" s="136"/>
      <c r="B53" s="27"/>
      <c r="C53" s="57"/>
      <c r="D53" s="59"/>
      <c r="E53" s="57"/>
      <c r="F53" s="57"/>
      <c r="G53" s="57"/>
      <c r="H53" s="57"/>
      <c r="I53" s="57"/>
      <c r="J53" s="57"/>
      <c r="K53" s="57"/>
      <c r="L53" s="59"/>
      <c r="M53" s="27"/>
      <c r="N53" s="138"/>
    </row>
    <row r="54" spans="1:14" ht="15.75">
      <c r="A54" s="119"/>
      <c r="B54" s="12" t="s">
        <v>36</v>
      </c>
      <c r="C54" s="60"/>
      <c r="D54" s="62"/>
      <c r="E54" s="60"/>
      <c r="F54" s="61"/>
      <c r="G54" s="60"/>
      <c r="H54" s="60"/>
      <c r="I54" s="60"/>
      <c r="J54" s="60"/>
      <c r="K54" s="60"/>
      <c r="L54" s="62"/>
      <c r="M54" s="10"/>
      <c r="N54" s="138"/>
    </row>
    <row r="55" spans="1:14" ht="15.75">
      <c r="A55" s="119"/>
      <c r="B55" s="10"/>
      <c r="C55" s="60"/>
      <c r="D55" s="118"/>
      <c r="E55" s="60"/>
      <c r="F55" s="60"/>
      <c r="G55" s="60"/>
      <c r="H55" s="60"/>
      <c r="I55" s="60"/>
      <c r="J55" s="60"/>
      <c r="K55" s="60"/>
      <c r="L55" s="118"/>
      <c r="M55" s="10"/>
      <c r="N55" s="138"/>
    </row>
    <row r="56" spans="1:14" ht="15.75">
      <c r="A56" s="136"/>
      <c r="B56" s="27" t="s">
        <v>33</v>
      </c>
      <c r="C56" s="57"/>
      <c r="D56" s="59"/>
      <c r="E56" s="57"/>
      <c r="F56" s="57"/>
      <c r="G56" s="57"/>
      <c r="H56" s="57"/>
      <c r="I56" s="57"/>
      <c r="J56" s="57"/>
      <c r="K56" s="57"/>
      <c r="L56" s="59"/>
      <c r="M56" s="27"/>
      <c r="N56" s="138"/>
    </row>
    <row r="57" spans="1:14" ht="15.75">
      <c r="A57" s="136"/>
      <c r="B57" s="27" t="s">
        <v>34</v>
      </c>
      <c r="C57" s="57"/>
      <c r="D57" s="59"/>
      <c r="E57" s="57"/>
      <c r="F57" s="57"/>
      <c r="G57" s="57"/>
      <c r="H57" s="57"/>
      <c r="I57" s="57"/>
      <c r="J57" s="57"/>
      <c r="K57" s="57"/>
      <c r="L57" s="59"/>
      <c r="M57" s="27"/>
      <c r="N57" s="138"/>
    </row>
    <row r="58" spans="1:14" ht="15.75">
      <c r="A58" s="136"/>
      <c r="B58" s="27"/>
      <c r="C58" s="57"/>
      <c r="D58" s="59"/>
      <c r="E58" s="57"/>
      <c r="F58" s="57"/>
      <c r="G58" s="57"/>
      <c r="H58" s="57"/>
      <c r="I58" s="57"/>
      <c r="J58" s="57"/>
      <c r="K58" s="57"/>
      <c r="L58" s="59"/>
      <c r="M58" s="27"/>
      <c r="N58" s="138"/>
    </row>
    <row r="59" spans="1:14" ht="15.75">
      <c r="A59" s="136"/>
      <c r="B59" s="27" t="s">
        <v>35</v>
      </c>
      <c r="C59" s="57"/>
      <c r="D59" s="59"/>
      <c r="E59" s="57"/>
      <c r="F59" s="57"/>
      <c r="G59" s="57"/>
      <c r="H59" s="57"/>
      <c r="I59" s="57"/>
      <c r="J59" s="57"/>
      <c r="K59" s="57"/>
      <c r="L59" s="59"/>
      <c r="M59" s="27"/>
      <c r="N59" s="138"/>
    </row>
    <row r="60" spans="1:14" ht="15.75">
      <c r="A60" s="136"/>
      <c r="B60" s="27"/>
      <c r="C60" s="57"/>
      <c r="D60" s="59"/>
      <c r="E60" s="57"/>
      <c r="F60" s="57"/>
      <c r="G60" s="57"/>
      <c r="H60" s="57"/>
      <c r="I60" s="57"/>
      <c r="J60" s="57"/>
      <c r="K60" s="57"/>
      <c r="L60" s="59"/>
      <c r="M60" s="27"/>
      <c r="N60" s="138"/>
    </row>
    <row r="61" spans="1:14" ht="15.75">
      <c r="A61" s="136"/>
      <c r="B61" s="27" t="s">
        <v>37</v>
      </c>
      <c r="C61" s="57">
        <v>-1743</v>
      </c>
      <c r="D61" s="57">
        <v>-1743</v>
      </c>
      <c r="E61" s="57"/>
      <c r="F61" s="57"/>
      <c r="G61" s="57"/>
      <c r="H61" s="57"/>
      <c r="I61" s="57"/>
      <c r="J61" s="57"/>
      <c r="K61" s="57"/>
      <c r="L61" s="57">
        <v>-1743</v>
      </c>
      <c r="M61" s="27"/>
      <c r="N61" s="138"/>
    </row>
    <row r="62" spans="1:14" ht="15.75">
      <c r="A62" s="136"/>
      <c r="B62" s="27" t="s">
        <v>38</v>
      </c>
      <c r="C62" s="57">
        <v>0</v>
      </c>
      <c r="D62" s="59">
        <v>-2257</v>
      </c>
      <c r="E62" s="57"/>
      <c r="F62" s="57"/>
      <c r="G62" s="57"/>
      <c r="H62" s="57"/>
      <c r="I62" s="57"/>
      <c r="J62" s="57"/>
      <c r="K62" s="57"/>
      <c r="L62" s="59">
        <v>-2257</v>
      </c>
      <c r="M62" s="27"/>
      <c r="N62" s="138"/>
    </row>
    <row r="63" spans="1:14" ht="15.75">
      <c r="A63" s="136"/>
      <c r="B63" s="27" t="s">
        <v>198</v>
      </c>
      <c r="C63" s="57">
        <v>0</v>
      </c>
      <c r="D63" s="59">
        <v>163</v>
      </c>
      <c r="E63" s="57"/>
      <c r="F63" s="57"/>
      <c r="G63" s="57"/>
      <c r="H63" s="57"/>
      <c r="I63" s="57"/>
      <c r="J63" s="57"/>
      <c r="K63" s="57"/>
      <c r="L63" s="59">
        <v>28</v>
      </c>
      <c r="M63" s="27"/>
      <c r="N63" s="138"/>
    </row>
    <row r="64" spans="1:14" ht="15.75">
      <c r="A64" s="136"/>
      <c r="B64" s="27" t="s">
        <v>15</v>
      </c>
      <c r="C64" s="59">
        <f>SUM(C52:C63)</f>
        <v>223990</v>
      </c>
      <c r="D64" s="59">
        <f>SUM(D52:D63)</f>
        <v>98178</v>
      </c>
      <c r="E64" s="57"/>
      <c r="F64" s="57"/>
      <c r="G64" s="57"/>
      <c r="H64" s="57"/>
      <c r="I64" s="57"/>
      <c r="J64" s="57"/>
      <c r="K64" s="57"/>
      <c r="L64" s="59">
        <f>SUM(L52:L63)</f>
        <v>91936</v>
      </c>
      <c r="M64" s="27"/>
      <c r="N64" s="138"/>
    </row>
    <row r="65" spans="1:14" ht="15.75">
      <c r="A65" s="136"/>
      <c r="B65" s="27"/>
      <c r="C65" s="57"/>
      <c r="D65" s="57"/>
      <c r="E65" s="57"/>
      <c r="F65" s="57"/>
      <c r="G65" s="57"/>
      <c r="H65" s="57"/>
      <c r="I65" s="57"/>
      <c r="J65" s="57"/>
      <c r="K65" s="57"/>
      <c r="L65" s="59"/>
      <c r="M65" s="27"/>
      <c r="N65" s="138"/>
    </row>
    <row r="66" spans="1:14" ht="15.75">
      <c r="A66" s="119"/>
      <c r="B66" s="10"/>
      <c r="C66" s="10"/>
      <c r="D66" s="10"/>
      <c r="E66" s="10"/>
      <c r="F66" s="10"/>
      <c r="G66" s="10"/>
      <c r="H66" s="10"/>
      <c r="I66" s="10"/>
      <c r="J66" s="10"/>
      <c r="K66" s="10"/>
      <c r="L66" s="10"/>
      <c r="M66" s="10"/>
      <c r="N66" s="138"/>
    </row>
    <row r="67" spans="1:14" ht="15.75">
      <c r="A67" s="119"/>
      <c r="B67" s="63" t="s">
        <v>40</v>
      </c>
      <c r="C67" s="16"/>
      <c r="D67" s="10"/>
      <c r="E67" s="10"/>
      <c r="F67" s="10"/>
      <c r="G67" s="10"/>
      <c r="H67" s="10"/>
      <c r="I67" s="22"/>
      <c r="J67" s="20" t="s">
        <v>174</v>
      </c>
      <c r="K67" s="20"/>
      <c r="L67" s="20" t="s">
        <v>188</v>
      </c>
      <c r="M67" s="17"/>
      <c r="N67" s="138"/>
    </row>
    <row r="68" spans="1:14" ht="15.75">
      <c r="A68" s="136"/>
      <c r="B68" s="27" t="s">
        <v>41</v>
      </c>
      <c r="C68" s="27"/>
      <c r="D68" s="27"/>
      <c r="E68" s="27"/>
      <c r="F68" s="27"/>
      <c r="G68" s="27"/>
      <c r="H68" s="27"/>
      <c r="I68" s="27"/>
      <c r="J68" s="57">
        <v>0</v>
      </c>
      <c r="K68" s="27"/>
      <c r="L68" s="58">
        <v>0</v>
      </c>
      <c r="M68" s="27"/>
      <c r="N68" s="138"/>
    </row>
    <row r="69" spans="1:14" ht="15.75">
      <c r="A69" s="136"/>
      <c r="B69" s="27" t="s">
        <v>42</v>
      </c>
      <c r="C69" s="45" t="s">
        <v>204</v>
      </c>
      <c r="D69" s="64">
        <f>L43</f>
        <v>36851</v>
      </c>
      <c r="E69" s="27"/>
      <c r="F69" s="27"/>
      <c r="G69" s="27"/>
      <c r="H69" s="27"/>
      <c r="I69" s="27"/>
      <c r="J69" s="57">
        <f>6121+163-28</f>
        <v>6256</v>
      </c>
      <c r="K69" s="27"/>
      <c r="L69" s="58"/>
      <c r="M69" s="27"/>
      <c r="N69" s="138"/>
    </row>
    <row r="70" spans="1:14" ht="15.75">
      <c r="A70" s="136"/>
      <c r="B70" s="27" t="s">
        <v>43</v>
      </c>
      <c r="C70" s="27"/>
      <c r="D70" s="27"/>
      <c r="E70" s="27"/>
      <c r="F70" s="27"/>
      <c r="G70" s="27"/>
      <c r="H70" s="27"/>
      <c r="I70" s="27"/>
      <c r="J70" s="57"/>
      <c r="K70" s="27"/>
      <c r="L70" s="58">
        <f>1979-2+912+100+89-543+20-13+15</f>
        <v>2557</v>
      </c>
      <c r="M70" s="27"/>
      <c r="N70" s="138"/>
    </row>
    <row r="71" spans="1:14" ht="15.75">
      <c r="A71" s="136"/>
      <c r="B71" s="27" t="s">
        <v>44</v>
      </c>
      <c r="C71" s="27"/>
      <c r="D71" s="27"/>
      <c r="E71" s="27"/>
      <c r="F71" s="27"/>
      <c r="G71" s="27"/>
      <c r="H71" s="27"/>
      <c r="I71" s="27"/>
      <c r="J71" s="57"/>
      <c r="K71" s="27"/>
      <c r="L71" s="58"/>
      <c r="M71" s="27"/>
      <c r="N71" s="138"/>
    </row>
    <row r="72" spans="1:14" ht="15.75">
      <c r="A72" s="136"/>
      <c r="B72" s="27" t="s">
        <v>45</v>
      </c>
      <c r="C72" s="27"/>
      <c r="D72" s="27"/>
      <c r="E72" s="27"/>
      <c r="F72" s="27"/>
      <c r="G72" s="27"/>
      <c r="H72" s="27"/>
      <c r="I72" s="27"/>
      <c r="J72" s="59">
        <f>SUM(J68:J71)</f>
        <v>6256</v>
      </c>
      <c r="K72" s="27"/>
      <c r="L72" s="59">
        <f>SUM(L68:L71)</f>
        <v>2557</v>
      </c>
      <c r="M72" s="27"/>
      <c r="N72" s="138"/>
    </row>
    <row r="73" spans="1:14" ht="15.75">
      <c r="A73" s="136"/>
      <c r="B73" s="27" t="s">
        <v>46</v>
      </c>
      <c r="C73" s="27"/>
      <c r="D73" s="27"/>
      <c r="E73" s="27"/>
      <c r="F73" s="27"/>
      <c r="G73" s="27"/>
      <c r="H73" s="27"/>
      <c r="I73" s="27"/>
      <c r="J73" s="57">
        <f>-L73</f>
        <v>61</v>
      </c>
      <c r="K73" s="27"/>
      <c r="L73" s="58">
        <v>-61</v>
      </c>
      <c r="M73" s="27"/>
      <c r="N73" s="138"/>
    </row>
    <row r="74" spans="1:14" ht="15.75">
      <c r="A74" s="136"/>
      <c r="B74" s="27" t="s">
        <v>47</v>
      </c>
      <c r="C74" s="27"/>
      <c r="D74" s="27"/>
      <c r="E74" s="27"/>
      <c r="F74" s="27"/>
      <c r="G74" s="27"/>
      <c r="H74" s="27"/>
      <c r="I74" s="27"/>
      <c r="J74" s="57">
        <f>J72+J73</f>
        <v>6317</v>
      </c>
      <c r="K74" s="27"/>
      <c r="L74" s="59">
        <f>L72+L73</f>
        <v>2496</v>
      </c>
      <c r="M74" s="27"/>
      <c r="N74" s="138"/>
    </row>
    <row r="75" spans="1:14" ht="15.75">
      <c r="A75" s="136"/>
      <c r="B75" s="65" t="s">
        <v>48</v>
      </c>
      <c r="C75" s="66"/>
      <c r="D75" s="27"/>
      <c r="E75" s="27"/>
      <c r="F75" s="27"/>
      <c r="G75" s="27"/>
      <c r="H75" s="27"/>
      <c r="I75" s="27"/>
      <c r="J75" s="57"/>
      <c r="K75" s="27"/>
      <c r="L75" s="58"/>
      <c r="M75" s="27"/>
      <c r="N75" s="138"/>
    </row>
    <row r="76" spans="1:14" ht="15.75">
      <c r="A76" s="26">
        <v>1</v>
      </c>
      <c r="B76" s="27" t="s">
        <v>49</v>
      </c>
      <c r="C76" s="27"/>
      <c r="D76" s="27"/>
      <c r="E76" s="27"/>
      <c r="F76" s="27"/>
      <c r="G76" s="27"/>
      <c r="H76" s="27"/>
      <c r="I76" s="27"/>
      <c r="J76" s="27"/>
      <c r="K76" s="27"/>
      <c r="L76" s="58"/>
      <c r="M76" s="27"/>
      <c r="N76" s="138"/>
    </row>
    <row r="77" spans="1:14" ht="15.75">
      <c r="A77" s="26">
        <v>2</v>
      </c>
      <c r="B77" s="27" t="s">
        <v>50</v>
      </c>
      <c r="C77" s="27"/>
      <c r="D77" s="27"/>
      <c r="E77" s="27"/>
      <c r="F77" s="27"/>
      <c r="G77" s="27"/>
      <c r="H77" s="27"/>
      <c r="I77" s="27"/>
      <c r="J77" s="27"/>
      <c r="K77" s="27"/>
      <c r="L77" s="58">
        <v>-5</v>
      </c>
      <c r="M77" s="27"/>
      <c r="N77" s="138"/>
    </row>
    <row r="78" spans="1:14" ht="15.75">
      <c r="A78" s="26">
        <v>3</v>
      </c>
      <c r="B78" s="27" t="s">
        <v>51</v>
      </c>
      <c r="C78" s="27"/>
      <c r="D78" s="27"/>
      <c r="E78" s="27"/>
      <c r="F78" s="27"/>
      <c r="G78" s="27"/>
      <c r="H78" s="27"/>
      <c r="I78" s="27"/>
      <c r="J78" s="27"/>
      <c r="K78" s="27"/>
      <c r="L78" s="58">
        <v>-110</v>
      </c>
      <c r="M78" s="27"/>
      <c r="N78" s="138"/>
    </row>
    <row r="79" spans="1:14" ht="15.75">
      <c r="A79" s="26">
        <v>4</v>
      </c>
      <c r="B79" s="27" t="s">
        <v>52</v>
      </c>
      <c r="C79" s="27"/>
      <c r="D79" s="27"/>
      <c r="E79" s="27"/>
      <c r="F79" s="27"/>
      <c r="G79" s="27"/>
      <c r="H79" s="27"/>
      <c r="I79" s="27"/>
      <c r="J79" s="27"/>
      <c r="K79" s="27"/>
      <c r="L79" s="58">
        <v>-4</v>
      </c>
      <c r="M79" s="27"/>
      <c r="N79" s="138"/>
    </row>
    <row r="80" spans="1:14" ht="15.75">
      <c r="A80" s="26">
        <v>5</v>
      </c>
      <c r="B80" s="27" t="s">
        <v>53</v>
      </c>
      <c r="C80" s="27"/>
      <c r="D80" s="27"/>
      <c r="E80" s="27"/>
      <c r="F80" s="27"/>
      <c r="G80" s="27"/>
      <c r="H80" s="27"/>
      <c r="I80" s="27"/>
      <c r="J80" s="27"/>
      <c r="K80" s="27"/>
      <c r="L80" s="58">
        <v>-1164</v>
      </c>
      <c r="M80" s="27"/>
      <c r="N80" s="138"/>
    </row>
    <row r="81" spans="1:14" ht="15.75">
      <c r="A81" s="26">
        <v>6</v>
      </c>
      <c r="B81" s="27" t="s">
        <v>54</v>
      </c>
      <c r="C81" s="27"/>
      <c r="D81" s="27"/>
      <c r="E81" s="27"/>
      <c r="F81" s="27"/>
      <c r="G81" s="27"/>
      <c r="H81" s="27"/>
      <c r="I81" s="27"/>
      <c r="J81" s="27"/>
      <c r="K81" s="27"/>
      <c r="L81" s="58">
        <v>-3</v>
      </c>
      <c r="M81" s="27"/>
      <c r="N81" s="138"/>
    </row>
    <row r="82" spans="1:14" ht="15.75">
      <c r="A82" s="26">
        <v>7</v>
      </c>
      <c r="B82" s="27" t="s">
        <v>55</v>
      </c>
      <c r="C82" s="27"/>
      <c r="D82" s="27"/>
      <c r="E82" s="27"/>
      <c r="F82" s="27"/>
      <c r="G82" s="27"/>
      <c r="H82" s="27"/>
      <c r="I82" s="27"/>
      <c r="J82" s="27"/>
      <c r="K82" s="27"/>
      <c r="L82" s="58">
        <v>-243</v>
      </c>
      <c r="M82" s="27"/>
      <c r="N82" s="138"/>
    </row>
    <row r="83" spans="1:14" ht="15.75">
      <c r="A83" s="26">
        <v>8</v>
      </c>
      <c r="B83" s="27" t="s">
        <v>56</v>
      </c>
      <c r="C83" s="27"/>
      <c r="D83" s="27"/>
      <c r="E83" s="27"/>
      <c r="F83" s="27"/>
      <c r="G83" s="27"/>
      <c r="H83" s="27"/>
      <c r="I83" s="27"/>
      <c r="J83" s="27"/>
      <c r="K83" s="27"/>
      <c r="L83" s="58">
        <v>-171</v>
      </c>
      <c r="M83" s="27"/>
      <c r="N83" s="138"/>
    </row>
    <row r="84" spans="1:14" ht="15.75">
      <c r="A84" s="26">
        <v>9</v>
      </c>
      <c r="B84" s="27" t="s">
        <v>57</v>
      </c>
      <c r="C84" s="27"/>
      <c r="D84" s="27"/>
      <c r="E84" s="27"/>
      <c r="F84" s="27"/>
      <c r="G84" s="27"/>
      <c r="H84" s="27"/>
      <c r="I84" s="27"/>
      <c r="J84" s="27"/>
      <c r="K84" s="27"/>
      <c r="L84" s="58">
        <v>0</v>
      </c>
      <c r="M84" s="27"/>
      <c r="N84" s="138"/>
    </row>
    <row r="85" spans="1:14" ht="15.75">
      <c r="A85" s="26">
        <v>10</v>
      </c>
      <c r="B85" s="27" t="s">
        <v>58</v>
      </c>
      <c r="C85" s="27"/>
      <c r="D85" s="27"/>
      <c r="E85" s="27"/>
      <c r="F85" s="27"/>
      <c r="G85" s="27"/>
      <c r="H85" s="27"/>
      <c r="I85" s="27"/>
      <c r="J85" s="27"/>
      <c r="K85" s="27"/>
      <c r="L85" s="58">
        <v>-28</v>
      </c>
      <c r="M85" s="27"/>
      <c r="N85" s="138"/>
    </row>
    <row r="86" spans="1:14" ht="15.75">
      <c r="A86" s="26">
        <v>11</v>
      </c>
      <c r="B86" s="27" t="s">
        <v>59</v>
      </c>
      <c r="C86" s="27"/>
      <c r="D86" s="27"/>
      <c r="E86" s="27"/>
      <c r="F86" s="27"/>
      <c r="G86" s="27"/>
      <c r="H86" s="27"/>
      <c r="I86" s="27"/>
      <c r="J86" s="27"/>
      <c r="K86" s="27"/>
      <c r="L86" s="58">
        <v>0</v>
      </c>
      <c r="M86" s="27"/>
      <c r="N86" s="138"/>
    </row>
    <row r="87" spans="1:14" ht="15.75">
      <c r="A87" s="26">
        <v>12</v>
      </c>
      <c r="B87" s="27" t="s">
        <v>60</v>
      </c>
      <c r="C87" s="27"/>
      <c r="D87" s="27"/>
      <c r="E87" s="27"/>
      <c r="F87" s="27"/>
      <c r="G87" s="27"/>
      <c r="H87" s="27"/>
      <c r="I87" s="27"/>
      <c r="J87" s="27"/>
      <c r="K87" s="27"/>
      <c r="L87" s="58">
        <f>SUM(L74:L85)*-1</f>
        <v>-768</v>
      </c>
      <c r="M87" s="27"/>
      <c r="N87" s="138"/>
    </row>
    <row r="88" spans="1:14" ht="15.75">
      <c r="A88" s="136"/>
      <c r="B88" s="65" t="s">
        <v>61</v>
      </c>
      <c r="C88" s="66"/>
      <c r="D88" s="27"/>
      <c r="E88" s="27"/>
      <c r="F88" s="27"/>
      <c r="G88" s="27"/>
      <c r="H88" s="27"/>
      <c r="I88" s="27"/>
      <c r="J88" s="27"/>
      <c r="K88" s="27"/>
      <c r="L88" s="68"/>
      <c r="M88" s="27"/>
      <c r="N88" s="138"/>
    </row>
    <row r="89" spans="1:14" ht="15.75">
      <c r="A89" s="136"/>
      <c r="B89" s="27" t="s">
        <v>62</v>
      </c>
      <c r="C89" s="66"/>
      <c r="D89" s="27"/>
      <c r="E89" s="27"/>
      <c r="F89" s="27"/>
      <c r="G89" s="27"/>
      <c r="H89" s="27"/>
      <c r="I89" s="27"/>
      <c r="J89" s="57">
        <f>-J133</f>
        <v>0</v>
      </c>
      <c r="K89" s="57"/>
      <c r="L89" s="58"/>
      <c r="M89" s="27"/>
      <c r="N89" s="138"/>
    </row>
    <row r="90" spans="1:14" ht="15.75">
      <c r="A90" s="136"/>
      <c r="B90" s="27" t="s">
        <v>63</v>
      </c>
      <c r="C90" s="27"/>
      <c r="D90" s="27"/>
      <c r="E90" s="27"/>
      <c r="F90" s="27"/>
      <c r="G90" s="27"/>
      <c r="H90" s="27"/>
      <c r="I90" s="27"/>
      <c r="J90" s="57">
        <v>-75</v>
      </c>
      <c r="K90" s="57"/>
      <c r="L90" s="58"/>
      <c r="M90" s="27"/>
      <c r="N90" s="138"/>
    </row>
    <row r="91" spans="1:14" ht="15.75">
      <c r="A91" s="136"/>
      <c r="B91" s="27" t="s">
        <v>64</v>
      </c>
      <c r="C91" s="27"/>
      <c r="D91" s="27"/>
      <c r="E91" s="27"/>
      <c r="F91" s="27"/>
      <c r="G91" s="27"/>
      <c r="H91" s="27"/>
      <c r="I91" s="27"/>
      <c r="J91" s="57">
        <v>0</v>
      </c>
      <c r="K91" s="57"/>
      <c r="L91" s="58"/>
      <c r="M91" s="27"/>
      <c r="N91" s="138"/>
    </row>
    <row r="92" spans="1:14" ht="15.75">
      <c r="A92" s="136"/>
      <c r="B92" s="27" t="s">
        <v>65</v>
      </c>
      <c r="C92" s="27"/>
      <c r="D92" s="27"/>
      <c r="E92" s="27"/>
      <c r="F92" s="27"/>
      <c r="G92" s="27"/>
      <c r="H92" s="27"/>
      <c r="I92" s="27"/>
      <c r="J92" s="57">
        <v>-4670</v>
      </c>
      <c r="K92" s="57"/>
      <c r="L92" s="58"/>
      <c r="M92" s="27"/>
      <c r="N92" s="138"/>
    </row>
    <row r="93" spans="1:14" ht="15.75">
      <c r="A93" s="136"/>
      <c r="B93" s="27" t="s">
        <v>66</v>
      </c>
      <c r="C93" s="27"/>
      <c r="D93" s="27"/>
      <c r="E93" s="27"/>
      <c r="F93" s="27"/>
      <c r="G93" s="27"/>
      <c r="H93" s="27"/>
      <c r="I93" s="27"/>
      <c r="J93" s="57">
        <v>-943</v>
      </c>
      <c r="K93" s="57"/>
      <c r="L93" s="58"/>
      <c r="M93" s="27"/>
      <c r="N93" s="138"/>
    </row>
    <row r="94" spans="1:14" ht="15.75">
      <c r="A94" s="136"/>
      <c r="B94" s="27" t="s">
        <v>201</v>
      </c>
      <c r="C94" s="27"/>
      <c r="D94" s="27"/>
      <c r="E94" s="27"/>
      <c r="F94" s="27"/>
      <c r="G94" s="27"/>
      <c r="H94" s="27"/>
      <c r="I94" s="27"/>
      <c r="J94" s="57">
        <v>-629</v>
      </c>
      <c r="K94" s="57"/>
      <c r="L94" s="58"/>
      <c r="M94" s="27"/>
      <c r="N94" s="138"/>
    </row>
    <row r="95" spans="1:14" ht="15.75">
      <c r="A95" s="136"/>
      <c r="B95" s="27" t="s">
        <v>67</v>
      </c>
      <c r="C95" s="27"/>
      <c r="D95" s="27"/>
      <c r="E95" s="27"/>
      <c r="F95" s="27"/>
      <c r="G95" s="27"/>
      <c r="H95" s="27"/>
      <c r="I95" s="27"/>
      <c r="J95" s="57">
        <f>SUM(J75:J94)</f>
        <v>-6317</v>
      </c>
      <c r="K95" s="57"/>
      <c r="L95" s="57">
        <f>SUM(L75:L93)</f>
        <v>-2496</v>
      </c>
      <c r="M95" s="27"/>
      <c r="N95" s="138"/>
    </row>
    <row r="96" spans="1:14" ht="15.75">
      <c r="A96" s="136"/>
      <c r="B96" s="27" t="s">
        <v>68</v>
      </c>
      <c r="C96" s="27"/>
      <c r="D96" s="27"/>
      <c r="E96" s="27"/>
      <c r="F96" s="27"/>
      <c r="G96" s="27"/>
      <c r="H96" s="27"/>
      <c r="I96" s="27"/>
      <c r="J96" s="57">
        <f>J74+J95</f>
        <v>0</v>
      </c>
      <c r="K96" s="57"/>
      <c r="L96" s="57">
        <f>L74+L95</f>
        <v>0</v>
      </c>
      <c r="M96" s="27"/>
      <c r="N96" s="138"/>
    </row>
    <row r="97" spans="1:14" ht="15.75">
      <c r="A97" s="136"/>
      <c r="B97" s="27"/>
      <c r="C97" s="27"/>
      <c r="D97" s="27"/>
      <c r="E97" s="27"/>
      <c r="F97" s="27"/>
      <c r="G97" s="27"/>
      <c r="H97" s="27"/>
      <c r="I97" s="27"/>
      <c r="J97" s="57"/>
      <c r="K97" s="57"/>
      <c r="L97" s="57"/>
      <c r="M97" s="27"/>
      <c r="N97" s="138"/>
    </row>
    <row r="98" spans="1:14" ht="15.75">
      <c r="A98" s="119"/>
      <c r="B98" s="15"/>
      <c r="C98" s="10"/>
      <c r="D98" s="10"/>
      <c r="E98" s="10"/>
      <c r="F98" s="10"/>
      <c r="G98" s="10"/>
      <c r="H98" s="10"/>
      <c r="I98" s="10"/>
      <c r="J98" s="60"/>
      <c r="K98" s="60"/>
      <c r="L98" s="60"/>
      <c r="M98" s="10"/>
      <c r="N98" s="138"/>
    </row>
    <row r="99" spans="1:14" ht="15.75">
      <c r="A99" s="119"/>
      <c r="B99" s="10"/>
      <c r="C99" s="10"/>
      <c r="D99" s="10"/>
      <c r="E99" s="10"/>
      <c r="F99" s="10"/>
      <c r="G99" s="10"/>
      <c r="H99" s="10"/>
      <c r="I99" s="10"/>
      <c r="J99" s="60"/>
      <c r="K99" s="60"/>
      <c r="L99" s="60"/>
      <c r="M99" s="10"/>
      <c r="N99" s="138"/>
    </row>
    <row r="100" spans="1:14" ht="15.75">
      <c r="A100" s="119"/>
      <c r="B100" s="10"/>
      <c r="C100" s="10"/>
      <c r="D100" s="10"/>
      <c r="E100" s="10"/>
      <c r="F100" s="10"/>
      <c r="G100" s="10"/>
      <c r="H100" s="10"/>
      <c r="I100" s="10"/>
      <c r="J100" s="10"/>
      <c r="K100" s="10"/>
      <c r="L100" s="53"/>
      <c r="M100" s="10"/>
      <c r="N100" s="138"/>
    </row>
    <row r="101" spans="1:14" ht="15.75">
      <c r="A101" s="119"/>
      <c r="B101" s="10"/>
      <c r="C101" s="9"/>
      <c r="D101" s="10"/>
      <c r="E101" s="10"/>
      <c r="F101" s="10"/>
      <c r="G101" s="10"/>
      <c r="H101" s="10"/>
      <c r="I101" s="10"/>
      <c r="J101" s="10"/>
      <c r="K101" s="10"/>
      <c r="L101" s="53"/>
      <c r="M101" s="10"/>
      <c r="N101" s="138"/>
    </row>
    <row r="102" spans="1:14" ht="15.75">
      <c r="A102" s="135"/>
      <c r="B102" s="83" t="s">
        <v>69</v>
      </c>
      <c r="C102" s="5"/>
      <c r="D102" s="5"/>
      <c r="E102" s="5"/>
      <c r="F102" s="5"/>
      <c r="G102" s="5"/>
      <c r="H102" s="5"/>
      <c r="I102" s="5"/>
      <c r="J102" s="5"/>
      <c r="K102" s="5"/>
      <c r="L102" s="52"/>
      <c r="M102" s="70"/>
      <c r="N102" s="138"/>
    </row>
    <row r="103" spans="1:14" ht="15.75">
      <c r="A103" s="119"/>
      <c r="B103" s="10"/>
      <c r="C103" s="10"/>
      <c r="D103" s="10"/>
      <c r="E103" s="10"/>
      <c r="F103" s="10"/>
      <c r="G103" s="10"/>
      <c r="H103" s="10"/>
      <c r="I103" s="10"/>
      <c r="J103" s="10"/>
      <c r="K103" s="10"/>
      <c r="L103" s="53"/>
      <c r="M103" s="10"/>
      <c r="N103" s="138"/>
    </row>
    <row r="104" spans="1:14" ht="15.75">
      <c r="A104" s="119"/>
      <c r="B104" s="73" t="s">
        <v>70</v>
      </c>
      <c r="C104" s="16"/>
      <c r="D104" s="10"/>
      <c r="E104" s="10"/>
      <c r="F104" s="10"/>
      <c r="G104" s="10"/>
      <c r="H104" s="10"/>
      <c r="I104" s="10"/>
      <c r="J104" s="10"/>
      <c r="K104" s="10"/>
      <c r="L104" s="53"/>
      <c r="M104" s="10"/>
      <c r="N104" s="138"/>
    </row>
    <row r="105" spans="1:14" ht="15.75">
      <c r="A105" s="136"/>
      <c r="B105" s="27" t="s">
        <v>71</v>
      </c>
      <c r="C105" s="27"/>
      <c r="D105" s="27"/>
      <c r="E105" s="27"/>
      <c r="F105" s="27"/>
      <c r="G105" s="27"/>
      <c r="H105" s="27"/>
      <c r="I105" s="27"/>
      <c r="J105" s="27"/>
      <c r="K105" s="27"/>
      <c r="L105" s="58">
        <v>4515</v>
      </c>
      <c r="M105" s="27"/>
      <c r="N105" s="138"/>
    </row>
    <row r="106" spans="1:14" ht="15.75">
      <c r="A106" s="136"/>
      <c r="B106" s="27" t="s">
        <v>72</v>
      </c>
      <c r="C106" s="27"/>
      <c r="D106" s="27"/>
      <c r="E106" s="27"/>
      <c r="F106" s="27"/>
      <c r="G106" s="27"/>
      <c r="H106" s="27"/>
      <c r="I106" s="27"/>
      <c r="J106" s="27"/>
      <c r="K106" s="27"/>
      <c r="L106" s="58">
        <v>4515</v>
      </c>
      <c r="M106" s="27"/>
      <c r="N106" s="138"/>
    </row>
    <row r="107" spans="1:14" ht="15.75">
      <c r="A107" s="136"/>
      <c r="B107" s="27" t="s">
        <v>73</v>
      </c>
      <c r="C107" s="27"/>
      <c r="D107" s="27"/>
      <c r="E107" s="27"/>
      <c r="F107" s="27"/>
      <c r="G107" s="27"/>
      <c r="H107" s="27"/>
      <c r="I107" s="27"/>
      <c r="J107" s="27"/>
      <c r="K107" s="27"/>
      <c r="L107" s="58"/>
      <c r="M107" s="27"/>
      <c r="N107" s="138"/>
    </row>
    <row r="108" spans="1:14" ht="15.75">
      <c r="A108" s="136"/>
      <c r="B108" s="27" t="s">
        <v>74</v>
      </c>
      <c r="C108" s="27"/>
      <c r="D108" s="27"/>
      <c r="E108" s="27"/>
      <c r="F108" s="27"/>
      <c r="G108" s="27"/>
      <c r="H108" s="27"/>
      <c r="I108" s="27"/>
      <c r="J108" s="27"/>
      <c r="K108" s="27"/>
      <c r="L108" s="58">
        <v>0</v>
      </c>
      <c r="M108" s="27"/>
      <c r="N108" s="138"/>
    </row>
    <row r="109" spans="1:14" ht="15.75">
      <c r="A109" s="136"/>
      <c r="B109" s="27" t="s">
        <v>75</v>
      </c>
      <c r="C109" s="27"/>
      <c r="D109" s="27"/>
      <c r="E109" s="27"/>
      <c r="F109" s="27"/>
      <c r="G109" s="27"/>
      <c r="H109" s="27"/>
      <c r="I109" s="27"/>
      <c r="J109" s="27"/>
      <c r="K109" s="27"/>
      <c r="L109" s="58"/>
      <c r="M109" s="27"/>
      <c r="N109" s="138"/>
    </row>
    <row r="110" spans="1:14" ht="15.75">
      <c r="A110" s="136"/>
      <c r="B110" s="27" t="s">
        <v>53</v>
      </c>
      <c r="C110" s="27"/>
      <c r="D110" s="27"/>
      <c r="E110" s="27"/>
      <c r="F110" s="27"/>
      <c r="G110" s="27"/>
      <c r="H110" s="27"/>
      <c r="I110" s="27"/>
      <c r="J110" s="27"/>
      <c r="K110" s="27"/>
      <c r="L110" s="58"/>
      <c r="M110" s="27"/>
      <c r="N110" s="138"/>
    </row>
    <row r="111" spans="1:14" ht="15.75">
      <c r="A111" s="136"/>
      <c r="B111" s="27" t="s">
        <v>55</v>
      </c>
      <c r="C111" s="27"/>
      <c r="D111" s="27"/>
      <c r="E111" s="27"/>
      <c r="F111" s="27"/>
      <c r="G111" s="27"/>
      <c r="H111" s="27"/>
      <c r="I111" s="27"/>
      <c r="J111" s="27"/>
      <c r="K111" s="27"/>
      <c r="L111" s="58"/>
      <c r="M111" s="27"/>
      <c r="N111" s="138"/>
    </row>
    <row r="112" spans="1:14" ht="15.75">
      <c r="A112" s="136"/>
      <c r="B112" s="27" t="s">
        <v>76</v>
      </c>
      <c r="C112" s="27"/>
      <c r="D112" s="27"/>
      <c r="E112" s="27"/>
      <c r="F112" s="27"/>
      <c r="G112" s="27"/>
      <c r="H112" s="27"/>
      <c r="I112" s="27"/>
      <c r="J112" s="27"/>
      <c r="K112" s="27"/>
      <c r="L112" s="58">
        <f>L106-L108</f>
        <v>4515</v>
      </c>
      <c r="M112" s="27"/>
      <c r="N112" s="138"/>
    </row>
    <row r="113" spans="1:14" ht="15.75">
      <c r="A113" s="136"/>
      <c r="B113" s="27"/>
      <c r="C113" s="27"/>
      <c r="D113" s="27"/>
      <c r="E113" s="27"/>
      <c r="F113" s="27"/>
      <c r="G113" s="27"/>
      <c r="H113" s="27"/>
      <c r="I113" s="27"/>
      <c r="J113" s="27"/>
      <c r="K113" s="27"/>
      <c r="L113" s="72"/>
      <c r="M113" s="27"/>
      <c r="N113" s="138"/>
    </row>
    <row r="114" spans="1:14" ht="15.75">
      <c r="A114" s="135"/>
      <c r="B114" s="5"/>
      <c r="C114" s="5"/>
      <c r="D114" s="5"/>
      <c r="E114" s="5"/>
      <c r="F114" s="5"/>
      <c r="G114" s="5"/>
      <c r="H114" s="5"/>
      <c r="I114" s="5"/>
      <c r="J114" s="5"/>
      <c r="K114" s="5"/>
      <c r="L114" s="52"/>
      <c r="M114" s="5"/>
      <c r="N114" s="138"/>
    </row>
    <row r="115" spans="1:14" ht="15.75">
      <c r="A115" s="119"/>
      <c r="B115" s="73" t="s">
        <v>77</v>
      </c>
      <c r="C115" s="16"/>
      <c r="D115" s="10"/>
      <c r="E115" s="10"/>
      <c r="F115" s="10"/>
      <c r="G115" s="10"/>
      <c r="H115" s="10"/>
      <c r="I115" s="10"/>
      <c r="J115" s="10"/>
      <c r="K115" s="10"/>
      <c r="L115" s="74"/>
      <c r="M115" s="10"/>
      <c r="N115" s="138"/>
    </row>
    <row r="116" spans="1:14" ht="15.75">
      <c r="A116" s="119"/>
      <c r="B116" s="16"/>
      <c r="C116" s="16"/>
      <c r="D116" s="10"/>
      <c r="E116" s="10"/>
      <c r="F116" s="10"/>
      <c r="G116" s="10"/>
      <c r="H116" s="10"/>
      <c r="I116" s="10"/>
      <c r="J116" s="10"/>
      <c r="K116" s="10"/>
      <c r="L116" s="74"/>
      <c r="M116" s="10"/>
      <c r="N116" s="138"/>
    </row>
    <row r="117" spans="1:14" ht="15.75">
      <c r="A117" s="136"/>
      <c r="B117" s="27" t="s">
        <v>78</v>
      </c>
      <c r="C117" s="27"/>
      <c r="D117" s="27"/>
      <c r="E117" s="27"/>
      <c r="F117" s="27"/>
      <c r="G117" s="27"/>
      <c r="H117" s="27"/>
      <c r="I117" s="27"/>
      <c r="J117" s="27"/>
      <c r="K117" s="27"/>
      <c r="L117" s="58">
        <v>0</v>
      </c>
      <c r="M117" s="27"/>
      <c r="N117" s="138"/>
    </row>
    <row r="118" spans="1:14" ht="15.75">
      <c r="A118" s="136"/>
      <c r="B118" s="27" t="s">
        <v>79</v>
      </c>
      <c r="C118" s="27"/>
      <c r="D118" s="27"/>
      <c r="E118" s="27"/>
      <c r="F118" s="27"/>
      <c r="G118" s="27"/>
      <c r="H118" s="27"/>
      <c r="I118" s="27"/>
      <c r="J118" s="27"/>
      <c r="K118" s="27"/>
      <c r="L118" s="58">
        <v>-28</v>
      </c>
      <c r="M118" s="27"/>
      <c r="N118" s="138"/>
    </row>
    <row r="119" spans="1:14" ht="15.75">
      <c r="A119" s="136"/>
      <c r="B119" s="27" t="s">
        <v>80</v>
      </c>
      <c r="C119" s="27"/>
      <c r="D119" s="27"/>
      <c r="E119" s="27"/>
      <c r="F119" s="27"/>
      <c r="G119" s="27"/>
      <c r="H119" s="27"/>
      <c r="I119" s="27"/>
      <c r="J119" s="27"/>
      <c r="K119" s="27"/>
      <c r="L119" s="58">
        <f>L118+L117</f>
        <v>-28</v>
      </c>
      <c r="M119" s="27"/>
      <c r="N119" s="138"/>
    </row>
    <row r="120" spans="1:14" ht="15.75">
      <c r="A120" s="136"/>
      <c r="B120" s="27" t="s">
        <v>81</v>
      </c>
      <c r="C120" s="27"/>
      <c r="D120" s="27"/>
      <c r="E120" s="27"/>
      <c r="F120" s="27"/>
      <c r="G120" s="27"/>
      <c r="H120" s="75"/>
      <c r="I120" s="27"/>
      <c r="J120" s="27"/>
      <c r="K120" s="27"/>
      <c r="L120" s="58">
        <f>-L85</f>
        <v>28</v>
      </c>
      <c r="M120" s="27"/>
      <c r="N120" s="138"/>
    </row>
    <row r="121" spans="1:14" ht="15.75">
      <c r="A121" s="136"/>
      <c r="B121" s="27" t="s">
        <v>82</v>
      </c>
      <c r="C121" s="27"/>
      <c r="D121" s="27"/>
      <c r="E121" s="27"/>
      <c r="F121" s="27"/>
      <c r="G121" s="27"/>
      <c r="H121" s="27"/>
      <c r="I121" s="27"/>
      <c r="J121" s="27"/>
      <c r="K121" s="27"/>
      <c r="L121" s="58">
        <f>L119+L120</f>
        <v>0</v>
      </c>
      <c r="M121" s="27"/>
      <c r="N121" s="138"/>
    </row>
    <row r="122" spans="1:14" ht="15.75">
      <c r="A122" s="136"/>
      <c r="B122" s="27"/>
      <c r="C122" s="27"/>
      <c r="D122" s="27"/>
      <c r="E122" s="27"/>
      <c r="F122" s="27"/>
      <c r="G122" s="27"/>
      <c r="H122" s="27"/>
      <c r="I122" s="27"/>
      <c r="J122" s="27"/>
      <c r="K122" s="27"/>
      <c r="L122" s="72"/>
      <c r="M122" s="27"/>
      <c r="N122" s="138"/>
    </row>
    <row r="123" spans="1:14" ht="15.75">
      <c r="A123" s="135"/>
      <c r="B123" s="5"/>
      <c r="C123" s="5"/>
      <c r="D123" s="5"/>
      <c r="E123" s="5"/>
      <c r="F123" s="5"/>
      <c r="G123" s="5"/>
      <c r="H123" s="5"/>
      <c r="I123" s="5"/>
      <c r="J123" s="5"/>
      <c r="K123" s="5"/>
      <c r="L123" s="52"/>
      <c r="M123" s="5"/>
      <c r="N123" s="138"/>
    </row>
    <row r="124" spans="1:14" ht="15.75">
      <c r="A124" s="119"/>
      <c r="B124" s="73" t="s">
        <v>83</v>
      </c>
      <c r="C124" s="16"/>
      <c r="D124" s="10"/>
      <c r="E124" s="10"/>
      <c r="F124" s="10"/>
      <c r="G124" s="10"/>
      <c r="H124" s="10"/>
      <c r="I124" s="10"/>
      <c r="J124" s="10"/>
      <c r="K124" s="10"/>
      <c r="L124" s="53"/>
      <c r="M124" s="10"/>
      <c r="N124" s="138"/>
    </row>
    <row r="125" spans="1:14" ht="15.75">
      <c r="A125" s="119"/>
      <c r="B125" s="76"/>
      <c r="C125" s="16"/>
      <c r="D125" s="10"/>
      <c r="E125" s="10"/>
      <c r="F125" s="10"/>
      <c r="G125" s="10"/>
      <c r="H125" s="10"/>
      <c r="I125" s="10"/>
      <c r="J125" s="10"/>
      <c r="K125" s="10"/>
      <c r="L125" s="53"/>
      <c r="M125" s="10"/>
      <c r="N125" s="138"/>
    </row>
    <row r="126" spans="1:14" ht="15.75">
      <c r="A126" s="136"/>
      <c r="B126" s="27" t="s">
        <v>84</v>
      </c>
      <c r="C126" s="71"/>
      <c r="D126" s="27"/>
      <c r="E126" s="27"/>
      <c r="F126" s="27"/>
      <c r="G126" s="27"/>
      <c r="H126" s="27"/>
      <c r="I126" s="27"/>
      <c r="J126" s="27"/>
      <c r="K126" s="27"/>
      <c r="L126" s="58">
        <f>L52</f>
        <v>95908</v>
      </c>
      <c r="M126" s="27"/>
      <c r="N126" s="138"/>
    </row>
    <row r="127" spans="1:14" ht="15.75">
      <c r="A127" s="136"/>
      <c r="B127" s="27" t="s">
        <v>85</v>
      </c>
      <c r="C127" s="71"/>
      <c r="D127" s="27"/>
      <c r="E127" s="27"/>
      <c r="F127" s="27"/>
      <c r="G127" s="27"/>
      <c r="H127" s="27"/>
      <c r="I127" s="27"/>
      <c r="J127" s="27"/>
      <c r="K127" s="27"/>
      <c r="L127" s="58">
        <f>L64</f>
        <v>91936</v>
      </c>
      <c r="M127" s="27"/>
      <c r="N127" s="138"/>
    </row>
    <row r="128" spans="1:14" ht="15.75">
      <c r="A128" s="136"/>
      <c r="B128" s="27"/>
      <c r="C128" s="27"/>
      <c r="D128" s="27"/>
      <c r="E128" s="27"/>
      <c r="F128" s="27"/>
      <c r="G128" s="27"/>
      <c r="H128" s="27"/>
      <c r="I128" s="27"/>
      <c r="J128" s="27"/>
      <c r="K128" s="27"/>
      <c r="L128" s="72"/>
      <c r="M128" s="27"/>
      <c r="N128" s="138"/>
    </row>
    <row r="129" spans="1:14" ht="15.75">
      <c r="A129" s="135"/>
      <c r="B129" s="5"/>
      <c r="C129" s="5"/>
      <c r="D129" s="5"/>
      <c r="E129" s="5"/>
      <c r="F129" s="5"/>
      <c r="G129" s="5"/>
      <c r="H129" s="5"/>
      <c r="I129" s="5"/>
      <c r="J129" s="5"/>
      <c r="K129" s="5"/>
      <c r="L129" s="52"/>
      <c r="M129" s="5"/>
      <c r="N129" s="138"/>
    </row>
    <row r="130" spans="1:14" ht="15.75">
      <c r="A130" s="119"/>
      <c r="B130" s="73" t="s">
        <v>86</v>
      </c>
      <c r="C130" s="12"/>
      <c r="D130" s="12"/>
      <c r="E130" s="12"/>
      <c r="F130" s="12"/>
      <c r="G130" s="12"/>
      <c r="H130" s="77" t="s">
        <v>163</v>
      </c>
      <c r="I130" s="77"/>
      <c r="J130" s="77" t="s">
        <v>175</v>
      </c>
      <c r="K130" s="12"/>
      <c r="L130" s="78" t="s">
        <v>189</v>
      </c>
      <c r="M130" s="10"/>
      <c r="N130" s="138"/>
    </row>
    <row r="131" spans="1:14" ht="15.75">
      <c r="A131" s="136"/>
      <c r="B131" s="27" t="s">
        <v>87</v>
      </c>
      <c r="C131" s="27"/>
      <c r="D131" s="27"/>
      <c r="E131" s="27"/>
      <c r="F131" s="27"/>
      <c r="G131" s="27"/>
      <c r="H131" s="58">
        <v>40000</v>
      </c>
      <c r="I131" s="27"/>
      <c r="J131" s="45" t="s">
        <v>176</v>
      </c>
      <c r="K131" s="27"/>
      <c r="L131" s="58"/>
      <c r="M131" s="27"/>
      <c r="N131" s="138"/>
    </row>
    <row r="132" spans="1:14" ht="15.75">
      <c r="A132" s="136"/>
      <c r="B132" s="27" t="s">
        <v>88</v>
      </c>
      <c r="C132" s="27"/>
      <c r="D132" s="27"/>
      <c r="E132" s="27"/>
      <c r="F132" s="27"/>
      <c r="G132" s="27"/>
      <c r="H132" s="58">
        <v>1828</v>
      </c>
      <c r="I132" s="27"/>
      <c r="J132" s="58">
        <v>110</v>
      </c>
      <c r="K132" s="27"/>
      <c r="L132" s="58">
        <f>J132+H132</f>
        <v>1938</v>
      </c>
      <c r="M132" s="27"/>
      <c r="N132" s="138"/>
    </row>
    <row r="133" spans="1:14" ht="15.75">
      <c r="A133" s="136"/>
      <c r="B133" s="27" t="s">
        <v>89</v>
      </c>
      <c r="C133" s="27"/>
      <c r="D133" s="27"/>
      <c r="E133" s="27"/>
      <c r="F133" s="27"/>
      <c r="G133" s="27"/>
      <c r="H133" s="58">
        <v>75</v>
      </c>
      <c r="I133" s="27"/>
      <c r="J133" s="27">
        <v>0</v>
      </c>
      <c r="K133" s="27"/>
      <c r="L133" s="58">
        <f>J133+H133</f>
        <v>75</v>
      </c>
      <c r="M133" s="27"/>
      <c r="N133" s="138"/>
    </row>
    <row r="134" spans="1:14" ht="15.75">
      <c r="A134" s="136"/>
      <c r="B134" s="27" t="s">
        <v>90</v>
      </c>
      <c r="C134" s="27"/>
      <c r="D134" s="27"/>
      <c r="E134" s="27"/>
      <c r="F134" s="27"/>
      <c r="G134" s="27"/>
      <c r="H134" s="58">
        <f>H133+H132</f>
        <v>1903</v>
      </c>
      <c r="I134" s="27"/>
      <c r="J134" s="58">
        <f>J133+J132</f>
        <v>110</v>
      </c>
      <c r="K134" s="27"/>
      <c r="L134" s="58">
        <f>J134+H134</f>
        <v>2013</v>
      </c>
      <c r="M134" s="27"/>
      <c r="N134" s="138"/>
    </row>
    <row r="135" spans="1:14" ht="15.75">
      <c r="A135" s="136"/>
      <c r="B135" s="27" t="s">
        <v>91</v>
      </c>
      <c r="C135" s="27"/>
      <c r="D135" s="27"/>
      <c r="E135" s="27"/>
      <c r="F135" s="27"/>
      <c r="G135" s="27"/>
      <c r="H135" s="58">
        <f>H131-H134</f>
        <v>38097</v>
      </c>
      <c r="I135" s="27"/>
      <c r="J135" s="45" t="s">
        <v>176</v>
      </c>
      <c r="K135" s="27"/>
      <c r="L135" s="58"/>
      <c r="M135" s="27"/>
      <c r="N135" s="138"/>
    </row>
    <row r="136" spans="1:14" ht="15.75">
      <c r="A136" s="136"/>
      <c r="B136" s="27"/>
      <c r="C136" s="27"/>
      <c r="D136" s="27"/>
      <c r="E136" s="27"/>
      <c r="F136" s="27"/>
      <c r="G136" s="27"/>
      <c r="H136" s="27"/>
      <c r="I136" s="27"/>
      <c r="J136" s="27"/>
      <c r="K136" s="27"/>
      <c r="L136" s="72"/>
      <c r="M136" s="27"/>
      <c r="N136" s="138"/>
    </row>
    <row r="137" spans="1:14" ht="15.75">
      <c r="A137" s="135"/>
      <c r="B137" s="5"/>
      <c r="C137" s="5"/>
      <c r="D137" s="5"/>
      <c r="E137" s="5"/>
      <c r="F137" s="5"/>
      <c r="G137" s="5"/>
      <c r="H137" s="5"/>
      <c r="I137" s="5"/>
      <c r="J137" s="5"/>
      <c r="K137" s="5"/>
      <c r="L137" s="52"/>
      <c r="M137" s="5"/>
      <c r="N137" s="138"/>
    </row>
    <row r="138" spans="1:14" ht="15.75">
      <c r="A138" s="119"/>
      <c r="B138" s="73" t="s">
        <v>92</v>
      </c>
      <c r="C138" s="16"/>
      <c r="D138" s="10"/>
      <c r="E138" s="10"/>
      <c r="F138" s="10"/>
      <c r="G138" s="10"/>
      <c r="H138" s="10"/>
      <c r="I138" s="10"/>
      <c r="J138" s="10"/>
      <c r="K138" s="10"/>
      <c r="L138" s="79"/>
      <c r="M138" s="10"/>
      <c r="N138" s="138"/>
    </row>
    <row r="139" spans="1:14" ht="15.75">
      <c r="A139" s="136"/>
      <c r="B139" s="27" t="s">
        <v>93</v>
      </c>
      <c r="C139" s="27"/>
      <c r="D139" s="27"/>
      <c r="E139" s="27"/>
      <c r="F139" s="27"/>
      <c r="G139" s="27"/>
      <c r="H139" s="27"/>
      <c r="I139" s="27"/>
      <c r="J139" s="27"/>
      <c r="K139" s="27"/>
      <c r="L139" s="68">
        <f>(L74+L77+L78+L79)/-L80</f>
        <v>2.0420962199312713</v>
      </c>
      <c r="M139" s="27" t="s">
        <v>190</v>
      </c>
      <c r="N139" s="138"/>
    </row>
    <row r="140" spans="1:14" ht="15.75">
      <c r="A140" s="136"/>
      <c r="B140" s="27" t="s">
        <v>94</v>
      </c>
      <c r="C140" s="27"/>
      <c r="D140" s="27"/>
      <c r="E140" s="27"/>
      <c r="F140" s="27"/>
      <c r="G140" s="27"/>
      <c r="H140" s="27"/>
      <c r="I140" s="27"/>
      <c r="J140" s="27"/>
      <c r="K140" s="27"/>
      <c r="L140" s="68">
        <v>1.6</v>
      </c>
      <c r="M140" s="27" t="s">
        <v>190</v>
      </c>
      <c r="N140" s="138"/>
    </row>
    <row r="141" spans="1:14" ht="15.75">
      <c r="A141" s="136"/>
      <c r="B141" s="27" t="s">
        <v>95</v>
      </c>
      <c r="C141" s="27"/>
      <c r="D141" s="27"/>
      <c r="E141" s="27"/>
      <c r="F141" s="27"/>
      <c r="G141" s="27"/>
      <c r="H141" s="27"/>
      <c r="I141" s="27"/>
      <c r="J141" s="27"/>
      <c r="K141" s="27"/>
      <c r="L141" s="68">
        <f>(L74+SUM(L77:L81))/-L82</f>
        <v>4.979423868312757</v>
      </c>
      <c r="M141" s="27" t="s">
        <v>190</v>
      </c>
      <c r="N141" s="138"/>
    </row>
    <row r="142" spans="1:14" ht="15.75">
      <c r="A142" s="136"/>
      <c r="B142" s="27" t="s">
        <v>96</v>
      </c>
      <c r="C142" s="27"/>
      <c r="D142" s="27"/>
      <c r="E142" s="27"/>
      <c r="F142" s="27"/>
      <c r="G142" s="27"/>
      <c r="H142" s="27"/>
      <c r="I142" s="27"/>
      <c r="J142" s="27"/>
      <c r="K142" s="27"/>
      <c r="L142" s="81">
        <v>4.45</v>
      </c>
      <c r="M142" s="27" t="s">
        <v>190</v>
      </c>
      <c r="N142" s="138"/>
    </row>
    <row r="143" spans="1:14" ht="15.75">
      <c r="A143" s="136"/>
      <c r="B143" s="27" t="s">
        <v>97</v>
      </c>
      <c r="C143" s="27"/>
      <c r="D143" s="27"/>
      <c r="E143" s="27"/>
      <c r="F143" s="27"/>
      <c r="G143" s="27"/>
      <c r="H143" s="27"/>
      <c r="I143" s="27"/>
      <c r="J143" s="27"/>
      <c r="K143" s="27"/>
      <c r="L143" s="68">
        <f>(L74+L77+L78+L79+L80+L81+L82)/-L83</f>
        <v>5.654970760233918</v>
      </c>
      <c r="M143" s="27" t="s">
        <v>190</v>
      </c>
      <c r="N143" s="138"/>
    </row>
    <row r="144" spans="1:14" ht="15.75">
      <c r="A144" s="136"/>
      <c r="B144" s="27" t="s">
        <v>98</v>
      </c>
      <c r="C144" s="27"/>
      <c r="D144" s="27"/>
      <c r="E144" s="27"/>
      <c r="F144" s="27"/>
      <c r="G144" s="27"/>
      <c r="H144" s="27"/>
      <c r="I144" s="27"/>
      <c r="J144" s="27"/>
      <c r="K144" s="27"/>
      <c r="L144" s="80">
        <v>4.93</v>
      </c>
      <c r="M144" s="27" t="s">
        <v>190</v>
      </c>
      <c r="N144" s="138"/>
    </row>
    <row r="145" spans="1:14" ht="15.75">
      <c r="A145" s="136"/>
      <c r="B145" s="27"/>
      <c r="C145" s="27"/>
      <c r="D145" s="27"/>
      <c r="E145" s="27"/>
      <c r="F145" s="27"/>
      <c r="G145" s="27"/>
      <c r="H145" s="27"/>
      <c r="I145" s="27"/>
      <c r="J145" s="27"/>
      <c r="K145" s="27"/>
      <c r="L145" s="27"/>
      <c r="M145" s="27"/>
      <c r="N145" s="138"/>
    </row>
    <row r="146" spans="1:14" ht="15">
      <c r="A146" s="119"/>
      <c r="B146" s="15"/>
      <c r="C146" s="15"/>
      <c r="D146" s="15"/>
      <c r="E146" s="15"/>
      <c r="F146" s="15"/>
      <c r="G146" s="15"/>
      <c r="H146" s="15"/>
      <c r="I146" s="15"/>
      <c r="J146" s="15"/>
      <c r="K146" s="15"/>
      <c r="L146" s="15"/>
      <c r="M146" s="15"/>
      <c r="N146" s="138"/>
    </row>
    <row r="147" spans="1:14" ht="15.75">
      <c r="A147" s="135"/>
      <c r="B147" s="83" t="s">
        <v>99</v>
      </c>
      <c r="C147" s="84"/>
      <c r="D147" s="84"/>
      <c r="E147" s="84"/>
      <c r="F147" s="84"/>
      <c r="G147" s="85"/>
      <c r="H147" s="85"/>
      <c r="I147" s="85"/>
      <c r="J147" s="85">
        <v>36860</v>
      </c>
      <c r="K147" s="86"/>
      <c r="L147" s="5"/>
      <c r="M147" s="5"/>
      <c r="N147" s="138"/>
    </row>
    <row r="148" spans="1:14" ht="15.75">
      <c r="A148" s="119"/>
      <c r="B148" s="89"/>
      <c r="C148" s="90"/>
      <c r="D148" s="90"/>
      <c r="E148" s="90"/>
      <c r="F148" s="90"/>
      <c r="G148" s="91"/>
      <c r="H148" s="91"/>
      <c r="I148" s="91"/>
      <c r="J148" s="91"/>
      <c r="K148" s="10"/>
      <c r="L148" s="10"/>
      <c r="M148" s="10"/>
      <c r="N148" s="138"/>
    </row>
    <row r="149" spans="1:14" ht="15.75">
      <c r="A149" s="136"/>
      <c r="B149" s="93" t="s">
        <v>100</v>
      </c>
      <c r="C149" s="94"/>
      <c r="D149" s="94"/>
      <c r="E149" s="94"/>
      <c r="F149" s="94"/>
      <c r="G149" s="75"/>
      <c r="H149" s="75"/>
      <c r="I149" s="75"/>
      <c r="J149" s="95">
        <v>0.0981</v>
      </c>
      <c r="K149" s="27"/>
      <c r="L149" s="27"/>
      <c r="M149" s="27"/>
      <c r="N149" s="138"/>
    </row>
    <row r="150" spans="1:14" ht="15.75">
      <c r="A150" s="136"/>
      <c r="B150" s="93" t="s">
        <v>101</v>
      </c>
      <c r="C150" s="94"/>
      <c r="D150" s="94"/>
      <c r="E150" s="94"/>
      <c r="F150" s="94"/>
      <c r="G150" s="75"/>
      <c r="H150" s="75"/>
      <c r="I150" s="75"/>
      <c r="J150" s="44">
        <f>6.96640642439395/100</f>
        <v>0.0696640642439395</v>
      </c>
      <c r="K150" s="27"/>
      <c r="L150" s="27"/>
      <c r="M150" s="27"/>
      <c r="N150" s="138"/>
    </row>
    <row r="151" spans="1:14" ht="15.75">
      <c r="A151" s="136"/>
      <c r="B151" s="93" t="s">
        <v>102</v>
      </c>
      <c r="C151" s="94"/>
      <c r="D151" s="94"/>
      <c r="E151" s="94"/>
      <c r="F151" s="94"/>
      <c r="G151" s="75"/>
      <c r="H151" s="75"/>
      <c r="I151" s="75"/>
      <c r="J151" s="95">
        <f>J149-J150</f>
        <v>0.0284359357560605</v>
      </c>
      <c r="K151" s="27"/>
      <c r="L151" s="27"/>
      <c r="M151" s="27"/>
      <c r="N151" s="138"/>
    </row>
    <row r="152" spans="1:14" ht="15.75">
      <c r="A152" s="136"/>
      <c r="B152" s="93" t="s">
        <v>103</v>
      </c>
      <c r="C152" s="94"/>
      <c r="D152" s="94"/>
      <c r="E152" s="94"/>
      <c r="F152" s="94"/>
      <c r="G152" s="75"/>
      <c r="H152" s="75"/>
      <c r="I152" s="75"/>
      <c r="J152" s="95">
        <v>0.09148</v>
      </c>
      <c r="K152" s="27"/>
      <c r="L152" s="27"/>
      <c r="M152" s="27"/>
      <c r="N152" s="138"/>
    </row>
    <row r="153" spans="1:14" ht="15.75">
      <c r="A153" s="136"/>
      <c r="B153" s="93" t="s">
        <v>104</v>
      </c>
      <c r="C153" s="94"/>
      <c r="D153" s="94"/>
      <c r="E153" s="94"/>
      <c r="F153" s="94"/>
      <c r="G153" s="75"/>
      <c r="H153" s="75"/>
      <c r="I153" s="75"/>
      <c r="J153" s="95">
        <f>L28</f>
        <v>0.06465947157476236</v>
      </c>
      <c r="K153" s="27"/>
      <c r="L153" s="27"/>
      <c r="M153" s="27"/>
      <c r="N153" s="138"/>
    </row>
    <row r="154" spans="1:14" ht="15.75">
      <c r="A154" s="136"/>
      <c r="B154" s="93" t="s">
        <v>105</v>
      </c>
      <c r="C154" s="94"/>
      <c r="D154" s="94"/>
      <c r="E154" s="94"/>
      <c r="F154" s="94"/>
      <c r="G154" s="75"/>
      <c r="H154" s="75"/>
      <c r="I154" s="75"/>
      <c r="J154" s="95">
        <f>J152-J153</f>
        <v>0.026820528425237647</v>
      </c>
      <c r="K154" s="27"/>
      <c r="L154" s="27"/>
      <c r="M154" s="27"/>
      <c r="N154" s="138"/>
    </row>
    <row r="155" spans="1:14" ht="15.75">
      <c r="A155" s="136"/>
      <c r="B155" s="93" t="s">
        <v>106</v>
      </c>
      <c r="C155" s="94"/>
      <c r="D155" s="94"/>
      <c r="E155" s="94"/>
      <c r="F155" s="94"/>
      <c r="G155" s="75"/>
      <c r="H155" s="75"/>
      <c r="I155" s="75"/>
      <c r="J155" s="95" t="s">
        <v>177</v>
      </c>
      <c r="K155" s="27"/>
      <c r="L155" s="27"/>
      <c r="M155" s="27"/>
      <c r="N155" s="138"/>
    </row>
    <row r="156" spans="1:14" ht="15.75">
      <c r="A156" s="136"/>
      <c r="B156" s="93" t="s">
        <v>107</v>
      </c>
      <c r="C156" s="94"/>
      <c r="D156" s="94"/>
      <c r="E156" s="94"/>
      <c r="F156" s="94"/>
      <c r="G156" s="75"/>
      <c r="H156" s="75"/>
      <c r="I156" s="75"/>
      <c r="J156" s="95" t="s">
        <v>178</v>
      </c>
      <c r="K156" s="27"/>
      <c r="L156" s="27"/>
      <c r="M156" s="27"/>
      <c r="N156" s="138"/>
    </row>
    <row r="157" spans="1:14" ht="15.75">
      <c r="A157" s="136"/>
      <c r="B157" s="93" t="s">
        <v>108</v>
      </c>
      <c r="C157" s="94"/>
      <c r="D157" s="94"/>
      <c r="E157" s="94"/>
      <c r="F157" s="94"/>
      <c r="G157" s="75"/>
      <c r="H157" s="75"/>
      <c r="I157" s="75"/>
      <c r="J157" s="95" t="s">
        <v>200</v>
      </c>
      <c r="K157" s="27"/>
      <c r="L157" s="27"/>
      <c r="M157" s="27"/>
      <c r="N157" s="138"/>
    </row>
    <row r="158" spans="1:14" ht="15.75">
      <c r="A158" s="136"/>
      <c r="B158" s="93" t="s">
        <v>109</v>
      </c>
      <c r="C158" s="94"/>
      <c r="D158" s="94"/>
      <c r="E158" s="94"/>
      <c r="F158" s="94"/>
      <c r="G158" s="75"/>
      <c r="H158" s="133"/>
      <c r="I158" s="75"/>
      <c r="J158" s="95">
        <f>F52/D52*4</f>
        <v>0.24239572611870802</v>
      </c>
      <c r="K158" s="27"/>
      <c r="L158" s="27"/>
      <c r="M158" s="27"/>
      <c r="N158" s="138"/>
    </row>
    <row r="159" spans="1:14" ht="15.75">
      <c r="A159" s="136"/>
      <c r="B159" s="93"/>
      <c r="C159" s="93"/>
      <c r="D159" s="93"/>
      <c r="E159" s="93"/>
      <c r="F159" s="93"/>
      <c r="G159" s="27"/>
      <c r="H159" s="27"/>
      <c r="I159" s="27"/>
      <c r="J159" s="72"/>
      <c r="K159" s="27"/>
      <c r="L159" s="97"/>
      <c r="M159" s="27"/>
      <c r="N159" s="138"/>
    </row>
    <row r="160" spans="1:14" ht="15.75">
      <c r="A160" s="119"/>
      <c r="B160" s="17" t="s">
        <v>110</v>
      </c>
      <c r="C160" s="20"/>
      <c r="D160" s="99"/>
      <c r="E160" s="20"/>
      <c r="F160" s="99"/>
      <c r="G160" s="20"/>
      <c r="H160" s="99"/>
      <c r="I160" s="20" t="s">
        <v>164</v>
      </c>
      <c r="J160" s="99" t="s">
        <v>180</v>
      </c>
      <c r="K160" s="18"/>
      <c r="L160" s="18"/>
      <c r="M160" s="10"/>
      <c r="N160" s="138"/>
    </row>
    <row r="161" spans="1:14" ht="15.75">
      <c r="A161" s="136"/>
      <c r="B161" s="93" t="s">
        <v>111</v>
      </c>
      <c r="C161" s="59"/>
      <c r="D161" s="59"/>
      <c r="E161" s="59"/>
      <c r="F161" s="27"/>
      <c r="G161" s="27"/>
      <c r="H161" s="27"/>
      <c r="I161" s="27">
        <v>99</v>
      </c>
      <c r="J161" s="58">
        <v>6461</v>
      </c>
      <c r="K161" s="27"/>
      <c r="L161" s="97"/>
      <c r="M161" s="102"/>
      <c r="N161" s="138"/>
    </row>
    <row r="162" spans="1:14" ht="15.75">
      <c r="A162" s="136"/>
      <c r="B162" s="93" t="s">
        <v>112</v>
      </c>
      <c r="C162" s="59"/>
      <c r="D162" s="59"/>
      <c r="E162" s="59"/>
      <c r="F162" s="27"/>
      <c r="G162" s="27"/>
      <c r="H162" s="27"/>
      <c r="I162" s="27">
        <v>12</v>
      </c>
      <c r="J162" s="58">
        <v>792</v>
      </c>
      <c r="K162" s="27"/>
      <c r="L162" s="97"/>
      <c r="M162" s="102"/>
      <c r="N162" s="138"/>
    </row>
    <row r="163" spans="1:14" ht="15.75">
      <c r="A163" s="136"/>
      <c r="B163" s="103" t="s">
        <v>113</v>
      </c>
      <c r="C163" s="59"/>
      <c r="D163" s="59"/>
      <c r="E163" s="59"/>
      <c r="F163" s="27"/>
      <c r="G163" s="27"/>
      <c r="H163" s="27"/>
      <c r="I163" s="27"/>
      <c r="J163" s="58">
        <v>0</v>
      </c>
      <c r="K163" s="27"/>
      <c r="L163" s="97"/>
      <c r="M163" s="102"/>
      <c r="N163" s="138"/>
    </row>
    <row r="164" spans="1:14" ht="15.75">
      <c r="A164" s="136"/>
      <c r="B164" s="103" t="s">
        <v>114</v>
      </c>
      <c r="C164" s="59"/>
      <c r="D164" s="59"/>
      <c r="E164" s="59"/>
      <c r="F164" s="27"/>
      <c r="G164" s="27"/>
      <c r="H164" s="27"/>
      <c r="I164" s="27"/>
      <c r="J164" s="68" t="s">
        <v>139</v>
      </c>
      <c r="K164" s="27"/>
      <c r="L164" s="97"/>
      <c r="M164" s="102"/>
      <c r="N164" s="138"/>
    </row>
    <row r="165" spans="1:14" ht="15.75">
      <c r="A165" s="136"/>
      <c r="B165" s="103" t="s">
        <v>115</v>
      </c>
      <c r="C165" s="59"/>
      <c r="D165" s="93"/>
      <c r="E165" s="93"/>
      <c r="F165" s="93"/>
      <c r="G165" s="27"/>
      <c r="H165" s="27"/>
      <c r="I165" s="27"/>
      <c r="J165" s="68"/>
      <c r="K165" s="27"/>
      <c r="L165" s="97"/>
      <c r="M165" s="105"/>
      <c r="N165" s="138"/>
    </row>
    <row r="166" spans="1:14" ht="15.75">
      <c r="A166" s="136"/>
      <c r="B166" s="93" t="s">
        <v>116</v>
      </c>
      <c r="C166" s="59"/>
      <c r="D166" s="59"/>
      <c r="E166" s="59"/>
      <c r="F166" s="59"/>
      <c r="G166" s="27"/>
      <c r="H166" s="27"/>
      <c r="I166" s="27">
        <v>1</v>
      </c>
      <c r="J166" s="58">
        <v>28</v>
      </c>
      <c r="K166" s="27"/>
      <c r="L166" s="97"/>
      <c r="M166" s="105"/>
      <c r="N166" s="138"/>
    </row>
    <row r="167" spans="1:14" ht="15.75">
      <c r="A167" s="136"/>
      <c r="B167" s="93" t="s">
        <v>117</v>
      </c>
      <c r="C167" s="59"/>
      <c r="D167" s="59"/>
      <c r="E167" s="59"/>
      <c r="F167" s="59"/>
      <c r="G167" s="27"/>
      <c r="H167" s="27"/>
      <c r="I167" s="58">
        <v>96</v>
      </c>
      <c r="J167" s="58">
        <v>1598</v>
      </c>
      <c r="K167" s="27"/>
      <c r="L167" s="97"/>
      <c r="M167" s="105"/>
      <c r="N167" s="138"/>
    </row>
    <row r="168" spans="1:14" ht="15.75">
      <c r="A168" s="136"/>
      <c r="B168" s="103" t="s">
        <v>118</v>
      </c>
      <c r="C168" s="59"/>
      <c r="D168" s="93"/>
      <c r="E168" s="93"/>
      <c r="F168" s="93"/>
      <c r="G168" s="27"/>
      <c r="H168" s="27"/>
      <c r="I168" s="27"/>
      <c r="J168" s="58"/>
      <c r="K168" s="27"/>
      <c r="L168" s="97"/>
      <c r="M168" s="105"/>
      <c r="N168" s="138"/>
    </row>
    <row r="169" spans="1:14" ht="15.75">
      <c r="A169" s="136"/>
      <c r="B169" s="93" t="s">
        <v>119</v>
      </c>
      <c r="C169" s="59"/>
      <c r="D169" s="93"/>
      <c r="E169" s="93"/>
      <c r="F169" s="93"/>
      <c r="G169" s="27"/>
      <c r="H169" s="27"/>
      <c r="I169" s="27">
        <v>4</v>
      </c>
      <c r="J169" s="58">
        <v>300</v>
      </c>
      <c r="K169" s="27"/>
      <c r="L169" s="97"/>
      <c r="M169" s="105"/>
      <c r="N169" s="138"/>
    </row>
    <row r="170" spans="1:14" ht="15.75">
      <c r="A170" s="136"/>
      <c r="B170" s="93" t="s">
        <v>120</v>
      </c>
      <c r="C170" s="59"/>
      <c r="D170" s="106"/>
      <c r="E170" s="106"/>
      <c r="F170" s="107"/>
      <c r="G170" s="27"/>
      <c r="H170" s="27"/>
      <c r="I170" s="27"/>
      <c r="J170" s="68">
        <v>19.9</v>
      </c>
      <c r="K170" s="27"/>
      <c r="L170" s="97"/>
      <c r="M170" s="105"/>
      <c r="N170" s="138"/>
    </row>
    <row r="171" spans="1:14" ht="15.75">
      <c r="A171" s="136"/>
      <c r="B171" s="93" t="s">
        <v>197</v>
      </c>
      <c r="C171" s="59"/>
      <c r="D171" s="106"/>
      <c r="E171" s="106"/>
      <c r="F171" s="107"/>
      <c r="G171" s="27"/>
      <c r="H171" s="27"/>
      <c r="I171" s="27"/>
      <c r="J171" s="68">
        <v>6.25</v>
      </c>
      <c r="K171" s="27"/>
      <c r="L171" s="97"/>
      <c r="M171" s="105"/>
      <c r="N171" s="138"/>
    </row>
    <row r="172" spans="1:14" ht="15.75">
      <c r="A172" s="136"/>
      <c r="B172" s="93" t="s">
        <v>122</v>
      </c>
      <c r="C172" s="59"/>
      <c r="D172" s="108"/>
      <c r="E172" s="106"/>
      <c r="F172" s="107"/>
      <c r="G172" s="27"/>
      <c r="H172" s="27"/>
      <c r="I172" s="27"/>
      <c r="J172" s="109">
        <v>1.1066</v>
      </c>
      <c r="K172" s="27"/>
      <c r="L172" s="97"/>
      <c r="M172" s="105"/>
      <c r="N172" s="138"/>
    </row>
    <row r="173" spans="1:14" ht="15.75">
      <c r="A173" s="136"/>
      <c r="B173" s="93"/>
      <c r="C173" s="59"/>
      <c r="D173" s="108"/>
      <c r="E173" s="106"/>
      <c r="F173" s="107"/>
      <c r="G173" s="27"/>
      <c r="H173" s="27"/>
      <c r="I173" s="27"/>
      <c r="J173" s="109"/>
      <c r="K173" s="27"/>
      <c r="L173" s="97"/>
      <c r="M173" s="105"/>
      <c r="N173" s="138"/>
    </row>
    <row r="174" spans="1:14" ht="15.75">
      <c r="A174" s="119"/>
      <c r="B174" s="17" t="s">
        <v>123</v>
      </c>
      <c r="C174" s="20"/>
      <c r="D174" s="99"/>
      <c r="E174" s="20"/>
      <c r="F174" s="99"/>
      <c r="G174" s="20"/>
      <c r="H174" s="99" t="s">
        <v>164</v>
      </c>
      <c r="I174" s="20" t="s">
        <v>165</v>
      </c>
      <c r="J174" s="99" t="s">
        <v>181</v>
      </c>
      <c r="K174" s="20" t="s">
        <v>165</v>
      </c>
      <c r="L174" s="18"/>
      <c r="M174" s="112"/>
      <c r="N174" s="138"/>
    </row>
    <row r="175" spans="1:14" ht="15.75">
      <c r="A175" s="136"/>
      <c r="B175" s="59" t="s">
        <v>124</v>
      </c>
      <c r="C175" s="113"/>
      <c r="D175" s="59"/>
      <c r="E175" s="113"/>
      <c r="F175" s="27"/>
      <c r="G175" s="113"/>
      <c r="H175" s="59">
        <f>781+1337</f>
        <v>2118</v>
      </c>
      <c r="I175" s="113">
        <f>H175/H181</f>
        <v>0.8130518234165067</v>
      </c>
      <c r="J175" s="58">
        <f>30069+44477</f>
        <v>74546</v>
      </c>
      <c r="K175" s="113">
        <f>J175/J181</f>
        <v>0.7772657129749343</v>
      </c>
      <c r="L175" s="97"/>
      <c r="M175" s="105"/>
      <c r="N175" s="138"/>
    </row>
    <row r="176" spans="1:14" ht="15.75">
      <c r="A176" s="136"/>
      <c r="B176" s="59" t="s">
        <v>125</v>
      </c>
      <c r="C176" s="113"/>
      <c r="D176" s="59"/>
      <c r="E176" s="113"/>
      <c r="F176" s="27"/>
      <c r="G176" s="115"/>
      <c r="H176" s="59">
        <f>57+32</f>
        <v>89</v>
      </c>
      <c r="I176" s="113">
        <f>H176/H181</f>
        <v>0.03416506717850288</v>
      </c>
      <c r="J176" s="58">
        <f>2201+1214</f>
        <v>3415</v>
      </c>
      <c r="K176" s="113">
        <f>J176/J181</f>
        <v>0.03560704008007674</v>
      </c>
      <c r="L176" s="97"/>
      <c r="M176" s="105"/>
      <c r="N176" s="138"/>
    </row>
    <row r="177" spans="1:14" ht="15.75">
      <c r="A177" s="136"/>
      <c r="B177" s="59" t="s">
        <v>126</v>
      </c>
      <c r="C177" s="113"/>
      <c r="D177" s="59"/>
      <c r="E177" s="113"/>
      <c r="F177" s="27"/>
      <c r="G177" s="115"/>
      <c r="H177" s="59">
        <f>21+20</f>
        <v>41</v>
      </c>
      <c r="I177" s="113">
        <f>H177/H181</f>
        <v>0.015738963531669866</v>
      </c>
      <c r="J177" s="58">
        <f>985+659</f>
        <v>1644</v>
      </c>
      <c r="K177" s="113">
        <f>J177/J181</f>
        <v>0.01714142720106769</v>
      </c>
      <c r="L177" s="97"/>
      <c r="M177" s="105"/>
      <c r="N177" s="138"/>
    </row>
    <row r="178" spans="1:14" ht="15.75">
      <c r="A178" s="136"/>
      <c r="B178" s="59" t="s">
        <v>127</v>
      </c>
      <c r="C178" s="113"/>
      <c r="D178" s="59"/>
      <c r="E178" s="113"/>
      <c r="F178" s="27"/>
      <c r="G178" s="115"/>
      <c r="H178" s="59">
        <f>20+249+10+78</f>
        <v>357</v>
      </c>
      <c r="I178" s="113">
        <f>H178/H181</f>
        <v>0.13704414587332053</v>
      </c>
      <c r="J178" s="58">
        <f>865+12503+35+424+1904+1030-1000+542</f>
        <v>16303</v>
      </c>
      <c r="K178" s="113">
        <f>J178/J181</f>
        <v>0.16998581974392127</v>
      </c>
      <c r="L178" s="97"/>
      <c r="M178" s="105"/>
      <c r="N178" s="138"/>
    </row>
    <row r="179" spans="1:14" ht="15.75">
      <c r="A179" s="136"/>
      <c r="B179" s="30"/>
      <c r="C179" s="113"/>
      <c r="D179" s="59"/>
      <c r="E179" s="113"/>
      <c r="F179" s="27"/>
      <c r="G179" s="115"/>
      <c r="H179" s="59"/>
      <c r="I179" s="113"/>
      <c r="J179" s="58"/>
      <c r="K179" s="114"/>
      <c r="L179" s="97"/>
      <c r="M179" s="105"/>
      <c r="N179" s="138"/>
    </row>
    <row r="180" spans="1:14" ht="15.75">
      <c r="A180" s="136"/>
      <c r="B180" s="59"/>
      <c r="C180" s="116"/>
      <c r="D180" s="102"/>
      <c r="E180" s="116"/>
      <c r="F180" s="27"/>
      <c r="G180" s="116"/>
      <c r="H180" s="102"/>
      <c r="I180" s="116"/>
      <c r="J180" s="58"/>
      <c r="K180" s="113"/>
      <c r="L180" s="97"/>
      <c r="M180" s="105"/>
      <c r="N180" s="138"/>
    </row>
    <row r="181" spans="1:14" ht="15.75">
      <c r="A181" s="136"/>
      <c r="B181" s="27"/>
      <c r="C181" s="27"/>
      <c r="D181" s="27"/>
      <c r="E181" s="27"/>
      <c r="F181" s="27"/>
      <c r="G181" s="27"/>
      <c r="H181" s="57">
        <f>SUM(H175:H179)</f>
        <v>2605</v>
      </c>
      <c r="I181" s="114">
        <f>SUM(I175:I178)</f>
        <v>1</v>
      </c>
      <c r="J181" s="58">
        <f>SUM(J175:J180)</f>
        <v>95908</v>
      </c>
      <c r="K181" s="114">
        <f>SUM(K175:K180)</f>
        <v>1</v>
      </c>
      <c r="L181" s="97"/>
      <c r="M181" s="27"/>
      <c r="N181" s="138"/>
    </row>
    <row r="182" spans="1:14" ht="15.75">
      <c r="A182" s="136"/>
      <c r="B182" s="27"/>
      <c r="C182" s="27"/>
      <c r="D182" s="27"/>
      <c r="E182" s="27"/>
      <c r="F182" s="27"/>
      <c r="G182" s="27"/>
      <c r="H182" s="57"/>
      <c r="I182" s="114"/>
      <c r="J182" s="58"/>
      <c r="K182" s="114"/>
      <c r="L182" s="97"/>
      <c r="M182" s="27"/>
      <c r="N182" s="138"/>
    </row>
    <row r="183" spans="1:14" ht="15.75">
      <c r="A183" s="119"/>
      <c r="B183" s="10"/>
      <c r="C183" s="10"/>
      <c r="D183" s="10"/>
      <c r="E183" s="10"/>
      <c r="F183" s="10"/>
      <c r="G183" s="10"/>
      <c r="H183" s="60"/>
      <c r="I183" s="117"/>
      <c r="J183" s="118"/>
      <c r="K183" s="117"/>
      <c r="L183" s="79"/>
      <c r="M183" s="10"/>
      <c r="N183" s="138"/>
    </row>
    <row r="184" spans="1:14" ht="15.75">
      <c r="A184" s="119"/>
      <c r="B184" s="17" t="s">
        <v>129</v>
      </c>
      <c r="C184" s="120"/>
      <c r="D184" s="20" t="s">
        <v>144</v>
      </c>
      <c r="E184" s="18"/>
      <c r="F184" s="17" t="s">
        <v>154</v>
      </c>
      <c r="G184" s="121"/>
      <c r="H184" s="121"/>
      <c r="I184" s="121"/>
      <c r="J184" s="121"/>
      <c r="K184" s="15"/>
      <c r="L184" s="15"/>
      <c r="M184" s="15"/>
      <c r="N184" s="138"/>
    </row>
    <row r="185" spans="1:14" ht="15.75">
      <c r="A185" s="119"/>
      <c r="B185" s="15"/>
      <c r="C185" s="15"/>
      <c r="D185" s="10"/>
      <c r="E185" s="10"/>
      <c r="F185" s="10"/>
      <c r="G185" s="15"/>
      <c r="H185" s="15"/>
      <c r="I185" s="15"/>
      <c r="J185" s="15"/>
      <c r="K185" s="15"/>
      <c r="L185" s="15"/>
      <c r="M185" s="15"/>
      <c r="N185" s="138"/>
    </row>
    <row r="186" spans="1:14" ht="15.75">
      <c r="A186" s="119"/>
      <c r="B186" s="16" t="s">
        <v>130</v>
      </c>
      <c r="C186" s="124"/>
      <c r="D186" s="125" t="s">
        <v>145</v>
      </c>
      <c r="E186" s="16"/>
      <c r="F186" s="16" t="s">
        <v>155</v>
      </c>
      <c r="G186" s="124"/>
      <c r="H186" s="124"/>
      <c r="I186" s="124"/>
      <c r="J186" s="124"/>
      <c r="K186" s="15"/>
      <c r="L186" s="15"/>
      <c r="M186" s="15"/>
      <c r="N186" s="138"/>
    </row>
    <row r="187" spans="1:14" ht="15.75">
      <c r="A187" s="119"/>
      <c r="B187" s="16" t="s">
        <v>131</v>
      </c>
      <c r="C187" s="124"/>
      <c r="D187" s="125" t="s">
        <v>146</v>
      </c>
      <c r="E187" s="16"/>
      <c r="F187" s="16" t="s">
        <v>156</v>
      </c>
      <c r="G187" s="124"/>
      <c r="H187" s="124"/>
      <c r="I187" s="124"/>
      <c r="J187" s="124"/>
      <c r="K187" s="15"/>
      <c r="L187" s="15"/>
      <c r="M187" s="15"/>
      <c r="N187" s="138"/>
    </row>
    <row r="188" spans="1:14" ht="15">
      <c r="A188" s="119"/>
      <c r="B188" s="15"/>
      <c r="C188" s="15"/>
      <c r="D188" s="15"/>
      <c r="E188" s="15"/>
      <c r="F188" s="15"/>
      <c r="G188" s="15"/>
      <c r="H188" s="15"/>
      <c r="I188" s="15"/>
      <c r="J188" s="15"/>
      <c r="K188" s="15"/>
      <c r="L188" s="15"/>
      <c r="M188" s="15"/>
      <c r="N188" s="138"/>
    </row>
    <row r="189" spans="1:13" ht="15">
      <c r="A189" s="141"/>
      <c r="B189" s="141"/>
      <c r="C189" s="141"/>
      <c r="D189" s="141"/>
      <c r="E189" s="141"/>
      <c r="F189" s="141"/>
      <c r="G189" s="141"/>
      <c r="H189" s="141"/>
      <c r="I189" s="141"/>
      <c r="J189" s="141"/>
      <c r="K189" s="141"/>
      <c r="L189" s="141"/>
      <c r="M189" s="141"/>
    </row>
  </sheetData>
  <printOptions/>
  <pageMargins left="0.5" right="0.5" top="0.3" bottom="0.3423611111111111" header="0" footer="0"/>
  <pageSetup orientation="landscape" paperSize="9" scale="63"/>
  <headerFooter alignWithMargins="0">
    <oddFooter>&amp;LFFP1 INVESTOR REPORT QTR END AUGUST 2001</oddFooter>
  </headerFooter>
</worksheet>
</file>

<file path=xl/worksheets/sheet8.xml><?xml version="1.0" encoding="utf-8"?>
<worksheet xmlns="http://schemas.openxmlformats.org/spreadsheetml/2006/main" xmlns:r="http://schemas.openxmlformats.org/officeDocument/2006/relationships">
  <dimension ref="A1:N191"/>
  <sheetViews>
    <sheetView showOutlineSymbols="0" zoomScale="70" zoomScaleNormal="70" workbookViewId="0" topLeftCell="C1">
      <selection activeCell="M9" sqref="M9"/>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9.6640625" style="1" customWidth="1"/>
    <col min="12" max="12" width="13.6640625" style="1" customWidth="1"/>
    <col min="13" max="13" width="18.99609375" style="1" customWidth="1"/>
    <col min="14" max="16384" width="9.6640625" style="1" customWidth="1"/>
  </cols>
  <sheetData>
    <row r="1" spans="1:14" ht="20.25">
      <c r="A1" s="135"/>
      <c r="B1" s="3" t="s">
        <v>0</v>
      </c>
      <c r="C1" s="4"/>
      <c r="D1" s="5"/>
      <c r="E1" s="5"/>
      <c r="F1" s="5"/>
      <c r="G1" s="5"/>
      <c r="H1" s="5"/>
      <c r="I1" s="5"/>
      <c r="J1" s="5"/>
      <c r="K1" s="5"/>
      <c r="L1" s="5"/>
      <c r="M1" s="5"/>
      <c r="N1" s="138"/>
    </row>
    <row r="2" spans="1:14" ht="15.75">
      <c r="A2" s="119"/>
      <c r="B2" s="9"/>
      <c r="C2" s="9"/>
      <c r="D2" s="10"/>
      <c r="E2" s="10"/>
      <c r="F2" s="10"/>
      <c r="G2" s="10"/>
      <c r="H2" s="10"/>
      <c r="I2" s="10"/>
      <c r="J2" s="10"/>
      <c r="K2" s="10"/>
      <c r="L2" s="10"/>
      <c r="M2" s="10"/>
      <c r="N2" s="138"/>
    </row>
    <row r="3" spans="1:14" ht="15.75">
      <c r="A3" s="119"/>
      <c r="B3" s="12" t="s">
        <v>1</v>
      </c>
      <c r="C3" s="10"/>
      <c r="D3" s="10"/>
      <c r="E3" s="10"/>
      <c r="F3" s="10"/>
      <c r="G3" s="10"/>
      <c r="H3" s="10"/>
      <c r="I3" s="10"/>
      <c r="J3" s="10"/>
      <c r="K3" s="10"/>
      <c r="L3" s="10"/>
      <c r="M3" s="10"/>
      <c r="N3" s="138"/>
    </row>
    <row r="4" spans="1:14" ht="15.75">
      <c r="A4" s="119"/>
      <c r="B4" s="9"/>
      <c r="C4" s="9"/>
      <c r="D4" s="10"/>
      <c r="E4" s="10"/>
      <c r="F4" s="10"/>
      <c r="G4" s="10"/>
      <c r="H4" s="10"/>
      <c r="I4" s="10"/>
      <c r="J4" s="10"/>
      <c r="K4" s="10"/>
      <c r="L4" s="10"/>
      <c r="M4" s="10"/>
      <c r="N4" s="138"/>
    </row>
    <row r="5" spans="1:14" ht="15.75">
      <c r="A5" s="119"/>
      <c r="B5" s="13" t="s">
        <v>2</v>
      </c>
      <c r="C5" s="14"/>
      <c r="D5" s="10"/>
      <c r="E5" s="10"/>
      <c r="F5" s="10"/>
      <c r="G5" s="10"/>
      <c r="H5" s="10"/>
      <c r="I5" s="10"/>
      <c r="J5" s="10"/>
      <c r="K5" s="10"/>
      <c r="L5" s="10"/>
      <c r="M5" s="10"/>
      <c r="N5" s="138"/>
    </row>
    <row r="6" spans="1:14" ht="15.75">
      <c r="A6" s="119"/>
      <c r="B6" s="13" t="s">
        <v>3</v>
      </c>
      <c r="C6" s="14"/>
      <c r="D6" s="10"/>
      <c r="E6" s="10"/>
      <c r="F6" s="10"/>
      <c r="G6" s="10"/>
      <c r="H6" s="10"/>
      <c r="I6" s="10"/>
      <c r="J6" s="10"/>
      <c r="K6" s="10"/>
      <c r="L6" s="10"/>
      <c r="M6" s="10"/>
      <c r="N6" s="138"/>
    </row>
    <row r="7" spans="1:14" ht="15.75">
      <c r="A7" s="119"/>
      <c r="B7" s="13" t="s">
        <v>4</v>
      </c>
      <c r="C7" s="14"/>
      <c r="D7" s="10"/>
      <c r="E7" s="10"/>
      <c r="F7" s="10"/>
      <c r="G7" s="10"/>
      <c r="H7" s="10"/>
      <c r="I7" s="10"/>
      <c r="J7" s="10"/>
      <c r="K7" s="10"/>
      <c r="L7" s="10"/>
      <c r="M7" s="10"/>
      <c r="N7" s="138"/>
    </row>
    <row r="8" spans="1:14" ht="15.75">
      <c r="A8" s="119"/>
      <c r="B8" s="15"/>
      <c r="C8" s="14"/>
      <c r="D8" s="10"/>
      <c r="E8" s="10"/>
      <c r="F8" s="10"/>
      <c r="G8" s="10"/>
      <c r="H8" s="10"/>
      <c r="I8" s="10"/>
      <c r="J8" s="10"/>
      <c r="K8" s="10"/>
      <c r="L8" s="10"/>
      <c r="M8" s="10"/>
      <c r="N8" s="138"/>
    </row>
    <row r="9" spans="1:14" ht="15.75">
      <c r="A9" s="119"/>
      <c r="B9" s="14"/>
      <c r="C9" s="14"/>
      <c r="D9" s="16"/>
      <c r="E9" s="16"/>
      <c r="F9" s="10"/>
      <c r="G9" s="10"/>
      <c r="H9" s="10"/>
      <c r="I9" s="10"/>
      <c r="J9" s="10"/>
      <c r="K9" s="10"/>
      <c r="L9" s="10"/>
      <c r="M9" s="10"/>
      <c r="N9" s="138"/>
    </row>
    <row r="10" spans="1:14" ht="15.75">
      <c r="A10" s="119"/>
      <c r="B10" s="17" t="s">
        <v>5</v>
      </c>
      <c r="C10" s="16"/>
      <c r="D10" s="10"/>
      <c r="E10" s="10"/>
      <c r="F10" s="10"/>
      <c r="G10" s="10"/>
      <c r="H10" s="10"/>
      <c r="I10" s="10"/>
      <c r="J10" s="10"/>
      <c r="K10" s="10"/>
      <c r="L10" s="10"/>
      <c r="M10" s="10"/>
      <c r="N10" s="138"/>
    </row>
    <row r="11" spans="1:14" ht="15.75">
      <c r="A11" s="119"/>
      <c r="B11" s="16"/>
      <c r="C11" s="16"/>
      <c r="D11" s="10"/>
      <c r="E11" s="10"/>
      <c r="F11" s="10"/>
      <c r="G11" s="10"/>
      <c r="H11" s="10"/>
      <c r="I11" s="10"/>
      <c r="J11" s="10"/>
      <c r="K11" s="10"/>
      <c r="L11" s="10"/>
      <c r="M11" s="10"/>
      <c r="N11" s="138"/>
    </row>
    <row r="12" spans="1:14" ht="15.75">
      <c r="A12" s="135"/>
      <c r="B12" s="5"/>
      <c r="C12" s="5"/>
      <c r="D12" s="5"/>
      <c r="E12" s="5"/>
      <c r="F12" s="5"/>
      <c r="G12" s="5"/>
      <c r="H12" s="5"/>
      <c r="I12" s="5"/>
      <c r="J12" s="5"/>
      <c r="K12" s="5"/>
      <c r="L12" s="5"/>
      <c r="M12" s="5"/>
      <c r="N12" s="138"/>
    </row>
    <row r="13" spans="1:14" ht="15.75">
      <c r="A13" s="119"/>
      <c r="B13" s="17" t="s">
        <v>6</v>
      </c>
      <c r="C13" s="17"/>
      <c r="D13" s="18"/>
      <c r="E13" s="18"/>
      <c r="F13" s="18"/>
      <c r="G13" s="18"/>
      <c r="H13" s="18"/>
      <c r="I13" s="18"/>
      <c r="J13" s="18"/>
      <c r="K13" s="18"/>
      <c r="L13" s="19" t="s">
        <v>183</v>
      </c>
      <c r="M13" s="10"/>
      <c r="N13" s="138"/>
    </row>
    <row r="14" spans="1:14" ht="15.75">
      <c r="A14" s="8"/>
      <c r="B14" s="17" t="s">
        <v>206</v>
      </c>
      <c r="C14" s="17"/>
      <c r="D14" s="18"/>
      <c r="E14" s="18"/>
      <c r="F14" s="18"/>
      <c r="G14" s="18"/>
      <c r="H14" s="20" t="s">
        <v>209</v>
      </c>
      <c r="I14" s="142">
        <v>0.59</v>
      </c>
      <c r="J14" s="20" t="s">
        <v>210</v>
      </c>
      <c r="K14" s="142">
        <v>0.41</v>
      </c>
      <c r="L14" s="19"/>
      <c r="M14" s="18"/>
      <c r="N14" s="138"/>
    </row>
    <row r="15" spans="1:14" ht="15.75">
      <c r="A15" s="8"/>
      <c r="B15" s="17" t="s">
        <v>207</v>
      </c>
      <c r="C15" s="17"/>
      <c r="D15" s="18"/>
      <c r="E15" s="18"/>
      <c r="F15" s="18"/>
      <c r="G15" s="18"/>
      <c r="H15" s="20" t="s">
        <v>209</v>
      </c>
      <c r="I15" s="142">
        <v>0.48</v>
      </c>
      <c r="J15" s="20" t="s">
        <v>210</v>
      </c>
      <c r="K15" s="142">
        <v>0.52</v>
      </c>
      <c r="L15" s="19"/>
      <c r="M15" s="18"/>
      <c r="N15" s="138"/>
    </row>
    <row r="16" spans="1:14" ht="15.75">
      <c r="A16" s="119"/>
      <c r="B16" s="17" t="s">
        <v>7</v>
      </c>
      <c r="C16" s="17"/>
      <c r="D16" s="18"/>
      <c r="E16" s="18"/>
      <c r="F16" s="18"/>
      <c r="G16" s="18"/>
      <c r="H16" s="18"/>
      <c r="I16" s="18"/>
      <c r="J16" s="18"/>
      <c r="K16" s="18"/>
      <c r="L16" s="20" t="s">
        <v>184</v>
      </c>
      <c r="M16" s="10"/>
      <c r="N16" s="138"/>
    </row>
    <row r="17" spans="1:14" ht="15.75">
      <c r="A17" s="119"/>
      <c r="B17" s="17" t="s">
        <v>8</v>
      </c>
      <c r="C17" s="17"/>
      <c r="D17" s="18"/>
      <c r="E17" s="18"/>
      <c r="F17" s="18"/>
      <c r="G17" s="18"/>
      <c r="H17" s="18"/>
      <c r="I17" s="18"/>
      <c r="J17" s="18"/>
      <c r="K17" s="18"/>
      <c r="L17" s="21">
        <v>36969</v>
      </c>
      <c r="M17" s="10"/>
      <c r="N17" s="138"/>
    </row>
    <row r="18" spans="1:14" ht="15.75">
      <c r="A18" s="119"/>
      <c r="B18" s="10"/>
      <c r="C18" s="10"/>
      <c r="D18" s="10"/>
      <c r="E18" s="10"/>
      <c r="F18" s="10"/>
      <c r="G18" s="10"/>
      <c r="H18" s="10"/>
      <c r="I18" s="10"/>
      <c r="J18" s="10"/>
      <c r="K18" s="10"/>
      <c r="L18" s="22"/>
      <c r="M18" s="10"/>
      <c r="N18" s="138"/>
    </row>
    <row r="19" spans="1:14" ht="15.75">
      <c r="A19" s="119"/>
      <c r="B19" s="10" t="s">
        <v>9</v>
      </c>
      <c r="C19" s="10"/>
      <c r="D19" s="10"/>
      <c r="E19" s="10"/>
      <c r="F19" s="10"/>
      <c r="G19" s="10"/>
      <c r="H19" s="10"/>
      <c r="I19" s="10"/>
      <c r="J19" s="22" t="s">
        <v>166</v>
      </c>
      <c r="K19" s="10"/>
      <c r="L19" s="15"/>
      <c r="M19" s="10"/>
      <c r="N19" s="138"/>
    </row>
    <row r="20" spans="1:14" ht="15.75">
      <c r="A20" s="119"/>
      <c r="B20" s="10"/>
      <c r="C20" s="10"/>
      <c r="D20" s="10"/>
      <c r="E20" s="10"/>
      <c r="F20" s="10"/>
      <c r="G20" s="10"/>
      <c r="H20" s="10"/>
      <c r="I20" s="10"/>
      <c r="J20" s="10"/>
      <c r="K20" s="10"/>
      <c r="L20" s="23"/>
      <c r="M20" s="10"/>
      <c r="N20" s="138"/>
    </row>
    <row r="21" spans="1:14" ht="15.75">
      <c r="A21" s="119"/>
      <c r="B21" s="10"/>
      <c r="C21" s="24" t="s">
        <v>202</v>
      </c>
      <c r="D21" s="25" t="s">
        <v>135</v>
      </c>
      <c r="E21" s="25"/>
      <c r="F21" s="25" t="s">
        <v>147</v>
      </c>
      <c r="G21" s="25"/>
      <c r="H21" s="25" t="s">
        <v>157</v>
      </c>
      <c r="I21" s="25"/>
      <c r="J21" s="25" t="s">
        <v>167</v>
      </c>
      <c r="K21" s="15"/>
      <c r="L21" s="15"/>
      <c r="M21" s="10"/>
      <c r="N21" s="138"/>
    </row>
    <row r="22" spans="1:14" ht="15.75">
      <c r="A22" s="136"/>
      <c r="B22" s="27" t="s">
        <v>10</v>
      </c>
      <c r="C22" s="28" t="s">
        <v>203</v>
      </c>
      <c r="D22" s="29" t="s">
        <v>136</v>
      </c>
      <c r="E22" s="29"/>
      <c r="F22" s="29" t="s">
        <v>136</v>
      </c>
      <c r="G22" s="29"/>
      <c r="H22" s="29" t="s">
        <v>158</v>
      </c>
      <c r="I22" s="29"/>
      <c r="J22" s="29" t="s">
        <v>168</v>
      </c>
      <c r="K22" s="30"/>
      <c r="L22" s="30"/>
      <c r="M22" s="27"/>
      <c r="N22" s="138"/>
    </row>
    <row r="23" spans="1:14" ht="15.75">
      <c r="A23" s="136"/>
      <c r="B23" s="31" t="s">
        <v>11</v>
      </c>
      <c r="C23" s="31"/>
      <c r="D23" s="32" t="s">
        <v>136</v>
      </c>
      <c r="E23" s="32"/>
      <c r="F23" s="32" t="s">
        <v>136</v>
      </c>
      <c r="G23" s="32"/>
      <c r="H23" s="32" t="s">
        <v>158</v>
      </c>
      <c r="I23" s="32"/>
      <c r="J23" s="32" t="s">
        <v>168</v>
      </c>
      <c r="K23" s="130"/>
      <c r="L23" s="130"/>
      <c r="M23" s="27"/>
      <c r="N23" s="138"/>
    </row>
    <row r="24" spans="1:14" ht="15.75">
      <c r="A24" s="136"/>
      <c r="B24" s="27" t="s">
        <v>12</v>
      </c>
      <c r="C24" s="27"/>
      <c r="D24" s="33" t="s">
        <v>137</v>
      </c>
      <c r="E24" s="29"/>
      <c r="F24" s="33" t="s">
        <v>148</v>
      </c>
      <c r="G24" s="29"/>
      <c r="H24" s="33" t="s">
        <v>159</v>
      </c>
      <c r="I24" s="29"/>
      <c r="J24" s="33" t="s">
        <v>169</v>
      </c>
      <c r="K24" s="30"/>
      <c r="L24" s="30"/>
      <c r="M24" s="27"/>
      <c r="N24" s="138"/>
    </row>
    <row r="25" spans="1:14" ht="15.75">
      <c r="A25" s="136"/>
      <c r="B25" s="27"/>
      <c r="C25" s="27"/>
      <c r="D25" s="27"/>
      <c r="E25" s="29"/>
      <c r="F25" s="29"/>
      <c r="G25" s="29"/>
      <c r="H25" s="29"/>
      <c r="I25" s="29"/>
      <c r="J25" s="29"/>
      <c r="K25" s="30"/>
      <c r="L25" s="30"/>
      <c r="M25" s="27"/>
      <c r="N25" s="138"/>
    </row>
    <row r="26" spans="1:14" ht="15.75">
      <c r="A26" s="136"/>
      <c r="B26" s="27" t="s">
        <v>13</v>
      </c>
      <c r="C26" s="27"/>
      <c r="D26" s="34">
        <v>67000</v>
      </c>
      <c r="E26" s="35"/>
      <c r="F26" s="34">
        <v>128780</v>
      </c>
      <c r="G26" s="34"/>
      <c r="H26" s="34">
        <v>16920</v>
      </c>
      <c r="I26" s="34"/>
      <c r="J26" s="34">
        <v>11290</v>
      </c>
      <c r="K26" s="36"/>
      <c r="L26" s="34">
        <f>J26+H26+F26+D26</f>
        <v>223990</v>
      </c>
      <c r="M26" s="37"/>
      <c r="N26" s="138"/>
    </row>
    <row r="27" spans="1:14" ht="15.75">
      <c r="A27" s="136"/>
      <c r="B27" s="27" t="s">
        <v>14</v>
      </c>
      <c r="C27" s="93">
        <v>0.569441</v>
      </c>
      <c r="D27" s="34">
        <v>0</v>
      </c>
      <c r="E27" s="35"/>
      <c r="F27" s="34">
        <f>120780*C27</f>
        <v>68777.08398</v>
      </c>
      <c r="G27" s="34"/>
      <c r="H27" s="34">
        <f>16920*C30</f>
        <v>13889.154240000002</v>
      </c>
      <c r="I27" s="34"/>
      <c r="J27" s="34">
        <f>11290*C33</f>
        <v>9269.4287</v>
      </c>
      <c r="K27" s="36"/>
      <c r="L27" s="34">
        <f>J27+H27+F27+D27</f>
        <v>91935.66691999999</v>
      </c>
      <c r="M27" s="37"/>
      <c r="N27" s="138"/>
    </row>
    <row r="28" spans="1:14" ht="15.75">
      <c r="A28" s="137"/>
      <c r="B28" s="31" t="s">
        <v>15</v>
      </c>
      <c r="C28" s="93">
        <v>0.535345</v>
      </c>
      <c r="D28" s="40">
        <v>0</v>
      </c>
      <c r="E28" s="41"/>
      <c r="F28" s="40">
        <f>120780*C28</f>
        <v>64658.969099999995</v>
      </c>
      <c r="G28" s="40"/>
      <c r="H28" s="40">
        <f>16920*C31</f>
        <v>13057.14708</v>
      </c>
      <c r="I28" s="40"/>
      <c r="J28" s="40">
        <f>11290*C34</f>
        <v>8714.762289999999</v>
      </c>
      <c r="K28" s="42"/>
      <c r="L28" s="40">
        <f>J28+H28+F28+D28</f>
        <v>86430.87847</v>
      </c>
      <c r="M28" s="31"/>
      <c r="N28" s="138"/>
    </row>
    <row r="29" spans="1:14" ht="15.75">
      <c r="A29" s="136"/>
      <c r="B29" s="27" t="s">
        <v>16</v>
      </c>
      <c r="C29" s="27"/>
      <c r="D29" s="33" t="s">
        <v>138</v>
      </c>
      <c r="E29" s="27"/>
      <c r="F29" s="33" t="s">
        <v>149</v>
      </c>
      <c r="G29" s="33"/>
      <c r="H29" s="33" t="s">
        <v>160</v>
      </c>
      <c r="I29" s="33"/>
      <c r="J29" s="33" t="s">
        <v>170</v>
      </c>
      <c r="K29" s="30"/>
      <c r="L29" s="30"/>
      <c r="M29" s="27"/>
      <c r="N29" s="138"/>
    </row>
    <row r="30" spans="1:14" ht="15.75">
      <c r="A30" s="136"/>
      <c r="B30" s="27" t="s">
        <v>17</v>
      </c>
      <c r="C30" s="139">
        <v>0.820872</v>
      </c>
      <c r="D30" s="33" t="s">
        <v>139</v>
      </c>
      <c r="E30" s="27"/>
      <c r="F30" s="43">
        <f>(6.03531+0.13)/100</f>
        <v>0.061653099999999995</v>
      </c>
      <c r="G30" s="44"/>
      <c r="H30" s="43">
        <f>(6.03531+0.35)/100</f>
        <v>0.0638531</v>
      </c>
      <c r="I30" s="44"/>
      <c r="J30" s="43">
        <f>(6.03531+0.69)/100</f>
        <v>0.06725310000000001</v>
      </c>
      <c r="K30" s="30"/>
      <c r="L30" s="44">
        <f>SUMPRODUCT(D30:J30,D27:J27)/L27</f>
        <v>0.06255008528123757</v>
      </c>
      <c r="M30" s="27"/>
      <c r="N30" s="138"/>
    </row>
    <row r="31" spans="1:14" ht="15.75">
      <c r="A31" s="136"/>
      <c r="B31" s="27" t="s">
        <v>18</v>
      </c>
      <c r="C31" s="139">
        <v>0.771699</v>
      </c>
      <c r="D31" s="33" t="s">
        <v>139</v>
      </c>
      <c r="E31" s="27"/>
      <c r="F31" s="43">
        <f>(6.24625+0.13)/100</f>
        <v>0.0637625</v>
      </c>
      <c r="G31" s="44"/>
      <c r="H31" s="43">
        <f>(6.24625+0.35)/100</f>
        <v>0.0659625</v>
      </c>
      <c r="I31" s="44"/>
      <c r="J31" s="43">
        <f>(6.24625+0.69)/100</f>
        <v>0.0693625</v>
      </c>
      <c r="K31" s="30"/>
      <c r="L31" s="30"/>
      <c r="M31" s="27"/>
      <c r="N31" s="138"/>
    </row>
    <row r="32" spans="1:14" ht="15.75">
      <c r="A32" s="136"/>
      <c r="B32" s="27" t="s">
        <v>19</v>
      </c>
      <c r="C32" s="140"/>
      <c r="D32" s="33" t="s">
        <v>140</v>
      </c>
      <c r="E32" s="27"/>
      <c r="F32" s="33" t="s">
        <v>150</v>
      </c>
      <c r="G32" s="33"/>
      <c r="H32" s="33" t="s">
        <v>150</v>
      </c>
      <c r="I32" s="33"/>
      <c r="J32" s="33" t="s">
        <v>150</v>
      </c>
      <c r="K32" s="30"/>
      <c r="L32" s="30"/>
      <c r="M32" s="27"/>
      <c r="N32" s="138"/>
    </row>
    <row r="33" spans="1:14" ht="15.75">
      <c r="A33" s="136"/>
      <c r="B33" s="27" t="s">
        <v>20</v>
      </c>
      <c r="C33" s="139">
        <v>0.82103</v>
      </c>
      <c r="D33" s="33" t="s">
        <v>141</v>
      </c>
      <c r="E33" s="27"/>
      <c r="F33" s="33" t="s">
        <v>151</v>
      </c>
      <c r="G33" s="33"/>
      <c r="H33" s="33" t="s">
        <v>151</v>
      </c>
      <c r="I33" s="33"/>
      <c r="J33" s="33" t="s">
        <v>151</v>
      </c>
      <c r="K33" s="30"/>
      <c r="L33" s="30"/>
      <c r="M33" s="27"/>
      <c r="N33" s="138"/>
    </row>
    <row r="34" spans="1:14" ht="15.75">
      <c r="A34" s="136"/>
      <c r="B34" s="27" t="s">
        <v>21</v>
      </c>
      <c r="C34" s="139">
        <v>0.771901</v>
      </c>
      <c r="D34" s="33" t="s">
        <v>142</v>
      </c>
      <c r="E34" s="27"/>
      <c r="F34" s="33" t="s">
        <v>152</v>
      </c>
      <c r="G34" s="33"/>
      <c r="H34" s="33" t="s">
        <v>161</v>
      </c>
      <c r="I34" s="33"/>
      <c r="J34" s="33" t="s">
        <v>171</v>
      </c>
      <c r="K34" s="30"/>
      <c r="L34" s="30"/>
      <c r="M34" s="27"/>
      <c r="N34" s="138"/>
    </row>
    <row r="35" spans="1:14" ht="15.75">
      <c r="A35" s="136"/>
      <c r="B35" s="27"/>
      <c r="C35" s="27"/>
      <c r="D35" s="45"/>
      <c r="E35" s="45"/>
      <c r="F35" s="27"/>
      <c r="G35" s="45"/>
      <c r="H35" s="45"/>
      <c r="I35" s="45"/>
      <c r="J35" s="45"/>
      <c r="K35" s="45"/>
      <c r="L35" s="45"/>
      <c r="M35" s="27"/>
      <c r="N35" s="138"/>
    </row>
    <row r="36" spans="1:14" ht="15.75">
      <c r="A36" s="136"/>
      <c r="B36" s="27" t="s">
        <v>22</v>
      </c>
      <c r="C36" s="27"/>
      <c r="D36" s="27"/>
      <c r="E36" s="27"/>
      <c r="F36" s="27"/>
      <c r="G36" s="27"/>
      <c r="H36" s="27"/>
      <c r="I36" s="27"/>
      <c r="J36" s="27"/>
      <c r="K36" s="27"/>
      <c r="L36" s="44">
        <f>(H26+J26)/(D26+F26)</f>
        <v>0.14409030544488713</v>
      </c>
      <c r="M36" s="27"/>
      <c r="N36" s="138"/>
    </row>
    <row r="37" spans="1:14" ht="15.75">
      <c r="A37" s="136"/>
      <c r="B37" s="27" t="s">
        <v>23</v>
      </c>
      <c r="C37" s="27"/>
      <c r="D37" s="27"/>
      <c r="E37" s="27"/>
      <c r="F37" s="27"/>
      <c r="G37" s="27"/>
      <c r="H37" s="27"/>
      <c r="I37" s="27"/>
      <c r="J37" s="27"/>
      <c r="K37" s="27"/>
      <c r="L37" s="44">
        <f>(H28+J28)/(D28+F28)</f>
        <v>0.33671909207720424</v>
      </c>
      <c r="M37" s="27"/>
      <c r="N37" s="138"/>
    </row>
    <row r="38" spans="1:14" ht="15.75">
      <c r="A38" s="136"/>
      <c r="B38" s="27" t="s">
        <v>24</v>
      </c>
      <c r="C38" s="27"/>
      <c r="D38" s="27"/>
      <c r="E38" s="27"/>
      <c r="F38" s="27"/>
      <c r="G38" s="27"/>
      <c r="H38" s="27"/>
      <c r="I38" s="27"/>
      <c r="J38" s="33" t="s">
        <v>172</v>
      </c>
      <c r="K38" s="33" t="s">
        <v>182</v>
      </c>
      <c r="L38" s="34">
        <v>83785000</v>
      </c>
      <c r="M38" s="27"/>
      <c r="N38" s="138"/>
    </row>
    <row r="39" spans="1:14" ht="15.75">
      <c r="A39" s="136"/>
      <c r="B39" s="27"/>
      <c r="C39" s="27"/>
      <c r="D39" s="27"/>
      <c r="E39" s="27"/>
      <c r="F39" s="27"/>
      <c r="G39" s="27"/>
      <c r="H39" s="27"/>
      <c r="I39" s="27"/>
      <c r="J39" s="27"/>
      <c r="K39" s="27"/>
      <c r="L39" s="46"/>
      <c r="M39" s="27"/>
      <c r="N39" s="138"/>
    </row>
    <row r="40" spans="1:14" ht="15.75">
      <c r="A40" s="136"/>
      <c r="B40" s="27" t="s">
        <v>25</v>
      </c>
      <c r="C40" s="27"/>
      <c r="D40" s="27"/>
      <c r="E40" s="27"/>
      <c r="F40" s="27"/>
      <c r="G40" s="27"/>
      <c r="H40" s="27"/>
      <c r="I40" s="27"/>
      <c r="J40" s="33"/>
      <c r="K40" s="33"/>
      <c r="L40" s="33" t="s">
        <v>185</v>
      </c>
      <c r="M40" s="27"/>
      <c r="N40" s="138"/>
    </row>
    <row r="41" spans="1:14" ht="15.75">
      <c r="A41" s="136"/>
      <c r="B41" s="31" t="s">
        <v>26</v>
      </c>
      <c r="C41" s="31"/>
      <c r="D41" s="31"/>
      <c r="E41" s="31"/>
      <c r="F41" s="31"/>
      <c r="G41" s="31"/>
      <c r="H41" s="31"/>
      <c r="I41" s="31"/>
      <c r="J41" s="47"/>
      <c r="K41" s="47"/>
      <c r="L41" s="48">
        <v>36950</v>
      </c>
      <c r="M41" s="31"/>
      <c r="N41" s="138"/>
    </row>
    <row r="42" spans="1:14" ht="15.75">
      <c r="A42" s="136"/>
      <c r="B42" s="27" t="s">
        <v>27</v>
      </c>
      <c r="C42" s="27"/>
      <c r="D42" s="27"/>
      <c r="E42" s="27"/>
      <c r="F42" s="27"/>
      <c r="G42" s="27"/>
      <c r="H42" s="30"/>
      <c r="I42" s="27">
        <f>L42-J42+1</f>
        <v>91</v>
      </c>
      <c r="J42" s="49">
        <v>36769</v>
      </c>
      <c r="K42" s="50"/>
      <c r="L42" s="49">
        <v>36859</v>
      </c>
      <c r="M42" s="27"/>
      <c r="N42" s="138"/>
    </row>
    <row r="43" spans="1:14" ht="15.75">
      <c r="A43" s="136"/>
      <c r="B43" s="27" t="s">
        <v>28</v>
      </c>
      <c r="C43" s="27"/>
      <c r="D43" s="27"/>
      <c r="E43" s="27"/>
      <c r="F43" s="27"/>
      <c r="G43" s="27"/>
      <c r="H43" s="30"/>
      <c r="I43" s="27">
        <f>L43-J43+1</f>
        <v>90</v>
      </c>
      <c r="J43" s="49">
        <v>36860</v>
      </c>
      <c r="K43" s="50"/>
      <c r="L43" s="49">
        <v>36949</v>
      </c>
      <c r="M43" s="27"/>
      <c r="N43" s="138"/>
    </row>
    <row r="44" spans="1:14" ht="15.75">
      <c r="A44" s="136"/>
      <c r="B44" s="27" t="s">
        <v>29</v>
      </c>
      <c r="C44" s="27"/>
      <c r="D44" s="27"/>
      <c r="E44" s="27"/>
      <c r="F44" s="27"/>
      <c r="G44" s="27"/>
      <c r="H44" s="27"/>
      <c r="I44" s="27"/>
      <c r="J44" s="49"/>
      <c r="K44" s="50"/>
      <c r="L44" s="49" t="s">
        <v>186</v>
      </c>
      <c r="M44" s="27"/>
      <c r="N44" s="138"/>
    </row>
    <row r="45" spans="1:14" ht="15.75">
      <c r="A45" s="136"/>
      <c r="B45" s="27" t="s">
        <v>30</v>
      </c>
      <c r="C45" s="27"/>
      <c r="D45" s="27"/>
      <c r="E45" s="27"/>
      <c r="F45" s="27"/>
      <c r="G45" s="27"/>
      <c r="H45" s="27"/>
      <c r="I45" s="27"/>
      <c r="J45" s="49"/>
      <c r="K45" s="50"/>
      <c r="L45" s="49">
        <v>36941</v>
      </c>
      <c r="M45" s="27"/>
      <c r="N45" s="138"/>
    </row>
    <row r="46" spans="1:14" ht="15.75">
      <c r="A46" s="136"/>
      <c r="B46" s="27"/>
      <c r="C46" s="27"/>
      <c r="D46" s="27"/>
      <c r="E46" s="27"/>
      <c r="F46" s="27"/>
      <c r="G46" s="27"/>
      <c r="H46" s="27"/>
      <c r="I46" s="27"/>
      <c r="J46" s="27"/>
      <c r="K46" s="27"/>
      <c r="L46" s="51"/>
      <c r="M46" s="27"/>
      <c r="N46" s="138"/>
    </row>
    <row r="47" spans="1:14" ht="15.75">
      <c r="A47" s="135"/>
      <c r="B47" s="5"/>
      <c r="C47" s="5"/>
      <c r="D47" s="5"/>
      <c r="E47" s="5"/>
      <c r="F47" s="5"/>
      <c r="G47" s="5"/>
      <c r="H47" s="5"/>
      <c r="I47" s="5"/>
      <c r="J47" s="5"/>
      <c r="K47" s="5"/>
      <c r="L47" s="52"/>
      <c r="M47" s="5"/>
      <c r="N47" s="138"/>
    </row>
    <row r="48" spans="1:14" ht="15.75">
      <c r="A48" s="119"/>
      <c r="B48" s="63" t="s">
        <v>31</v>
      </c>
      <c r="C48" s="16"/>
      <c r="D48" s="10"/>
      <c r="E48" s="10"/>
      <c r="F48" s="10"/>
      <c r="G48" s="10"/>
      <c r="H48" s="10"/>
      <c r="I48" s="10"/>
      <c r="J48" s="10"/>
      <c r="K48" s="10"/>
      <c r="L48" s="53"/>
      <c r="M48" s="10"/>
      <c r="N48" s="138"/>
    </row>
    <row r="49" spans="1:14" ht="15.75">
      <c r="A49" s="119"/>
      <c r="B49" s="16"/>
      <c r="C49" s="16"/>
      <c r="D49" s="10"/>
      <c r="E49" s="10"/>
      <c r="F49" s="10"/>
      <c r="G49" s="10"/>
      <c r="H49" s="10"/>
      <c r="I49" s="10"/>
      <c r="J49" s="10"/>
      <c r="K49" s="10"/>
      <c r="L49" s="53"/>
      <c r="M49" s="10"/>
      <c r="N49" s="138"/>
    </row>
    <row r="50" spans="1:14" ht="63">
      <c r="A50" s="119"/>
      <c r="B50" s="54" t="s">
        <v>32</v>
      </c>
      <c r="C50" s="55" t="s">
        <v>134</v>
      </c>
      <c r="D50" s="55" t="s">
        <v>143</v>
      </c>
      <c r="E50" s="55"/>
      <c r="F50" s="55" t="s">
        <v>153</v>
      </c>
      <c r="G50" s="55"/>
      <c r="H50" s="55" t="s">
        <v>162</v>
      </c>
      <c r="I50" s="55"/>
      <c r="J50" s="55" t="s">
        <v>173</v>
      </c>
      <c r="K50" s="55"/>
      <c r="L50" s="56" t="s">
        <v>187</v>
      </c>
      <c r="M50" s="10"/>
      <c r="N50" s="138"/>
    </row>
    <row r="51" spans="1:14" ht="15.75">
      <c r="A51" s="136"/>
      <c r="B51" s="27" t="s">
        <v>33</v>
      </c>
      <c r="C51" s="57">
        <v>220604</v>
      </c>
      <c r="D51" s="58">
        <v>95366</v>
      </c>
      <c r="E51" s="57"/>
      <c r="F51" s="57">
        <f>5436+126+148</f>
        <v>5710</v>
      </c>
      <c r="G51" s="57"/>
      <c r="H51" s="57">
        <v>126</v>
      </c>
      <c r="I51" s="57"/>
      <c r="J51" s="57">
        <v>0</v>
      </c>
      <c r="K51" s="57"/>
      <c r="L51" s="58">
        <f>D51-F51+H51-J51</f>
        <v>89782</v>
      </c>
      <c r="M51" s="27"/>
      <c r="N51" s="138"/>
    </row>
    <row r="52" spans="1:14" ht="15.75">
      <c r="A52" s="136"/>
      <c r="B52" s="27" t="s">
        <v>34</v>
      </c>
      <c r="C52" s="57">
        <v>5129</v>
      </c>
      <c r="D52" s="58">
        <v>542</v>
      </c>
      <c r="E52" s="57"/>
      <c r="F52" s="57">
        <v>41</v>
      </c>
      <c r="G52" s="57"/>
      <c r="H52" s="57">
        <v>0</v>
      </c>
      <c r="I52" s="57"/>
      <c r="J52" s="57">
        <v>0</v>
      </c>
      <c r="K52" s="57"/>
      <c r="L52" s="58">
        <f>D52-F52</f>
        <v>501</v>
      </c>
      <c r="M52" s="27"/>
      <c r="N52" s="138"/>
    </row>
    <row r="53" spans="1:14" ht="15.75">
      <c r="A53" s="136"/>
      <c r="B53" s="27"/>
      <c r="C53" s="57"/>
      <c r="D53" s="58"/>
      <c r="E53" s="57"/>
      <c r="F53" s="57"/>
      <c r="G53" s="57"/>
      <c r="H53" s="57"/>
      <c r="I53" s="57"/>
      <c r="J53" s="57"/>
      <c r="K53" s="57"/>
      <c r="L53" s="58"/>
      <c r="M53" s="27"/>
      <c r="N53" s="138"/>
    </row>
    <row r="54" spans="1:14" ht="15.75">
      <c r="A54" s="136"/>
      <c r="B54" s="27" t="s">
        <v>35</v>
      </c>
      <c r="C54" s="57">
        <f>SUM(C51:C53)</f>
        <v>225733</v>
      </c>
      <c r="D54" s="59">
        <f>D52+D51</f>
        <v>95908</v>
      </c>
      <c r="E54" s="57"/>
      <c r="F54" s="57">
        <f>SUM(F51:F53)</f>
        <v>5751</v>
      </c>
      <c r="G54" s="57"/>
      <c r="H54" s="57">
        <f>SUM(H51:H53)</f>
        <v>126</v>
      </c>
      <c r="I54" s="57"/>
      <c r="J54" s="57">
        <f>SUM(J51:J53)</f>
        <v>0</v>
      </c>
      <c r="K54" s="57"/>
      <c r="L54" s="59">
        <f>SUM(L51:L53)</f>
        <v>90283</v>
      </c>
      <c r="M54" s="27"/>
      <c r="N54" s="138"/>
    </row>
    <row r="55" spans="1:14" ht="15.75">
      <c r="A55" s="136"/>
      <c r="B55" s="27"/>
      <c r="C55" s="57"/>
      <c r="D55" s="59"/>
      <c r="E55" s="57"/>
      <c r="F55" s="57"/>
      <c r="G55" s="57"/>
      <c r="H55" s="57"/>
      <c r="I55" s="57"/>
      <c r="J55" s="57"/>
      <c r="K55" s="57"/>
      <c r="L55" s="59"/>
      <c r="M55" s="27"/>
      <c r="N55" s="138"/>
    </row>
    <row r="56" spans="1:14" ht="15.75">
      <c r="A56" s="119"/>
      <c r="B56" s="12" t="s">
        <v>36</v>
      </c>
      <c r="C56" s="60"/>
      <c r="D56" s="62"/>
      <c r="E56" s="60"/>
      <c r="F56" s="61"/>
      <c r="G56" s="60"/>
      <c r="H56" s="60"/>
      <c r="I56" s="60"/>
      <c r="J56" s="60"/>
      <c r="K56" s="60"/>
      <c r="L56" s="62"/>
      <c r="M56" s="10"/>
      <c r="N56" s="138"/>
    </row>
    <row r="57" spans="1:14" ht="15.75">
      <c r="A57" s="119"/>
      <c r="B57" s="10"/>
      <c r="C57" s="60"/>
      <c r="D57" s="118"/>
      <c r="E57" s="60"/>
      <c r="F57" s="60"/>
      <c r="G57" s="60"/>
      <c r="H57" s="60"/>
      <c r="I57" s="60"/>
      <c r="J57" s="60"/>
      <c r="K57" s="60"/>
      <c r="L57" s="118"/>
      <c r="M57" s="10"/>
      <c r="N57" s="138"/>
    </row>
    <row r="58" spans="1:14" ht="15.75">
      <c r="A58" s="136"/>
      <c r="B58" s="27" t="s">
        <v>33</v>
      </c>
      <c r="C58" s="57"/>
      <c r="D58" s="59"/>
      <c r="E58" s="57"/>
      <c r="F58" s="57"/>
      <c r="G58" s="57"/>
      <c r="H58" s="57"/>
      <c r="I58" s="57"/>
      <c r="J58" s="57"/>
      <c r="K58" s="57"/>
      <c r="L58" s="59"/>
      <c r="M58" s="27"/>
      <c r="N58" s="138"/>
    </row>
    <row r="59" spans="1:14" ht="15.75">
      <c r="A59" s="136"/>
      <c r="B59" s="27" t="s">
        <v>34</v>
      </c>
      <c r="C59" s="57"/>
      <c r="D59" s="59"/>
      <c r="E59" s="57"/>
      <c r="F59" s="57"/>
      <c r="G59" s="57"/>
      <c r="H59" s="57"/>
      <c r="I59" s="57"/>
      <c r="J59" s="57"/>
      <c r="K59" s="57"/>
      <c r="L59" s="59"/>
      <c r="M59" s="27"/>
      <c r="N59" s="138"/>
    </row>
    <row r="60" spans="1:14" ht="15.75">
      <c r="A60" s="136"/>
      <c r="B60" s="27"/>
      <c r="C60" s="57"/>
      <c r="D60" s="59"/>
      <c r="E60" s="57"/>
      <c r="F60" s="57"/>
      <c r="G60" s="57"/>
      <c r="H60" s="57"/>
      <c r="I60" s="57"/>
      <c r="J60" s="57"/>
      <c r="K60" s="57"/>
      <c r="L60" s="59"/>
      <c r="M60" s="27"/>
      <c r="N60" s="138"/>
    </row>
    <row r="61" spans="1:14" ht="15.75">
      <c r="A61" s="136"/>
      <c r="B61" s="27" t="s">
        <v>35</v>
      </c>
      <c r="C61" s="57"/>
      <c r="D61" s="59"/>
      <c r="E61" s="57"/>
      <c r="F61" s="57"/>
      <c r="G61" s="57"/>
      <c r="H61" s="57"/>
      <c r="I61" s="57"/>
      <c r="J61" s="57"/>
      <c r="K61" s="57"/>
      <c r="L61" s="59"/>
      <c r="M61" s="27"/>
      <c r="N61" s="138"/>
    </row>
    <row r="62" spans="1:14" ht="15.75">
      <c r="A62" s="136"/>
      <c r="B62" s="27"/>
      <c r="C62" s="57"/>
      <c r="D62" s="59"/>
      <c r="E62" s="57"/>
      <c r="F62" s="57"/>
      <c r="G62" s="57"/>
      <c r="H62" s="57"/>
      <c r="I62" s="57"/>
      <c r="J62" s="57"/>
      <c r="K62" s="57"/>
      <c r="L62" s="59"/>
      <c r="M62" s="27"/>
      <c r="N62" s="138"/>
    </row>
    <row r="63" spans="1:14" ht="15.75">
      <c r="A63" s="136"/>
      <c r="B63" s="27" t="s">
        <v>37</v>
      </c>
      <c r="C63" s="57">
        <v>-1743</v>
      </c>
      <c r="D63" s="57">
        <v>-1743</v>
      </c>
      <c r="E63" s="57"/>
      <c r="F63" s="57"/>
      <c r="G63" s="57"/>
      <c r="H63" s="57"/>
      <c r="I63" s="57"/>
      <c r="J63" s="57"/>
      <c r="K63" s="57"/>
      <c r="L63" s="57">
        <v>-1743</v>
      </c>
      <c r="M63" s="27"/>
      <c r="N63" s="138"/>
    </row>
    <row r="64" spans="1:14" ht="15.75">
      <c r="A64" s="136"/>
      <c r="B64" s="27" t="s">
        <v>38</v>
      </c>
      <c r="C64" s="57">
        <v>0</v>
      </c>
      <c r="D64" s="59">
        <v>-2257</v>
      </c>
      <c r="E64" s="57"/>
      <c r="F64" s="57"/>
      <c r="G64" s="57"/>
      <c r="H64" s="57"/>
      <c r="I64" s="57"/>
      <c r="J64" s="57"/>
      <c r="K64" s="57"/>
      <c r="L64" s="59">
        <v>-2257</v>
      </c>
      <c r="M64" s="27"/>
      <c r="N64" s="138"/>
    </row>
    <row r="65" spans="1:14" ht="15.75">
      <c r="A65" s="136"/>
      <c r="B65" s="27" t="s">
        <v>198</v>
      </c>
      <c r="C65" s="57">
        <v>0</v>
      </c>
      <c r="D65" s="59">
        <v>28</v>
      </c>
      <c r="E65" s="57"/>
      <c r="F65" s="57"/>
      <c r="G65" s="57"/>
      <c r="H65" s="57"/>
      <c r="I65" s="57"/>
      <c r="J65" s="57"/>
      <c r="K65" s="57"/>
      <c r="L65" s="59">
        <v>148</v>
      </c>
      <c r="M65" s="27"/>
      <c r="N65" s="138"/>
    </row>
    <row r="66" spans="1:14" ht="15.75">
      <c r="A66" s="136"/>
      <c r="B66" s="27" t="s">
        <v>15</v>
      </c>
      <c r="C66" s="59">
        <f>SUM(C54:C65)</f>
        <v>223990</v>
      </c>
      <c r="D66" s="59">
        <f>SUM(D54:D65)</f>
        <v>91936</v>
      </c>
      <c r="E66" s="57"/>
      <c r="F66" s="57"/>
      <c r="G66" s="57"/>
      <c r="H66" s="57"/>
      <c r="I66" s="57"/>
      <c r="J66" s="57"/>
      <c r="K66" s="57"/>
      <c r="L66" s="59">
        <f>SUM(L54:L65)</f>
        <v>86431</v>
      </c>
      <c r="M66" s="27"/>
      <c r="N66" s="138"/>
    </row>
    <row r="67" spans="1:14" ht="15.75">
      <c r="A67" s="136"/>
      <c r="B67" s="27"/>
      <c r="C67" s="57"/>
      <c r="D67" s="57"/>
      <c r="E67" s="57"/>
      <c r="F67" s="57"/>
      <c r="G67" s="57"/>
      <c r="H67" s="57"/>
      <c r="I67" s="57"/>
      <c r="J67" s="57"/>
      <c r="K67" s="57"/>
      <c r="L67" s="59"/>
      <c r="M67" s="27"/>
      <c r="N67" s="138"/>
    </row>
    <row r="68" spans="1:14" ht="15.75">
      <c r="A68" s="119"/>
      <c r="B68" s="10"/>
      <c r="C68" s="10"/>
      <c r="D68" s="10"/>
      <c r="E68" s="10"/>
      <c r="F68" s="10"/>
      <c r="G68" s="10"/>
      <c r="H68" s="10"/>
      <c r="I68" s="10"/>
      <c r="J68" s="10"/>
      <c r="K68" s="10"/>
      <c r="L68" s="10"/>
      <c r="M68" s="10"/>
      <c r="N68" s="138"/>
    </row>
    <row r="69" spans="1:14" ht="15.75">
      <c r="A69" s="119"/>
      <c r="B69" s="63" t="s">
        <v>40</v>
      </c>
      <c r="C69" s="16"/>
      <c r="D69" s="10"/>
      <c r="E69" s="10"/>
      <c r="F69" s="10"/>
      <c r="G69" s="10"/>
      <c r="H69" s="10"/>
      <c r="I69" s="22"/>
      <c r="J69" s="20" t="s">
        <v>174</v>
      </c>
      <c r="K69" s="20"/>
      <c r="L69" s="20" t="s">
        <v>188</v>
      </c>
      <c r="M69" s="17"/>
      <c r="N69" s="138"/>
    </row>
    <row r="70" spans="1:14" ht="15.75">
      <c r="A70" s="136"/>
      <c r="B70" s="27" t="s">
        <v>41</v>
      </c>
      <c r="C70" s="27"/>
      <c r="D70" s="27"/>
      <c r="E70" s="27"/>
      <c r="F70" s="27"/>
      <c r="G70" s="27"/>
      <c r="H70" s="27"/>
      <c r="I70" s="27"/>
      <c r="J70" s="57">
        <v>0</v>
      </c>
      <c r="K70" s="27"/>
      <c r="L70" s="58">
        <v>0</v>
      </c>
      <c r="M70" s="27"/>
      <c r="N70" s="138"/>
    </row>
    <row r="71" spans="1:14" ht="15.75">
      <c r="A71" s="136"/>
      <c r="B71" s="27" t="s">
        <v>42</v>
      </c>
      <c r="C71" s="45" t="s">
        <v>204</v>
      </c>
      <c r="D71" s="64">
        <f>L45</f>
        <v>36941</v>
      </c>
      <c r="E71" s="27"/>
      <c r="F71" s="27"/>
      <c r="G71" s="27"/>
      <c r="H71" s="27"/>
      <c r="I71" s="27"/>
      <c r="J71" s="57">
        <f>5710+28-148</f>
        <v>5590</v>
      </c>
      <c r="K71" s="27"/>
      <c r="L71" s="58"/>
      <c r="M71" s="27"/>
      <c r="N71" s="138"/>
    </row>
    <row r="72" spans="1:14" ht="15.75">
      <c r="A72" s="136"/>
      <c r="B72" s="27" t="s">
        <v>43</v>
      </c>
      <c r="C72" s="27"/>
      <c r="D72" s="27"/>
      <c r="E72" s="27"/>
      <c r="F72" s="27"/>
      <c r="G72" s="27"/>
      <c r="H72" s="27"/>
      <c r="I72" s="27"/>
      <c r="J72" s="57"/>
      <c r="K72" s="27"/>
      <c r="L72" s="58">
        <f>2158-10+805+99+103-497+1+25+1</f>
        <v>2685</v>
      </c>
      <c r="M72" s="27"/>
      <c r="N72" s="138"/>
    </row>
    <row r="73" spans="1:14" ht="15.75">
      <c r="A73" s="136"/>
      <c r="B73" s="27" t="s">
        <v>44</v>
      </c>
      <c r="C73" s="27"/>
      <c r="D73" s="27"/>
      <c r="E73" s="27"/>
      <c r="F73" s="27"/>
      <c r="G73" s="27"/>
      <c r="H73" s="27"/>
      <c r="I73" s="27"/>
      <c r="J73" s="57"/>
      <c r="K73" s="27"/>
      <c r="L73" s="58"/>
      <c r="M73" s="27"/>
      <c r="N73" s="138"/>
    </row>
    <row r="74" spans="1:14" ht="15.75">
      <c r="A74" s="136"/>
      <c r="B74" s="27" t="s">
        <v>45</v>
      </c>
      <c r="C74" s="27"/>
      <c r="D74" s="27"/>
      <c r="E74" s="27"/>
      <c r="F74" s="27"/>
      <c r="G74" s="27"/>
      <c r="H74" s="27"/>
      <c r="I74" s="27"/>
      <c r="J74" s="59">
        <f>SUM(J70:J73)</f>
        <v>5590</v>
      </c>
      <c r="K74" s="27"/>
      <c r="L74" s="59">
        <f>SUM(L70:L73)</f>
        <v>2685</v>
      </c>
      <c r="M74" s="27"/>
      <c r="N74" s="138"/>
    </row>
    <row r="75" spans="1:14" ht="15.75">
      <c r="A75" s="136"/>
      <c r="B75" s="27" t="s">
        <v>46</v>
      </c>
      <c r="C75" s="27"/>
      <c r="D75" s="27"/>
      <c r="E75" s="27"/>
      <c r="F75" s="27"/>
      <c r="G75" s="27"/>
      <c r="H75" s="27"/>
      <c r="I75" s="27"/>
      <c r="J75" s="57">
        <f>-L75</f>
        <v>41</v>
      </c>
      <c r="K75" s="27"/>
      <c r="L75" s="58">
        <v>-41</v>
      </c>
      <c r="M75" s="27"/>
      <c r="N75" s="138"/>
    </row>
    <row r="76" spans="1:14" ht="15.75">
      <c r="A76" s="136"/>
      <c r="B76" s="27" t="s">
        <v>47</v>
      </c>
      <c r="C76" s="27"/>
      <c r="D76" s="27"/>
      <c r="E76" s="27"/>
      <c r="F76" s="27"/>
      <c r="G76" s="27"/>
      <c r="H76" s="27"/>
      <c r="I76" s="27"/>
      <c r="J76" s="57">
        <f>J74+J75</f>
        <v>5631</v>
      </c>
      <c r="K76" s="27"/>
      <c r="L76" s="59">
        <f>L74+L75</f>
        <v>2644</v>
      </c>
      <c r="M76" s="27"/>
      <c r="N76" s="138"/>
    </row>
    <row r="77" spans="1:14" ht="15.75">
      <c r="A77" s="136"/>
      <c r="B77" s="65" t="s">
        <v>48</v>
      </c>
      <c r="C77" s="66"/>
      <c r="D77" s="27"/>
      <c r="E77" s="27"/>
      <c r="F77" s="27"/>
      <c r="G77" s="27"/>
      <c r="H77" s="27"/>
      <c r="I77" s="27"/>
      <c r="J77" s="57"/>
      <c r="K77" s="27"/>
      <c r="L77" s="58"/>
      <c r="M77" s="27"/>
      <c r="N77" s="138"/>
    </row>
    <row r="78" spans="1:14" ht="15.75">
      <c r="A78" s="26">
        <v>1</v>
      </c>
      <c r="B78" s="27" t="s">
        <v>49</v>
      </c>
      <c r="C78" s="27"/>
      <c r="D78" s="27"/>
      <c r="E78" s="27"/>
      <c r="F78" s="27"/>
      <c r="G78" s="27"/>
      <c r="H78" s="27"/>
      <c r="I78" s="27"/>
      <c r="J78" s="27"/>
      <c r="K78" s="27"/>
      <c r="L78" s="58"/>
      <c r="M78" s="27"/>
      <c r="N78" s="138"/>
    </row>
    <row r="79" spans="1:14" ht="15.75">
      <c r="A79" s="26">
        <v>2</v>
      </c>
      <c r="B79" s="27" t="s">
        <v>50</v>
      </c>
      <c r="C79" s="27"/>
      <c r="D79" s="27"/>
      <c r="E79" s="27"/>
      <c r="F79" s="27"/>
      <c r="G79" s="27"/>
      <c r="H79" s="27"/>
      <c r="I79" s="27"/>
      <c r="J79" s="27"/>
      <c r="K79" s="27"/>
      <c r="L79" s="58">
        <v>-5</v>
      </c>
      <c r="M79" s="27"/>
      <c r="N79" s="138"/>
    </row>
    <row r="80" spans="1:14" ht="15.75">
      <c r="A80" s="26">
        <v>3</v>
      </c>
      <c r="B80" s="27" t="s">
        <v>51</v>
      </c>
      <c r="C80" s="27"/>
      <c r="D80" s="27"/>
      <c r="E80" s="27"/>
      <c r="F80" s="27"/>
      <c r="G80" s="27"/>
      <c r="H80" s="27"/>
      <c r="I80" s="27"/>
      <c r="J80" s="27"/>
      <c r="K80" s="27"/>
      <c r="L80" s="58">
        <v>-104</v>
      </c>
      <c r="M80" s="27"/>
      <c r="N80" s="138"/>
    </row>
    <row r="81" spans="1:14" ht="15.75">
      <c r="A81" s="26">
        <v>4</v>
      </c>
      <c r="B81" s="27" t="s">
        <v>52</v>
      </c>
      <c r="C81" s="27"/>
      <c r="D81" s="27"/>
      <c r="E81" s="27"/>
      <c r="F81" s="27"/>
      <c r="G81" s="27"/>
      <c r="H81" s="27"/>
      <c r="I81" s="27"/>
      <c r="J81" s="27"/>
      <c r="K81" s="27"/>
      <c r="L81" s="58">
        <v>-5</v>
      </c>
      <c r="M81" s="27"/>
      <c r="N81" s="138"/>
    </row>
    <row r="82" spans="1:14" ht="15.75">
      <c r="A82" s="26">
        <v>5</v>
      </c>
      <c r="B82" s="27" t="s">
        <v>53</v>
      </c>
      <c r="C82" s="27"/>
      <c r="D82" s="27"/>
      <c r="E82" s="27"/>
      <c r="F82" s="27"/>
      <c r="G82" s="27"/>
      <c r="H82" s="27"/>
      <c r="I82" s="27"/>
      <c r="J82" s="27"/>
      <c r="K82" s="27"/>
      <c r="L82" s="58">
        <v>-1046</v>
      </c>
      <c r="M82" s="27"/>
      <c r="N82" s="138"/>
    </row>
    <row r="83" spans="1:14" ht="15.75">
      <c r="A83" s="26">
        <v>6</v>
      </c>
      <c r="B83" s="27" t="s">
        <v>54</v>
      </c>
      <c r="C83" s="27"/>
      <c r="D83" s="27"/>
      <c r="E83" s="27"/>
      <c r="F83" s="27"/>
      <c r="G83" s="27"/>
      <c r="H83" s="27"/>
      <c r="I83" s="27"/>
      <c r="J83" s="27"/>
      <c r="K83" s="27"/>
      <c r="L83" s="58">
        <v>-3</v>
      </c>
      <c r="M83" s="27"/>
      <c r="N83" s="138"/>
    </row>
    <row r="84" spans="1:14" ht="15.75">
      <c r="A84" s="26">
        <v>7</v>
      </c>
      <c r="B84" s="27" t="s">
        <v>55</v>
      </c>
      <c r="C84" s="27"/>
      <c r="D84" s="27"/>
      <c r="E84" s="27"/>
      <c r="F84" s="27"/>
      <c r="G84" s="27"/>
      <c r="H84" s="27"/>
      <c r="I84" s="27"/>
      <c r="J84" s="27"/>
      <c r="K84" s="27"/>
      <c r="L84" s="58">
        <v>-219</v>
      </c>
      <c r="M84" s="27"/>
      <c r="N84" s="138"/>
    </row>
    <row r="85" spans="1:14" ht="15.75">
      <c r="A85" s="26">
        <v>8</v>
      </c>
      <c r="B85" s="27" t="s">
        <v>56</v>
      </c>
      <c r="C85" s="27"/>
      <c r="D85" s="27"/>
      <c r="E85" s="27"/>
      <c r="F85" s="27"/>
      <c r="G85" s="27"/>
      <c r="H85" s="27"/>
      <c r="I85" s="27"/>
      <c r="J85" s="27"/>
      <c r="K85" s="27"/>
      <c r="L85" s="58">
        <v>-154</v>
      </c>
      <c r="M85" s="27"/>
      <c r="N85" s="138"/>
    </row>
    <row r="86" spans="1:14" ht="15.75">
      <c r="A86" s="26">
        <v>9</v>
      </c>
      <c r="B86" s="27" t="s">
        <v>57</v>
      </c>
      <c r="C86" s="27"/>
      <c r="D86" s="27"/>
      <c r="E86" s="27"/>
      <c r="F86" s="27"/>
      <c r="G86" s="27"/>
      <c r="H86" s="27"/>
      <c r="I86" s="27"/>
      <c r="J86" s="27"/>
      <c r="K86" s="27"/>
      <c r="L86" s="58">
        <v>0</v>
      </c>
      <c r="M86" s="27"/>
      <c r="N86" s="138"/>
    </row>
    <row r="87" spans="1:14" ht="15.75">
      <c r="A87" s="26">
        <v>10</v>
      </c>
      <c r="B87" s="27" t="s">
        <v>58</v>
      </c>
      <c r="C87" s="27"/>
      <c r="D87" s="27"/>
      <c r="E87" s="27"/>
      <c r="F87" s="27"/>
      <c r="G87" s="27"/>
      <c r="H87" s="27"/>
      <c r="I87" s="27"/>
      <c r="J87" s="27"/>
      <c r="K87" s="27"/>
      <c r="L87" s="58">
        <v>-148</v>
      </c>
      <c r="M87" s="27"/>
      <c r="N87" s="138"/>
    </row>
    <row r="88" spans="1:14" ht="15.75">
      <c r="A88" s="26">
        <v>11</v>
      </c>
      <c r="B88" s="27" t="s">
        <v>59</v>
      </c>
      <c r="C88" s="27"/>
      <c r="D88" s="27"/>
      <c r="E88" s="27"/>
      <c r="F88" s="27"/>
      <c r="G88" s="27"/>
      <c r="H88" s="27"/>
      <c r="I88" s="27"/>
      <c r="J88" s="27"/>
      <c r="K88" s="27"/>
      <c r="L88" s="58">
        <v>0</v>
      </c>
      <c r="M88" s="27"/>
      <c r="N88" s="138"/>
    </row>
    <row r="89" spans="1:14" ht="15.75">
      <c r="A89" s="26">
        <v>12</v>
      </c>
      <c r="B89" s="27" t="s">
        <v>60</v>
      </c>
      <c r="C89" s="27"/>
      <c r="D89" s="27"/>
      <c r="E89" s="27"/>
      <c r="F89" s="27"/>
      <c r="G89" s="27"/>
      <c r="H89" s="27"/>
      <c r="I89" s="27"/>
      <c r="J89" s="27"/>
      <c r="K89" s="27"/>
      <c r="L89" s="58">
        <f>SUM(L76:L87)*-1</f>
        <v>-960</v>
      </c>
      <c r="M89" s="27"/>
      <c r="N89" s="138"/>
    </row>
    <row r="90" spans="1:14" ht="15.75">
      <c r="A90" s="136"/>
      <c r="B90" s="65" t="s">
        <v>61</v>
      </c>
      <c r="C90" s="66"/>
      <c r="D90" s="27"/>
      <c r="E90" s="27"/>
      <c r="F90" s="27"/>
      <c r="G90" s="27"/>
      <c r="H90" s="27"/>
      <c r="I90" s="27"/>
      <c r="J90" s="27"/>
      <c r="K90" s="27"/>
      <c r="L90" s="68"/>
      <c r="M90" s="27"/>
      <c r="N90" s="138"/>
    </row>
    <row r="91" spans="1:14" ht="15.75">
      <c r="A91" s="136"/>
      <c r="B91" s="27" t="s">
        <v>62</v>
      </c>
      <c r="C91" s="66"/>
      <c r="D91" s="27"/>
      <c r="E91" s="27"/>
      <c r="F91" s="27"/>
      <c r="G91" s="27"/>
      <c r="H91" s="27"/>
      <c r="I91" s="27"/>
      <c r="J91" s="57">
        <f>-J135</f>
        <v>0</v>
      </c>
      <c r="K91" s="57"/>
      <c r="L91" s="58"/>
      <c r="M91" s="27"/>
      <c r="N91" s="138"/>
    </row>
    <row r="92" spans="1:14" ht="15.75">
      <c r="A92" s="136"/>
      <c r="B92" s="27" t="s">
        <v>63</v>
      </c>
      <c r="C92" s="27"/>
      <c r="D92" s="27"/>
      <c r="E92" s="27"/>
      <c r="F92" s="27"/>
      <c r="G92" s="27"/>
      <c r="H92" s="27"/>
      <c r="I92" s="27"/>
      <c r="J92" s="57">
        <v>-126</v>
      </c>
      <c r="K92" s="57"/>
      <c r="L92" s="58"/>
      <c r="M92" s="27"/>
      <c r="N92" s="138"/>
    </row>
    <row r="93" spans="1:14" ht="15.75">
      <c r="A93" s="136"/>
      <c r="B93" s="27" t="s">
        <v>64</v>
      </c>
      <c r="C93" s="27"/>
      <c r="D93" s="27"/>
      <c r="E93" s="27"/>
      <c r="F93" s="27"/>
      <c r="G93" s="27"/>
      <c r="H93" s="27"/>
      <c r="I93" s="27"/>
      <c r="J93" s="57">
        <v>0</v>
      </c>
      <c r="K93" s="57"/>
      <c r="L93" s="58"/>
      <c r="M93" s="27"/>
      <c r="N93" s="138"/>
    </row>
    <row r="94" spans="1:14" ht="15.75">
      <c r="A94" s="136"/>
      <c r="B94" s="27" t="s">
        <v>65</v>
      </c>
      <c r="C94" s="27"/>
      <c r="D94" s="27"/>
      <c r="E94" s="27"/>
      <c r="F94" s="27"/>
      <c r="G94" s="27"/>
      <c r="H94" s="27"/>
      <c r="I94" s="27"/>
      <c r="J94" s="57">
        <v>-4118</v>
      </c>
      <c r="K94" s="57"/>
      <c r="L94" s="58"/>
      <c r="M94" s="27"/>
      <c r="N94" s="138"/>
    </row>
    <row r="95" spans="1:14" ht="15.75">
      <c r="A95" s="136"/>
      <c r="B95" s="27" t="s">
        <v>66</v>
      </c>
      <c r="C95" s="27"/>
      <c r="D95" s="27"/>
      <c r="E95" s="27"/>
      <c r="F95" s="27"/>
      <c r="G95" s="27"/>
      <c r="H95" s="27"/>
      <c r="I95" s="27"/>
      <c r="J95" s="57">
        <v>-832</v>
      </c>
      <c r="K95" s="57"/>
      <c r="L95" s="58"/>
      <c r="M95" s="27"/>
      <c r="N95" s="138"/>
    </row>
    <row r="96" spans="1:14" ht="15.75">
      <c r="A96" s="136"/>
      <c r="B96" s="27" t="s">
        <v>201</v>
      </c>
      <c r="C96" s="27"/>
      <c r="D96" s="27"/>
      <c r="E96" s="27"/>
      <c r="F96" s="27"/>
      <c r="G96" s="27"/>
      <c r="H96" s="27"/>
      <c r="I96" s="27"/>
      <c r="J96" s="57">
        <v>-555</v>
      </c>
      <c r="K96" s="57"/>
      <c r="L96" s="58"/>
      <c r="M96" s="27"/>
      <c r="N96" s="138"/>
    </row>
    <row r="97" spans="1:14" ht="15.75">
      <c r="A97" s="136"/>
      <c r="B97" s="27" t="s">
        <v>67</v>
      </c>
      <c r="C97" s="27"/>
      <c r="D97" s="27"/>
      <c r="E97" s="27"/>
      <c r="F97" s="27"/>
      <c r="G97" s="27"/>
      <c r="H97" s="27"/>
      <c r="I97" s="27"/>
      <c r="J97" s="57">
        <f>SUM(J77:J96)</f>
        <v>-5631</v>
      </c>
      <c r="K97" s="57"/>
      <c r="L97" s="57">
        <f>SUM(L77:L95)</f>
        <v>-2644</v>
      </c>
      <c r="M97" s="27"/>
      <c r="N97" s="138"/>
    </row>
    <row r="98" spans="1:14" ht="15.75">
      <c r="A98" s="136"/>
      <c r="B98" s="27" t="s">
        <v>68</v>
      </c>
      <c r="C98" s="27"/>
      <c r="D98" s="27"/>
      <c r="E98" s="27"/>
      <c r="F98" s="27"/>
      <c r="G98" s="27"/>
      <c r="H98" s="27"/>
      <c r="I98" s="27"/>
      <c r="J98" s="57">
        <f>J76+J97</f>
        <v>0</v>
      </c>
      <c r="K98" s="57"/>
      <c r="L98" s="57">
        <f>L76+L97</f>
        <v>0</v>
      </c>
      <c r="M98" s="27"/>
      <c r="N98" s="138"/>
    </row>
    <row r="99" spans="1:14" ht="15.75">
      <c r="A99" s="136"/>
      <c r="B99" s="27"/>
      <c r="C99" s="27"/>
      <c r="D99" s="27"/>
      <c r="E99" s="27"/>
      <c r="F99" s="27"/>
      <c r="G99" s="27"/>
      <c r="H99" s="27"/>
      <c r="I99" s="27"/>
      <c r="J99" s="57"/>
      <c r="K99" s="57"/>
      <c r="L99" s="57"/>
      <c r="M99" s="27"/>
      <c r="N99" s="138"/>
    </row>
    <row r="100" spans="1:14" ht="15.75">
      <c r="A100" s="119"/>
      <c r="B100" s="15"/>
      <c r="C100" s="10"/>
      <c r="D100" s="10"/>
      <c r="E100" s="10"/>
      <c r="F100" s="10"/>
      <c r="G100" s="10"/>
      <c r="H100" s="10"/>
      <c r="I100" s="10"/>
      <c r="J100" s="60"/>
      <c r="K100" s="60"/>
      <c r="L100" s="60"/>
      <c r="M100" s="10"/>
      <c r="N100" s="138"/>
    </row>
    <row r="101" spans="1:14" ht="15.75">
      <c r="A101" s="119"/>
      <c r="B101" s="10"/>
      <c r="C101" s="10"/>
      <c r="D101" s="10"/>
      <c r="E101" s="10"/>
      <c r="F101" s="10"/>
      <c r="G101" s="10"/>
      <c r="H101" s="10"/>
      <c r="I101" s="10"/>
      <c r="J101" s="60"/>
      <c r="K101" s="60"/>
      <c r="L101" s="60"/>
      <c r="M101" s="10"/>
      <c r="N101" s="138"/>
    </row>
    <row r="102" spans="1:14" ht="15.75">
      <c r="A102" s="119"/>
      <c r="B102" s="10"/>
      <c r="C102" s="10"/>
      <c r="D102" s="10"/>
      <c r="E102" s="10"/>
      <c r="F102" s="10"/>
      <c r="G102" s="10"/>
      <c r="H102" s="10"/>
      <c r="I102" s="10"/>
      <c r="J102" s="10"/>
      <c r="K102" s="10"/>
      <c r="L102" s="53"/>
      <c r="M102" s="10"/>
      <c r="N102" s="138"/>
    </row>
    <row r="103" spans="1:14" ht="15.75">
      <c r="A103" s="119"/>
      <c r="B103" s="10"/>
      <c r="C103" s="9"/>
      <c r="D103" s="10"/>
      <c r="E103" s="10"/>
      <c r="F103" s="10"/>
      <c r="G103" s="10"/>
      <c r="H103" s="10"/>
      <c r="I103" s="10"/>
      <c r="J103" s="10"/>
      <c r="K103" s="10"/>
      <c r="L103" s="53"/>
      <c r="M103" s="10"/>
      <c r="N103" s="138"/>
    </row>
    <row r="104" spans="1:14" ht="15.75">
      <c r="A104" s="135"/>
      <c r="B104" s="83" t="s">
        <v>69</v>
      </c>
      <c r="C104" s="5"/>
      <c r="D104" s="5"/>
      <c r="E104" s="5"/>
      <c r="F104" s="5"/>
      <c r="G104" s="5"/>
      <c r="H104" s="5"/>
      <c r="I104" s="5"/>
      <c r="J104" s="5"/>
      <c r="K104" s="5"/>
      <c r="L104" s="52"/>
      <c r="M104" s="70"/>
      <c r="N104" s="138"/>
    </row>
    <row r="105" spans="1:14" ht="15.75">
      <c r="A105" s="119"/>
      <c r="B105" s="10"/>
      <c r="C105" s="10"/>
      <c r="D105" s="10"/>
      <c r="E105" s="10"/>
      <c r="F105" s="10"/>
      <c r="G105" s="10"/>
      <c r="H105" s="10"/>
      <c r="I105" s="10"/>
      <c r="J105" s="10"/>
      <c r="K105" s="10"/>
      <c r="L105" s="53"/>
      <c r="M105" s="10"/>
      <c r="N105" s="138"/>
    </row>
    <row r="106" spans="1:14" ht="15.75">
      <c r="A106" s="119"/>
      <c r="B106" s="73" t="s">
        <v>70</v>
      </c>
      <c r="C106" s="16"/>
      <c r="D106" s="10"/>
      <c r="E106" s="10"/>
      <c r="F106" s="10"/>
      <c r="G106" s="10"/>
      <c r="H106" s="10"/>
      <c r="I106" s="10"/>
      <c r="J106" s="10"/>
      <c r="K106" s="10"/>
      <c r="L106" s="53"/>
      <c r="M106" s="10"/>
      <c r="N106" s="138"/>
    </row>
    <row r="107" spans="1:14" ht="15.75">
      <c r="A107" s="136"/>
      <c r="B107" s="27" t="s">
        <v>71</v>
      </c>
      <c r="C107" s="27"/>
      <c r="D107" s="27"/>
      <c r="E107" s="27"/>
      <c r="F107" s="27"/>
      <c r="G107" s="27"/>
      <c r="H107" s="27"/>
      <c r="I107" s="27"/>
      <c r="J107" s="27"/>
      <c r="K107" s="27"/>
      <c r="L107" s="58">
        <v>4515</v>
      </c>
      <c r="M107" s="27"/>
      <c r="N107" s="138"/>
    </row>
    <row r="108" spans="1:14" ht="15.75">
      <c r="A108" s="136"/>
      <c r="B108" s="27" t="s">
        <v>72</v>
      </c>
      <c r="C108" s="27"/>
      <c r="D108" s="27"/>
      <c r="E108" s="27"/>
      <c r="F108" s="27"/>
      <c r="G108" s="27"/>
      <c r="H108" s="27"/>
      <c r="I108" s="27"/>
      <c r="J108" s="27"/>
      <c r="K108" s="27"/>
      <c r="L108" s="58">
        <v>4515</v>
      </c>
      <c r="M108" s="27"/>
      <c r="N108" s="138"/>
    </row>
    <row r="109" spans="1:14" ht="15.75">
      <c r="A109" s="136"/>
      <c r="B109" s="27" t="s">
        <v>73</v>
      </c>
      <c r="C109" s="27"/>
      <c r="D109" s="27"/>
      <c r="E109" s="27"/>
      <c r="F109" s="27"/>
      <c r="G109" s="27"/>
      <c r="H109" s="27"/>
      <c r="I109" s="27"/>
      <c r="J109" s="27"/>
      <c r="K109" s="27"/>
      <c r="L109" s="58"/>
      <c r="M109" s="27"/>
      <c r="N109" s="138"/>
    </row>
    <row r="110" spans="1:14" ht="15.75">
      <c r="A110" s="136"/>
      <c r="B110" s="27" t="s">
        <v>74</v>
      </c>
      <c r="C110" s="27"/>
      <c r="D110" s="27"/>
      <c r="E110" s="27"/>
      <c r="F110" s="27"/>
      <c r="G110" s="27"/>
      <c r="H110" s="27"/>
      <c r="I110" s="27"/>
      <c r="J110" s="27"/>
      <c r="K110" s="27"/>
      <c r="L110" s="58">
        <v>0</v>
      </c>
      <c r="M110" s="27"/>
      <c r="N110" s="138"/>
    </row>
    <row r="111" spans="1:14" ht="15.75">
      <c r="A111" s="136"/>
      <c r="B111" s="27" t="s">
        <v>75</v>
      </c>
      <c r="C111" s="27"/>
      <c r="D111" s="27"/>
      <c r="E111" s="27"/>
      <c r="F111" s="27"/>
      <c r="G111" s="27"/>
      <c r="H111" s="27"/>
      <c r="I111" s="27"/>
      <c r="J111" s="27"/>
      <c r="K111" s="27"/>
      <c r="L111" s="58"/>
      <c r="M111" s="27"/>
      <c r="N111" s="138"/>
    </row>
    <row r="112" spans="1:14" ht="15.75">
      <c r="A112" s="136"/>
      <c r="B112" s="27" t="s">
        <v>53</v>
      </c>
      <c r="C112" s="27"/>
      <c r="D112" s="27"/>
      <c r="E112" s="27"/>
      <c r="F112" s="27"/>
      <c r="G112" s="27"/>
      <c r="H112" s="27"/>
      <c r="I112" s="27"/>
      <c r="J112" s="27"/>
      <c r="K112" s="27"/>
      <c r="L112" s="58"/>
      <c r="M112" s="27"/>
      <c r="N112" s="138"/>
    </row>
    <row r="113" spans="1:14" ht="15.75">
      <c r="A113" s="136"/>
      <c r="B113" s="27" t="s">
        <v>55</v>
      </c>
      <c r="C113" s="27"/>
      <c r="D113" s="27"/>
      <c r="E113" s="27"/>
      <c r="F113" s="27"/>
      <c r="G113" s="27"/>
      <c r="H113" s="27"/>
      <c r="I113" s="27"/>
      <c r="J113" s="27"/>
      <c r="K113" s="27"/>
      <c r="L113" s="58"/>
      <c r="M113" s="27"/>
      <c r="N113" s="138"/>
    </row>
    <row r="114" spans="1:14" ht="15.75">
      <c r="A114" s="136"/>
      <c r="B114" s="27" t="s">
        <v>76</v>
      </c>
      <c r="C114" s="27"/>
      <c r="D114" s="27"/>
      <c r="E114" s="27"/>
      <c r="F114" s="27"/>
      <c r="G114" s="27"/>
      <c r="H114" s="27"/>
      <c r="I114" s="27"/>
      <c r="J114" s="27"/>
      <c r="K114" s="27"/>
      <c r="L114" s="58">
        <f>L108-L110</f>
        <v>4515</v>
      </c>
      <c r="M114" s="27"/>
      <c r="N114" s="138"/>
    </row>
    <row r="115" spans="1:14" ht="15.75">
      <c r="A115" s="136"/>
      <c r="B115" s="27"/>
      <c r="C115" s="27"/>
      <c r="D115" s="27"/>
      <c r="E115" s="27"/>
      <c r="F115" s="27"/>
      <c r="G115" s="27"/>
      <c r="H115" s="27"/>
      <c r="I115" s="27"/>
      <c r="J115" s="27"/>
      <c r="K115" s="27"/>
      <c r="L115" s="72"/>
      <c r="M115" s="27"/>
      <c r="N115" s="138"/>
    </row>
    <row r="116" spans="1:14" ht="15.75">
      <c r="A116" s="135"/>
      <c r="B116" s="5"/>
      <c r="C116" s="5"/>
      <c r="D116" s="5"/>
      <c r="E116" s="5"/>
      <c r="F116" s="5"/>
      <c r="G116" s="5"/>
      <c r="H116" s="5"/>
      <c r="I116" s="5"/>
      <c r="J116" s="5"/>
      <c r="K116" s="5"/>
      <c r="L116" s="52"/>
      <c r="M116" s="5"/>
      <c r="N116" s="138"/>
    </row>
    <row r="117" spans="1:14" ht="15.75">
      <c r="A117" s="119"/>
      <c r="B117" s="73" t="s">
        <v>77</v>
      </c>
      <c r="C117" s="16"/>
      <c r="D117" s="10"/>
      <c r="E117" s="10"/>
      <c r="F117" s="10"/>
      <c r="G117" s="10"/>
      <c r="H117" s="10"/>
      <c r="I117" s="10"/>
      <c r="J117" s="10"/>
      <c r="K117" s="10"/>
      <c r="L117" s="74"/>
      <c r="M117" s="10"/>
      <c r="N117" s="138"/>
    </row>
    <row r="118" spans="1:14" ht="15.75">
      <c r="A118" s="119"/>
      <c r="B118" s="16"/>
      <c r="C118" s="16"/>
      <c r="D118" s="10"/>
      <c r="E118" s="10"/>
      <c r="F118" s="10"/>
      <c r="G118" s="10"/>
      <c r="H118" s="10"/>
      <c r="I118" s="10"/>
      <c r="J118" s="10"/>
      <c r="K118" s="10"/>
      <c r="L118" s="74"/>
      <c r="M118" s="10"/>
      <c r="N118" s="138"/>
    </row>
    <row r="119" spans="1:14" ht="15.75">
      <c r="A119" s="136"/>
      <c r="B119" s="27" t="s">
        <v>78</v>
      </c>
      <c r="C119" s="27"/>
      <c r="D119" s="27"/>
      <c r="E119" s="27"/>
      <c r="F119" s="27"/>
      <c r="G119" s="27"/>
      <c r="H119" s="27"/>
      <c r="I119" s="27"/>
      <c r="J119" s="27"/>
      <c r="K119" s="27"/>
      <c r="L119" s="58">
        <v>0</v>
      </c>
      <c r="M119" s="27"/>
      <c r="N119" s="138"/>
    </row>
    <row r="120" spans="1:14" ht="15.75">
      <c r="A120" s="136"/>
      <c r="B120" s="27" t="s">
        <v>79</v>
      </c>
      <c r="C120" s="27"/>
      <c r="D120" s="27"/>
      <c r="E120" s="27"/>
      <c r="F120" s="27"/>
      <c r="G120" s="27"/>
      <c r="H120" s="27"/>
      <c r="I120" s="27"/>
      <c r="J120" s="27"/>
      <c r="K120" s="27"/>
      <c r="L120" s="58">
        <v>-148</v>
      </c>
      <c r="M120" s="27"/>
      <c r="N120" s="138"/>
    </row>
    <row r="121" spans="1:14" ht="15.75">
      <c r="A121" s="136"/>
      <c r="B121" s="27" t="s">
        <v>80</v>
      </c>
      <c r="C121" s="27"/>
      <c r="D121" s="27"/>
      <c r="E121" s="27"/>
      <c r="F121" s="27"/>
      <c r="G121" s="27"/>
      <c r="H121" s="27"/>
      <c r="I121" s="27"/>
      <c r="J121" s="27"/>
      <c r="K121" s="27"/>
      <c r="L121" s="58">
        <f>L120+L119</f>
        <v>-148</v>
      </c>
      <c r="M121" s="27"/>
      <c r="N121" s="138"/>
    </row>
    <row r="122" spans="1:14" ht="15.75">
      <c r="A122" s="136"/>
      <c r="B122" s="27" t="s">
        <v>81</v>
      </c>
      <c r="C122" s="27"/>
      <c r="D122" s="27"/>
      <c r="E122" s="27"/>
      <c r="F122" s="27"/>
      <c r="G122" s="27"/>
      <c r="H122" s="75"/>
      <c r="I122" s="27"/>
      <c r="J122" s="27"/>
      <c r="K122" s="27"/>
      <c r="L122" s="58">
        <f>-L87</f>
        <v>148</v>
      </c>
      <c r="M122" s="27"/>
      <c r="N122" s="138"/>
    </row>
    <row r="123" spans="1:14" ht="15.75">
      <c r="A123" s="136"/>
      <c r="B123" s="27" t="s">
        <v>82</v>
      </c>
      <c r="C123" s="27"/>
      <c r="D123" s="27"/>
      <c r="E123" s="27"/>
      <c r="F123" s="27"/>
      <c r="G123" s="27"/>
      <c r="H123" s="27"/>
      <c r="I123" s="27"/>
      <c r="J123" s="27"/>
      <c r="K123" s="27"/>
      <c r="L123" s="58">
        <f>L121+L122</f>
        <v>0</v>
      </c>
      <c r="M123" s="27"/>
      <c r="N123" s="138"/>
    </row>
    <row r="124" spans="1:14" ht="15.75">
      <c r="A124" s="136"/>
      <c r="B124" s="27"/>
      <c r="C124" s="27"/>
      <c r="D124" s="27"/>
      <c r="E124" s="27"/>
      <c r="F124" s="27"/>
      <c r="G124" s="27"/>
      <c r="H124" s="27"/>
      <c r="I124" s="27"/>
      <c r="J124" s="27"/>
      <c r="K124" s="27"/>
      <c r="L124" s="72"/>
      <c r="M124" s="27"/>
      <c r="N124" s="138"/>
    </row>
    <row r="125" spans="1:14" ht="15.75">
      <c r="A125" s="135"/>
      <c r="B125" s="5"/>
      <c r="C125" s="5"/>
      <c r="D125" s="5"/>
      <c r="E125" s="5"/>
      <c r="F125" s="5"/>
      <c r="G125" s="5"/>
      <c r="H125" s="5"/>
      <c r="I125" s="5"/>
      <c r="J125" s="5"/>
      <c r="K125" s="5"/>
      <c r="L125" s="52"/>
      <c r="M125" s="5"/>
      <c r="N125" s="138"/>
    </row>
    <row r="126" spans="1:14" ht="15.75">
      <c r="A126" s="119"/>
      <c r="B126" s="73" t="s">
        <v>83</v>
      </c>
      <c r="C126" s="16"/>
      <c r="D126" s="10"/>
      <c r="E126" s="10"/>
      <c r="F126" s="10"/>
      <c r="G126" s="10"/>
      <c r="H126" s="10"/>
      <c r="I126" s="10"/>
      <c r="J126" s="10"/>
      <c r="K126" s="10"/>
      <c r="L126" s="53"/>
      <c r="M126" s="10"/>
      <c r="N126" s="138"/>
    </row>
    <row r="127" spans="1:14" ht="15.75">
      <c r="A127" s="119"/>
      <c r="B127" s="76"/>
      <c r="C127" s="16"/>
      <c r="D127" s="10"/>
      <c r="E127" s="10"/>
      <c r="F127" s="10"/>
      <c r="G127" s="10"/>
      <c r="H127" s="10"/>
      <c r="I127" s="10"/>
      <c r="J127" s="10"/>
      <c r="K127" s="10"/>
      <c r="L127" s="53"/>
      <c r="M127" s="10"/>
      <c r="N127" s="138"/>
    </row>
    <row r="128" spans="1:14" ht="15.75">
      <c r="A128" s="136"/>
      <c r="B128" s="27" t="s">
        <v>84</v>
      </c>
      <c r="C128" s="71"/>
      <c r="D128" s="27"/>
      <c r="E128" s="27"/>
      <c r="F128" s="27"/>
      <c r="G128" s="27"/>
      <c r="H128" s="27"/>
      <c r="I128" s="27"/>
      <c r="J128" s="27"/>
      <c r="K128" s="27"/>
      <c r="L128" s="58">
        <f>L54</f>
        <v>90283</v>
      </c>
      <c r="M128" s="27"/>
      <c r="N128" s="138"/>
    </row>
    <row r="129" spans="1:14" ht="15.75">
      <c r="A129" s="136"/>
      <c r="B129" s="27" t="s">
        <v>85</v>
      </c>
      <c r="C129" s="71"/>
      <c r="D129" s="27"/>
      <c r="E129" s="27"/>
      <c r="F129" s="27"/>
      <c r="G129" s="27"/>
      <c r="H129" s="27"/>
      <c r="I129" s="27"/>
      <c r="J129" s="27"/>
      <c r="K129" s="27"/>
      <c r="L129" s="58">
        <f>L66</f>
        <v>86431</v>
      </c>
      <c r="M129" s="27"/>
      <c r="N129" s="138"/>
    </row>
    <row r="130" spans="1:14" ht="15.75">
      <c r="A130" s="136"/>
      <c r="B130" s="27"/>
      <c r="C130" s="27"/>
      <c r="D130" s="27"/>
      <c r="E130" s="27"/>
      <c r="F130" s="27"/>
      <c r="G130" s="27"/>
      <c r="H130" s="27"/>
      <c r="I130" s="27"/>
      <c r="J130" s="27"/>
      <c r="K130" s="27"/>
      <c r="L130" s="72"/>
      <c r="M130" s="27"/>
      <c r="N130" s="138"/>
    </row>
    <row r="131" spans="1:14" ht="15.75">
      <c r="A131" s="135"/>
      <c r="B131" s="5"/>
      <c r="C131" s="5"/>
      <c r="D131" s="5"/>
      <c r="E131" s="5"/>
      <c r="F131" s="5"/>
      <c r="G131" s="5"/>
      <c r="H131" s="5"/>
      <c r="I131" s="5"/>
      <c r="J131" s="5"/>
      <c r="K131" s="5"/>
      <c r="L131" s="52"/>
      <c r="M131" s="5"/>
      <c r="N131" s="138"/>
    </row>
    <row r="132" spans="1:14" ht="15.75">
      <c r="A132" s="119"/>
      <c r="B132" s="73" t="s">
        <v>86</v>
      </c>
      <c r="C132" s="12"/>
      <c r="D132" s="12"/>
      <c r="E132" s="12"/>
      <c r="F132" s="12"/>
      <c r="G132" s="12"/>
      <c r="H132" s="77" t="s">
        <v>163</v>
      </c>
      <c r="I132" s="77"/>
      <c r="J132" s="77" t="s">
        <v>175</v>
      </c>
      <c r="K132" s="12"/>
      <c r="L132" s="78" t="s">
        <v>189</v>
      </c>
      <c r="M132" s="10"/>
      <c r="N132" s="138"/>
    </row>
    <row r="133" spans="1:14" ht="15.75">
      <c r="A133" s="136"/>
      <c r="B133" s="27" t="s">
        <v>87</v>
      </c>
      <c r="C133" s="27"/>
      <c r="D133" s="27"/>
      <c r="E133" s="27"/>
      <c r="F133" s="27"/>
      <c r="G133" s="27"/>
      <c r="H133" s="58">
        <v>40000</v>
      </c>
      <c r="I133" s="27"/>
      <c r="J133" s="45" t="s">
        <v>176</v>
      </c>
      <c r="K133" s="27"/>
      <c r="L133" s="58"/>
      <c r="M133" s="27"/>
      <c r="N133" s="138"/>
    </row>
    <row r="134" spans="1:14" ht="15.75">
      <c r="A134" s="136"/>
      <c r="B134" s="27" t="s">
        <v>88</v>
      </c>
      <c r="C134" s="27"/>
      <c r="D134" s="27"/>
      <c r="E134" s="27"/>
      <c r="F134" s="27"/>
      <c r="G134" s="27"/>
      <c r="H134" s="58">
        <v>1903</v>
      </c>
      <c r="I134" s="27"/>
      <c r="J134" s="58">
        <v>110</v>
      </c>
      <c r="K134" s="27"/>
      <c r="L134" s="58">
        <f>J134+H134</f>
        <v>2013</v>
      </c>
      <c r="M134" s="27"/>
      <c r="N134" s="138"/>
    </row>
    <row r="135" spans="1:14" ht="15.75">
      <c r="A135" s="136"/>
      <c r="B135" s="27" t="s">
        <v>89</v>
      </c>
      <c r="C135" s="27"/>
      <c r="D135" s="27"/>
      <c r="E135" s="27"/>
      <c r="F135" s="27"/>
      <c r="G135" s="27"/>
      <c r="H135" s="58">
        <v>126</v>
      </c>
      <c r="I135" s="27"/>
      <c r="J135" s="27">
        <v>0</v>
      </c>
      <c r="K135" s="27"/>
      <c r="L135" s="58">
        <f>J135+H135</f>
        <v>126</v>
      </c>
      <c r="M135" s="27"/>
      <c r="N135" s="138"/>
    </row>
    <row r="136" spans="1:14" ht="15.75">
      <c r="A136" s="136"/>
      <c r="B136" s="27" t="s">
        <v>90</v>
      </c>
      <c r="C136" s="27"/>
      <c r="D136" s="27"/>
      <c r="E136" s="27"/>
      <c r="F136" s="27"/>
      <c r="G136" s="27"/>
      <c r="H136" s="58">
        <f>H135+H134</f>
        <v>2029</v>
      </c>
      <c r="I136" s="27"/>
      <c r="J136" s="58">
        <f>J135+J134</f>
        <v>110</v>
      </c>
      <c r="K136" s="27"/>
      <c r="L136" s="58">
        <f>J136+H136</f>
        <v>2139</v>
      </c>
      <c r="M136" s="27"/>
      <c r="N136" s="138"/>
    </row>
    <row r="137" spans="1:14" ht="15.75">
      <c r="A137" s="136"/>
      <c r="B137" s="27" t="s">
        <v>91</v>
      </c>
      <c r="C137" s="27"/>
      <c r="D137" s="27"/>
      <c r="E137" s="27"/>
      <c r="F137" s="27"/>
      <c r="G137" s="27"/>
      <c r="H137" s="58">
        <f>H133-H136</f>
        <v>37971</v>
      </c>
      <c r="I137" s="27"/>
      <c r="J137" s="45" t="s">
        <v>176</v>
      </c>
      <c r="K137" s="27"/>
      <c r="L137" s="58"/>
      <c r="M137" s="27"/>
      <c r="N137" s="138"/>
    </row>
    <row r="138" spans="1:14" ht="15.75">
      <c r="A138" s="136"/>
      <c r="B138" s="27"/>
      <c r="C138" s="27"/>
      <c r="D138" s="27"/>
      <c r="E138" s="27"/>
      <c r="F138" s="27"/>
      <c r="G138" s="27"/>
      <c r="H138" s="27"/>
      <c r="I138" s="27"/>
      <c r="J138" s="27"/>
      <c r="K138" s="27"/>
      <c r="L138" s="72"/>
      <c r="M138" s="27"/>
      <c r="N138" s="138"/>
    </row>
    <row r="139" spans="1:14" ht="15.75">
      <c r="A139" s="135"/>
      <c r="B139" s="5"/>
      <c r="C139" s="5"/>
      <c r="D139" s="5"/>
      <c r="E139" s="5"/>
      <c r="F139" s="5"/>
      <c r="G139" s="5"/>
      <c r="H139" s="5"/>
      <c r="I139" s="5"/>
      <c r="J139" s="5"/>
      <c r="K139" s="5"/>
      <c r="L139" s="52"/>
      <c r="M139" s="5"/>
      <c r="N139" s="138"/>
    </row>
    <row r="140" spans="1:14" ht="15.75">
      <c r="A140" s="119"/>
      <c r="B140" s="73" t="s">
        <v>92</v>
      </c>
      <c r="C140" s="16"/>
      <c r="D140" s="10"/>
      <c r="E140" s="10"/>
      <c r="F140" s="10"/>
      <c r="G140" s="10"/>
      <c r="H140" s="10"/>
      <c r="I140" s="10"/>
      <c r="J140" s="10"/>
      <c r="K140" s="10"/>
      <c r="L140" s="79"/>
      <c r="M140" s="10"/>
      <c r="N140" s="138"/>
    </row>
    <row r="141" spans="1:14" ht="15.75">
      <c r="A141" s="136"/>
      <c r="B141" s="27" t="s">
        <v>93</v>
      </c>
      <c r="C141" s="27"/>
      <c r="D141" s="27"/>
      <c r="E141" s="27"/>
      <c r="F141" s="27"/>
      <c r="G141" s="27"/>
      <c r="H141" s="27"/>
      <c r="I141" s="27"/>
      <c r="J141" s="27"/>
      <c r="K141" s="27"/>
      <c r="L141" s="68">
        <f>(L76+L79+L80+L81)/-L82</f>
        <v>2.418738049713193</v>
      </c>
      <c r="M141" s="27" t="s">
        <v>190</v>
      </c>
      <c r="N141" s="138"/>
    </row>
    <row r="142" spans="1:14" ht="15.75">
      <c r="A142" s="136"/>
      <c r="B142" s="27" t="s">
        <v>94</v>
      </c>
      <c r="C142" s="27"/>
      <c r="D142" s="27"/>
      <c r="E142" s="27"/>
      <c r="F142" s="27"/>
      <c r="G142" s="27"/>
      <c r="H142" s="27"/>
      <c r="I142" s="27"/>
      <c r="J142" s="27"/>
      <c r="K142" s="27"/>
      <c r="L142" s="68">
        <v>1.63</v>
      </c>
      <c r="M142" s="27" t="s">
        <v>190</v>
      </c>
      <c r="N142" s="138"/>
    </row>
    <row r="143" spans="1:14" ht="15.75">
      <c r="A143" s="136"/>
      <c r="B143" s="27" t="s">
        <v>95</v>
      </c>
      <c r="C143" s="27"/>
      <c r="D143" s="27"/>
      <c r="E143" s="27"/>
      <c r="F143" s="27"/>
      <c r="G143" s="27"/>
      <c r="H143" s="27"/>
      <c r="I143" s="27"/>
      <c r="J143" s="27"/>
      <c r="K143" s="27"/>
      <c r="L143" s="68">
        <f>(L76+SUM(L79:L83))/-L84</f>
        <v>6.762557077625571</v>
      </c>
      <c r="M143" s="27" t="s">
        <v>190</v>
      </c>
      <c r="N143" s="138"/>
    </row>
    <row r="144" spans="1:14" ht="15.75">
      <c r="A144" s="136"/>
      <c r="B144" s="27" t="s">
        <v>96</v>
      </c>
      <c r="C144" s="27"/>
      <c r="D144" s="27"/>
      <c r="E144" s="27"/>
      <c r="F144" s="27"/>
      <c r="G144" s="27"/>
      <c r="H144" s="27"/>
      <c r="I144" s="27"/>
      <c r="J144" s="27"/>
      <c r="K144" s="27"/>
      <c r="L144" s="81">
        <v>4.57</v>
      </c>
      <c r="M144" s="27" t="s">
        <v>190</v>
      </c>
      <c r="N144" s="138"/>
    </row>
    <row r="145" spans="1:14" ht="15.75">
      <c r="A145" s="136"/>
      <c r="B145" s="27" t="s">
        <v>97</v>
      </c>
      <c r="C145" s="27"/>
      <c r="D145" s="27"/>
      <c r="E145" s="27"/>
      <c r="F145" s="27"/>
      <c r="G145" s="27"/>
      <c r="H145" s="27"/>
      <c r="I145" s="27"/>
      <c r="J145" s="27"/>
      <c r="K145" s="27"/>
      <c r="L145" s="68">
        <f>(L76+L79+L80+L81+L82+L83+L84)/-L85</f>
        <v>8.194805194805195</v>
      </c>
      <c r="M145" s="27" t="s">
        <v>190</v>
      </c>
      <c r="N145" s="138"/>
    </row>
    <row r="146" spans="1:14" ht="15.75">
      <c r="A146" s="136"/>
      <c r="B146" s="27" t="s">
        <v>98</v>
      </c>
      <c r="C146" s="27"/>
      <c r="D146" s="27"/>
      <c r="E146" s="27"/>
      <c r="F146" s="27"/>
      <c r="G146" s="27"/>
      <c r="H146" s="27"/>
      <c r="I146" s="27"/>
      <c r="J146" s="27"/>
      <c r="K146" s="27"/>
      <c r="L146" s="80">
        <v>5.1</v>
      </c>
      <c r="M146" s="27" t="s">
        <v>190</v>
      </c>
      <c r="N146" s="138"/>
    </row>
    <row r="147" spans="1:14" ht="15.75">
      <c r="A147" s="136"/>
      <c r="B147" s="27"/>
      <c r="C147" s="27"/>
      <c r="D147" s="27"/>
      <c r="E147" s="27"/>
      <c r="F147" s="27"/>
      <c r="G147" s="27"/>
      <c r="H147" s="27"/>
      <c r="I147" s="27"/>
      <c r="J147" s="27"/>
      <c r="K147" s="27"/>
      <c r="L147" s="27"/>
      <c r="M147" s="27"/>
      <c r="N147" s="138"/>
    </row>
    <row r="148" spans="1:14" ht="15">
      <c r="A148" s="119"/>
      <c r="B148" s="15"/>
      <c r="C148" s="15"/>
      <c r="D148" s="15"/>
      <c r="E148" s="15"/>
      <c r="F148" s="15"/>
      <c r="G148" s="15"/>
      <c r="H148" s="15"/>
      <c r="I148" s="15"/>
      <c r="J148" s="15"/>
      <c r="K148" s="15"/>
      <c r="L148" s="15"/>
      <c r="M148" s="15"/>
      <c r="N148" s="138"/>
    </row>
    <row r="149" spans="1:14" ht="15.75">
      <c r="A149" s="135"/>
      <c r="B149" s="83" t="s">
        <v>99</v>
      </c>
      <c r="C149" s="84"/>
      <c r="D149" s="84"/>
      <c r="E149" s="84"/>
      <c r="F149" s="84"/>
      <c r="G149" s="85"/>
      <c r="H149" s="85"/>
      <c r="I149" s="85"/>
      <c r="J149" s="85">
        <v>36950</v>
      </c>
      <c r="K149" s="86"/>
      <c r="L149" s="5"/>
      <c r="M149" s="5"/>
      <c r="N149" s="138"/>
    </row>
    <row r="150" spans="1:14" ht="15.75">
      <c r="A150" s="119"/>
      <c r="B150" s="89"/>
      <c r="C150" s="90"/>
      <c r="D150" s="90"/>
      <c r="E150" s="90"/>
      <c r="F150" s="90"/>
      <c r="G150" s="91"/>
      <c r="H150" s="91"/>
      <c r="I150" s="91"/>
      <c r="J150" s="91"/>
      <c r="K150" s="10"/>
      <c r="L150" s="10"/>
      <c r="M150" s="10"/>
      <c r="N150" s="138"/>
    </row>
    <row r="151" spans="1:14" ht="15.75">
      <c r="A151" s="136"/>
      <c r="B151" s="93" t="s">
        <v>100</v>
      </c>
      <c r="C151" s="94"/>
      <c r="D151" s="94"/>
      <c r="E151" s="94"/>
      <c r="F151" s="94"/>
      <c r="G151" s="75"/>
      <c r="H151" s="75"/>
      <c r="I151" s="75"/>
      <c r="J151" s="95">
        <v>0.0981</v>
      </c>
      <c r="K151" s="27"/>
      <c r="L151" s="27"/>
      <c r="M151" s="27"/>
      <c r="N151" s="138"/>
    </row>
    <row r="152" spans="1:14" ht="15.75">
      <c r="A152" s="136"/>
      <c r="B152" s="93" t="s">
        <v>101</v>
      </c>
      <c r="C152" s="94"/>
      <c r="D152" s="94"/>
      <c r="E152" s="94"/>
      <c r="F152" s="94"/>
      <c r="G152" s="75"/>
      <c r="H152" s="75"/>
      <c r="I152" s="75"/>
      <c r="J152" s="44">
        <f>6.96640642439395/100</f>
        <v>0.0696640642439395</v>
      </c>
      <c r="K152" s="27"/>
      <c r="L152" s="27"/>
      <c r="M152" s="27"/>
      <c r="N152" s="138"/>
    </row>
    <row r="153" spans="1:14" ht="15.75">
      <c r="A153" s="136"/>
      <c r="B153" s="93" t="s">
        <v>102</v>
      </c>
      <c r="C153" s="94"/>
      <c r="D153" s="94"/>
      <c r="E153" s="94"/>
      <c r="F153" s="94"/>
      <c r="G153" s="75"/>
      <c r="H153" s="75"/>
      <c r="I153" s="75"/>
      <c r="J153" s="95">
        <f>J151-J152</f>
        <v>0.0284359357560605</v>
      </c>
      <c r="K153" s="27"/>
      <c r="L153" s="27"/>
      <c r="M153" s="27"/>
      <c r="N153" s="138"/>
    </row>
    <row r="154" spans="1:14" ht="15.75">
      <c r="A154" s="136"/>
      <c r="B154" s="93" t="s">
        <v>103</v>
      </c>
      <c r="C154" s="94"/>
      <c r="D154" s="94"/>
      <c r="E154" s="94"/>
      <c r="F154" s="94"/>
      <c r="G154" s="75"/>
      <c r="H154" s="75"/>
      <c r="I154" s="75"/>
      <c r="J154" s="95">
        <v>0.09048</v>
      </c>
      <c r="K154" s="27"/>
      <c r="L154" s="27"/>
      <c r="M154" s="27"/>
      <c r="N154" s="138"/>
    </row>
    <row r="155" spans="1:14" ht="15.75">
      <c r="A155" s="136"/>
      <c r="B155" s="93" t="s">
        <v>104</v>
      </c>
      <c r="C155" s="94"/>
      <c r="D155" s="94"/>
      <c r="E155" s="94"/>
      <c r="F155" s="94"/>
      <c r="G155" s="75"/>
      <c r="H155" s="75"/>
      <c r="I155" s="75"/>
      <c r="J155" s="95">
        <f>L30</f>
        <v>0.06255008528123757</v>
      </c>
      <c r="K155" s="27"/>
      <c r="L155" s="27"/>
      <c r="M155" s="27"/>
      <c r="N155" s="138"/>
    </row>
    <row r="156" spans="1:14" ht="15.75">
      <c r="A156" s="136"/>
      <c r="B156" s="93" t="s">
        <v>105</v>
      </c>
      <c r="C156" s="94"/>
      <c r="D156" s="94"/>
      <c r="E156" s="94"/>
      <c r="F156" s="94"/>
      <c r="G156" s="75"/>
      <c r="H156" s="75"/>
      <c r="I156" s="75"/>
      <c r="J156" s="95">
        <f>J154-J155</f>
        <v>0.02792991471876244</v>
      </c>
      <c r="K156" s="27"/>
      <c r="L156" s="27"/>
      <c r="M156" s="27"/>
      <c r="N156" s="138"/>
    </row>
    <row r="157" spans="1:14" ht="15.75">
      <c r="A157" s="136"/>
      <c r="B157" s="93" t="s">
        <v>106</v>
      </c>
      <c r="C157" s="94"/>
      <c r="D157" s="94"/>
      <c r="E157" s="94"/>
      <c r="F157" s="94"/>
      <c r="G157" s="75"/>
      <c r="H157" s="75"/>
      <c r="I157" s="75"/>
      <c r="J157" s="95" t="s">
        <v>177</v>
      </c>
      <c r="K157" s="27"/>
      <c r="L157" s="27"/>
      <c r="M157" s="27"/>
      <c r="N157" s="138"/>
    </row>
    <row r="158" spans="1:14" ht="15.75">
      <c r="A158" s="136"/>
      <c r="B158" s="93" t="s">
        <v>107</v>
      </c>
      <c r="C158" s="94"/>
      <c r="D158" s="94"/>
      <c r="E158" s="94"/>
      <c r="F158" s="94"/>
      <c r="G158" s="75"/>
      <c r="H158" s="75"/>
      <c r="I158" s="75"/>
      <c r="J158" s="95" t="s">
        <v>178</v>
      </c>
      <c r="K158" s="27"/>
      <c r="L158" s="27"/>
      <c r="M158" s="27"/>
      <c r="N158" s="138"/>
    </row>
    <row r="159" spans="1:14" ht="15.75">
      <c r="A159" s="136"/>
      <c r="B159" s="93" t="s">
        <v>108</v>
      </c>
      <c r="C159" s="94"/>
      <c r="D159" s="94"/>
      <c r="E159" s="94"/>
      <c r="F159" s="94"/>
      <c r="G159" s="75"/>
      <c r="H159" s="75"/>
      <c r="I159" s="75"/>
      <c r="J159" s="95" t="s">
        <v>200</v>
      </c>
      <c r="K159" s="27"/>
      <c r="L159" s="27"/>
      <c r="M159" s="27"/>
      <c r="N159" s="138"/>
    </row>
    <row r="160" spans="1:14" ht="15.75">
      <c r="A160" s="136"/>
      <c r="B160" s="93" t="s">
        <v>109</v>
      </c>
      <c r="C160" s="94"/>
      <c r="D160" s="94"/>
      <c r="E160" s="94"/>
      <c r="F160" s="94"/>
      <c r="G160" s="75"/>
      <c r="H160" s="133"/>
      <c r="I160" s="75"/>
      <c r="J160" s="95">
        <f>F54/D54*4</f>
        <v>0.23985486090837052</v>
      </c>
      <c r="K160" s="27"/>
      <c r="L160" s="27"/>
      <c r="M160" s="27"/>
      <c r="N160" s="138"/>
    </row>
    <row r="161" spans="1:14" ht="15.75">
      <c r="A161" s="136"/>
      <c r="B161" s="93"/>
      <c r="C161" s="93"/>
      <c r="D161" s="93"/>
      <c r="E161" s="93"/>
      <c r="F161" s="93"/>
      <c r="G161" s="27"/>
      <c r="H161" s="27"/>
      <c r="I161" s="27"/>
      <c r="J161" s="72"/>
      <c r="K161" s="27"/>
      <c r="L161" s="97"/>
      <c r="M161" s="27"/>
      <c r="N161" s="138"/>
    </row>
    <row r="162" spans="1:14" ht="15.75">
      <c r="A162" s="119"/>
      <c r="B162" s="17" t="s">
        <v>110</v>
      </c>
      <c r="C162" s="20"/>
      <c r="D162" s="99"/>
      <c r="E162" s="20"/>
      <c r="F162" s="99"/>
      <c r="G162" s="20"/>
      <c r="H162" s="99"/>
      <c r="I162" s="20" t="s">
        <v>164</v>
      </c>
      <c r="J162" s="99" t="s">
        <v>180</v>
      </c>
      <c r="K162" s="18"/>
      <c r="L162" s="18"/>
      <c r="M162" s="10"/>
      <c r="N162" s="138"/>
    </row>
    <row r="163" spans="1:14" ht="15.75">
      <c r="A163" s="136"/>
      <c r="B163" s="93" t="s">
        <v>111</v>
      </c>
      <c r="C163" s="59"/>
      <c r="D163" s="59"/>
      <c r="E163" s="59"/>
      <c r="F163" s="27"/>
      <c r="G163" s="27"/>
      <c r="H163" s="27"/>
      <c r="I163" s="27">
        <v>99</v>
      </c>
      <c r="J163" s="58">
        <v>6112</v>
      </c>
      <c r="K163" s="27"/>
      <c r="L163" s="97"/>
      <c r="M163" s="102"/>
      <c r="N163" s="138"/>
    </row>
    <row r="164" spans="1:14" ht="15.75">
      <c r="A164" s="136"/>
      <c r="B164" s="93" t="s">
        <v>112</v>
      </c>
      <c r="C164" s="59"/>
      <c r="D164" s="59"/>
      <c r="E164" s="59"/>
      <c r="F164" s="27"/>
      <c r="G164" s="27"/>
      <c r="H164" s="27"/>
      <c r="I164" s="27">
        <v>8</v>
      </c>
      <c r="J164" s="58">
        <v>497</v>
      </c>
      <c r="K164" s="27"/>
      <c r="L164" s="97"/>
      <c r="M164" s="102"/>
      <c r="N164" s="138"/>
    </row>
    <row r="165" spans="1:14" ht="15.75">
      <c r="A165" s="136"/>
      <c r="B165" s="103" t="s">
        <v>113</v>
      </c>
      <c r="C165" s="59"/>
      <c r="D165" s="59"/>
      <c r="E165" s="59"/>
      <c r="F165" s="27"/>
      <c r="G165" s="27"/>
      <c r="H165" s="27"/>
      <c r="I165" s="27"/>
      <c r="J165" s="58">
        <v>0</v>
      </c>
      <c r="K165" s="27"/>
      <c r="L165" s="97"/>
      <c r="M165" s="102"/>
      <c r="N165" s="138"/>
    </row>
    <row r="166" spans="1:14" ht="15.75">
      <c r="A166" s="136"/>
      <c r="B166" s="103" t="s">
        <v>114</v>
      </c>
      <c r="C166" s="59"/>
      <c r="D166" s="59"/>
      <c r="E166" s="59"/>
      <c r="F166" s="27"/>
      <c r="G166" s="27"/>
      <c r="H166" s="27"/>
      <c r="I166" s="27"/>
      <c r="J166" s="68" t="s">
        <v>139</v>
      </c>
      <c r="K166" s="27"/>
      <c r="L166" s="97"/>
      <c r="M166" s="102"/>
      <c r="N166" s="138"/>
    </row>
    <row r="167" spans="1:14" ht="15.75">
      <c r="A167" s="136"/>
      <c r="B167" s="103" t="s">
        <v>115</v>
      </c>
      <c r="C167" s="59"/>
      <c r="D167" s="93"/>
      <c r="E167" s="93"/>
      <c r="F167" s="93"/>
      <c r="G167" s="27"/>
      <c r="H167" s="27"/>
      <c r="I167" s="27"/>
      <c r="J167" s="68"/>
      <c r="K167" s="27"/>
      <c r="L167" s="97"/>
      <c r="M167" s="105"/>
      <c r="N167" s="138"/>
    </row>
    <row r="168" spans="1:14" ht="15.75">
      <c r="A168" s="136"/>
      <c r="B168" s="93" t="s">
        <v>116</v>
      </c>
      <c r="C168" s="59"/>
      <c r="D168" s="59"/>
      <c r="E168" s="59"/>
      <c r="F168" s="59"/>
      <c r="G168" s="27"/>
      <c r="H168" s="27"/>
      <c r="I168" s="27">
        <v>5</v>
      </c>
      <c r="J168" s="58">
        <v>148</v>
      </c>
      <c r="K168" s="27"/>
      <c r="L168" s="97"/>
      <c r="M168" s="105"/>
      <c r="N168" s="138"/>
    </row>
    <row r="169" spans="1:14" ht="15.75">
      <c r="A169" s="136"/>
      <c r="B169" s="93" t="s">
        <v>117</v>
      </c>
      <c r="C169" s="59"/>
      <c r="D169" s="59"/>
      <c r="E169" s="59"/>
      <c r="F169" s="59"/>
      <c r="G169" s="27"/>
      <c r="H169" s="27"/>
      <c r="I169" s="58">
        <v>101</v>
      </c>
      <c r="J169" s="58">
        <v>1746</v>
      </c>
      <c r="K169" s="27"/>
      <c r="L169" s="97"/>
      <c r="M169" s="105"/>
      <c r="N169" s="138"/>
    </row>
    <row r="170" spans="1:14" ht="15.75">
      <c r="A170" s="136"/>
      <c r="B170" s="93" t="s">
        <v>208</v>
      </c>
      <c r="C170" s="59"/>
      <c r="D170" s="59"/>
      <c r="E170" s="59"/>
      <c r="F170" s="59"/>
      <c r="G170" s="27"/>
      <c r="H170" s="27"/>
      <c r="I170" s="58"/>
      <c r="J170" s="58">
        <v>82</v>
      </c>
      <c r="K170" s="27"/>
      <c r="L170" s="97"/>
      <c r="M170" s="105"/>
      <c r="N170" s="138"/>
    </row>
    <row r="171" spans="1:14" ht="15.75">
      <c r="A171" s="136"/>
      <c r="B171" s="103" t="s">
        <v>118</v>
      </c>
      <c r="C171" s="59"/>
      <c r="D171" s="93"/>
      <c r="E171" s="93"/>
      <c r="F171" s="93"/>
      <c r="G171" s="27"/>
      <c r="H171" s="27"/>
      <c r="I171" s="27"/>
      <c r="J171" s="58"/>
      <c r="K171" s="27"/>
      <c r="L171" s="97"/>
      <c r="M171" s="105"/>
      <c r="N171" s="138"/>
    </row>
    <row r="172" spans="1:14" ht="15.75">
      <c r="A172" s="136"/>
      <c r="B172" s="93" t="s">
        <v>119</v>
      </c>
      <c r="C172" s="59"/>
      <c r="D172" s="93"/>
      <c r="E172" s="93"/>
      <c r="F172" s="93"/>
      <c r="G172" s="27"/>
      <c r="H172" s="27"/>
      <c r="I172" s="27">
        <v>4</v>
      </c>
      <c r="J172" s="58">
        <v>292</v>
      </c>
      <c r="K172" s="27"/>
      <c r="L172" s="97"/>
      <c r="M172" s="105"/>
      <c r="N172" s="138"/>
    </row>
    <row r="173" spans="1:14" ht="15.75">
      <c r="A173" s="136"/>
      <c r="B173" s="93" t="s">
        <v>120</v>
      </c>
      <c r="C173" s="59"/>
      <c r="D173" s="106"/>
      <c r="E173" s="106"/>
      <c r="F173" s="107"/>
      <c r="G173" s="27"/>
      <c r="H173" s="27"/>
      <c r="I173" s="27"/>
      <c r="J173" s="68">
        <v>30.414</v>
      </c>
      <c r="K173" s="27"/>
      <c r="L173" s="97"/>
      <c r="M173" s="105"/>
      <c r="N173" s="138"/>
    </row>
    <row r="174" spans="1:14" ht="15.75">
      <c r="A174" s="136"/>
      <c r="B174" s="93" t="s">
        <v>197</v>
      </c>
      <c r="C174" s="59"/>
      <c r="D174" s="106"/>
      <c r="E174" s="106"/>
      <c r="F174" s="107"/>
      <c r="G174" s="27"/>
      <c r="H174" s="27"/>
      <c r="I174" s="27"/>
      <c r="J174" s="68">
        <v>6</v>
      </c>
      <c r="K174" s="27"/>
      <c r="L174" s="97"/>
      <c r="M174" s="105"/>
      <c r="N174" s="138"/>
    </row>
    <row r="175" spans="1:14" ht="15.75">
      <c r="A175" s="136"/>
      <c r="B175" s="93" t="s">
        <v>122</v>
      </c>
      <c r="C175" s="59"/>
      <c r="D175" s="108"/>
      <c r="E175" s="106"/>
      <c r="F175" s="107"/>
      <c r="G175" s="27"/>
      <c r="H175" s="27"/>
      <c r="I175" s="27"/>
      <c r="J175" s="109">
        <v>0.9315</v>
      </c>
      <c r="K175" s="27"/>
      <c r="L175" s="97"/>
      <c r="M175" s="105"/>
      <c r="N175" s="138"/>
    </row>
    <row r="176" spans="1:14" ht="15.75">
      <c r="A176" s="136"/>
      <c r="B176" s="93"/>
      <c r="C176" s="59"/>
      <c r="D176" s="108"/>
      <c r="E176" s="106"/>
      <c r="F176" s="107"/>
      <c r="G176" s="27"/>
      <c r="H176" s="27"/>
      <c r="I176" s="27"/>
      <c r="J176" s="109"/>
      <c r="K176" s="27"/>
      <c r="L176" s="97"/>
      <c r="M176" s="105"/>
      <c r="N176" s="138"/>
    </row>
    <row r="177" spans="1:14" ht="15.75">
      <c r="A177" s="119"/>
      <c r="B177" s="17" t="s">
        <v>123</v>
      </c>
      <c r="C177" s="20"/>
      <c r="D177" s="99"/>
      <c r="E177" s="20"/>
      <c r="F177" s="99"/>
      <c r="G177" s="20"/>
      <c r="H177" s="99" t="s">
        <v>164</v>
      </c>
      <c r="I177" s="20" t="s">
        <v>165</v>
      </c>
      <c r="J177" s="99" t="s">
        <v>181</v>
      </c>
      <c r="K177" s="20" t="s">
        <v>165</v>
      </c>
      <c r="L177" s="18"/>
      <c r="M177" s="112"/>
      <c r="N177" s="138"/>
    </row>
    <row r="178" spans="1:14" ht="15.75">
      <c r="A178" s="136"/>
      <c r="B178" s="59" t="s">
        <v>124</v>
      </c>
      <c r="C178" s="113"/>
      <c r="D178" s="59"/>
      <c r="E178" s="113"/>
      <c r="F178" s="27"/>
      <c r="G178" s="113"/>
      <c r="H178" s="59">
        <f>745+1273</f>
        <v>2018</v>
      </c>
      <c r="I178" s="113">
        <f>H178/H184</f>
        <v>0.8130539887187752</v>
      </c>
      <c r="J178" s="58">
        <f>27767+42275+102</f>
        <v>70144</v>
      </c>
      <c r="K178" s="113">
        <f>J178/J184</f>
        <v>0.7769347496206374</v>
      </c>
      <c r="L178" s="97"/>
      <c r="M178" s="105"/>
      <c r="N178" s="138"/>
    </row>
    <row r="179" spans="1:14" ht="15.75">
      <c r="A179" s="136"/>
      <c r="B179" s="59" t="s">
        <v>125</v>
      </c>
      <c r="C179" s="113"/>
      <c r="D179" s="59"/>
      <c r="E179" s="113"/>
      <c r="F179" s="27"/>
      <c r="G179" s="115"/>
      <c r="H179" s="59">
        <f>42+34</f>
        <v>76</v>
      </c>
      <c r="I179" s="113">
        <f>H179/H184</f>
        <v>0.030620467365028204</v>
      </c>
      <c r="J179" s="58">
        <f>1882+1225</f>
        <v>3107</v>
      </c>
      <c r="K179" s="113">
        <f>J179/J184</f>
        <v>0.03441400928192462</v>
      </c>
      <c r="L179" s="97"/>
      <c r="M179" s="105"/>
      <c r="N179" s="138"/>
    </row>
    <row r="180" spans="1:14" ht="15.75">
      <c r="A180" s="136"/>
      <c r="B180" s="59" t="s">
        <v>126</v>
      </c>
      <c r="C180" s="113"/>
      <c r="D180" s="59"/>
      <c r="E180" s="113"/>
      <c r="F180" s="27"/>
      <c r="G180" s="115"/>
      <c r="H180" s="59">
        <f>24+16</f>
        <v>40</v>
      </c>
      <c r="I180" s="113">
        <f>H180/H184</f>
        <v>0.016116035455278</v>
      </c>
      <c r="J180" s="58">
        <f>956+543</f>
        <v>1499</v>
      </c>
      <c r="K180" s="113">
        <f>J180/J184</f>
        <v>0.016603347252528163</v>
      </c>
      <c r="L180" s="97"/>
      <c r="M180" s="105"/>
      <c r="N180" s="138"/>
    </row>
    <row r="181" spans="1:14" ht="15.75">
      <c r="A181" s="136"/>
      <c r="B181" s="59" t="s">
        <v>127</v>
      </c>
      <c r="C181" s="113"/>
      <c r="D181" s="59"/>
      <c r="E181" s="113"/>
      <c r="F181" s="27"/>
      <c r="G181" s="115"/>
      <c r="H181" s="59">
        <f>17+231+23+77</f>
        <v>348</v>
      </c>
      <c r="I181" s="113">
        <f>H181/H184</f>
        <v>0.14020950846091862</v>
      </c>
      <c r="J181" s="58">
        <f>853+11396+23+823+1906+1031-1000+501</f>
        <v>15533</v>
      </c>
      <c r="K181" s="113">
        <f>J181/J184</f>
        <v>0.1720478938449099</v>
      </c>
      <c r="L181" s="97"/>
      <c r="M181" s="105"/>
      <c r="N181" s="138"/>
    </row>
    <row r="182" spans="1:14" ht="15.75">
      <c r="A182" s="136"/>
      <c r="B182" s="30"/>
      <c r="C182" s="113"/>
      <c r="D182" s="59"/>
      <c r="E182" s="113"/>
      <c r="F182" s="27"/>
      <c r="G182" s="115"/>
      <c r="H182" s="59"/>
      <c r="I182" s="113"/>
      <c r="J182" s="58"/>
      <c r="K182" s="114"/>
      <c r="L182" s="97"/>
      <c r="M182" s="105"/>
      <c r="N182" s="138"/>
    </row>
    <row r="183" spans="1:14" ht="15.75">
      <c r="A183" s="136"/>
      <c r="B183" s="59"/>
      <c r="C183" s="116"/>
      <c r="D183" s="102"/>
      <c r="E183" s="116"/>
      <c r="F183" s="27"/>
      <c r="G183" s="116"/>
      <c r="H183" s="102"/>
      <c r="I183" s="116"/>
      <c r="J183" s="58"/>
      <c r="K183" s="113"/>
      <c r="L183" s="97"/>
      <c r="M183" s="105"/>
      <c r="N183" s="138"/>
    </row>
    <row r="184" spans="1:14" ht="15.75">
      <c r="A184" s="136"/>
      <c r="B184" s="27"/>
      <c r="C184" s="27"/>
      <c r="D184" s="27"/>
      <c r="E184" s="27"/>
      <c r="F184" s="27"/>
      <c r="G184" s="27"/>
      <c r="H184" s="57">
        <f>SUM(H178:H182)</f>
        <v>2482</v>
      </c>
      <c r="I184" s="114">
        <f>SUM(I178:I181)</f>
        <v>1</v>
      </c>
      <c r="J184" s="58">
        <f>SUM(J178:J183)</f>
        <v>90283</v>
      </c>
      <c r="K184" s="114">
        <f>SUM(K178:K183)</f>
        <v>1</v>
      </c>
      <c r="L184" s="97"/>
      <c r="M184" s="27"/>
      <c r="N184" s="138"/>
    </row>
    <row r="185" spans="1:14" ht="15.75">
      <c r="A185" s="136"/>
      <c r="B185" s="27"/>
      <c r="C185" s="27"/>
      <c r="D185" s="27"/>
      <c r="E185" s="27"/>
      <c r="F185" s="27"/>
      <c r="G185" s="27"/>
      <c r="H185" s="57"/>
      <c r="I185" s="114"/>
      <c r="J185" s="58"/>
      <c r="K185" s="114"/>
      <c r="L185" s="97"/>
      <c r="M185" s="27"/>
      <c r="N185" s="138"/>
    </row>
    <row r="186" spans="1:14" ht="15.75">
      <c r="A186" s="119"/>
      <c r="B186" s="10"/>
      <c r="C186" s="10"/>
      <c r="D186" s="10"/>
      <c r="E186" s="10"/>
      <c r="F186" s="10"/>
      <c r="G186" s="10"/>
      <c r="H186" s="60"/>
      <c r="I186" s="117"/>
      <c r="J186" s="118"/>
      <c r="K186" s="117"/>
      <c r="L186" s="79"/>
      <c r="M186" s="10"/>
      <c r="N186" s="138"/>
    </row>
    <row r="187" spans="1:14" ht="15.75">
      <c r="A187" s="119"/>
      <c r="B187" s="17" t="s">
        <v>129</v>
      </c>
      <c r="C187" s="120"/>
      <c r="D187" s="20" t="s">
        <v>144</v>
      </c>
      <c r="E187" s="18"/>
      <c r="F187" s="17" t="s">
        <v>154</v>
      </c>
      <c r="G187" s="121"/>
      <c r="H187" s="121"/>
      <c r="I187" s="121"/>
      <c r="J187" s="121"/>
      <c r="K187" s="15"/>
      <c r="L187" s="15"/>
      <c r="M187" s="15"/>
      <c r="N187" s="138"/>
    </row>
    <row r="188" spans="1:14" ht="15.75">
      <c r="A188" s="119"/>
      <c r="B188" s="15"/>
      <c r="C188" s="15"/>
      <c r="D188" s="10"/>
      <c r="E188" s="10"/>
      <c r="F188" s="10"/>
      <c r="G188" s="15"/>
      <c r="H188" s="15"/>
      <c r="I188" s="15"/>
      <c r="J188" s="15"/>
      <c r="K188" s="15"/>
      <c r="L188" s="15"/>
      <c r="M188" s="15"/>
      <c r="N188" s="138"/>
    </row>
    <row r="189" spans="1:14" ht="15.75">
      <c r="A189" s="119"/>
      <c r="B189" s="16" t="s">
        <v>130</v>
      </c>
      <c r="C189" s="124"/>
      <c r="D189" s="125" t="s">
        <v>145</v>
      </c>
      <c r="E189" s="16"/>
      <c r="F189" s="16" t="s">
        <v>155</v>
      </c>
      <c r="G189" s="124"/>
      <c r="H189" s="124"/>
      <c r="I189" s="124"/>
      <c r="J189" s="124"/>
      <c r="K189" s="15"/>
      <c r="L189" s="15"/>
      <c r="M189" s="15"/>
      <c r="N189" s="138"/>
    </row>
    <row r="190" spans="1:14" ht="15.75">
      <c r="A190" s="119"/>
      <c r="B190" s="16" t="s">
        <v>131</v>
      </c>
      <c r="C190" s="124"/>
      <c r="D190" s="125" t="s">
        <v>146</v>
      </c>
      <c r="E190" s="16"/>
      <c r="F190" s="16" t="s">
        <v>156</v>
      </c>
      <c r="G190" s="124"/>
      <c r="H190" s="124"/>
      <c r="I190" s="124"/>
      <c r="J190" s="124"/>
      <c r="K190" s="15"/>
      <c r="L190" s="15"/>
      <c r="M190" s="15"/>
      <c r="N190" s="138"/>
    </row>
    <row r="191" spans="1:13" ht="15">
      <c r="A191" s="141"/>
      <c r="B191" s="141"/>
      <c r="C191" s="141"/>
      <c r="D191" s="141"/>
      <c r="E191" s="141"/>
      <c r="F191" s="141"/>
      <c r="G191" s="141"/>
      <c r="H191" s="141"/>
      <c r="I191" s="141"/>
      <c r="J191" s="141"/>
      <c r="K191" s="141"/>
      <c r="L191" s="141"/>
      <c r="M191" s="141"/>
    </row>
  </sheetData>
  <printOptions/>
  <pageMargins left="0.5" right="0.5" top="0.3" bottom="0.3423611111111111" header="0" footer="0"/>
  <pageSetup orientation="landscape" paperSize="9" scale="63"/>
  <headerFooter alignWithMargins="0">
    <oddFooter>&amp;LFFP1 INVESTOR REPORT QTR END AUGUST 2001</oddFooter>
  </headerFooter>
</worksheet>
</file>

<file path=xl/worksheets/sheet9.xml><?xml version="1.0" encoding="utf-8"?>
<worksheet xmlns="http://schemas.openxmlformats.org/spreadsheetml/2006/main" xmlns:r="http://schemas.openxmlformats.org/officeDocument/2006/relationships">
  <dimension ref="A1:N191"/>
  <sheetViews>
    <sheetView showOutlineSymbols="0" zoomScale="70" zoomScaleNormal="70" workbookViewId="0" topLeftCell="C1">
      <selection activeCell="M9" sqref="M9"/>
    </sheetView>
  </sheetViews>
  <sheetFormatPr defaultColWidth="8.88671875" defaultRowHeight="15"/>
  <cols>
    <col min="1" max="1" width="7.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9.6640625" style="1" customWidth="1"/>
    <col min="12" max="12" width="13.6640625" style="1" customWidth="1"/>
    <col min="13" max="13" width="18.5546875" style="1" customWidth="1"/>
    <col min="14" max="16384" width="9.6640625" style="1" customWidth="1"/>
  </cols>
  <sheetData>
    <row r="1" spans="1:14" ht="20.25">
      <c r="A1" s="135"/>
      <c r="B1" s="3" t="s">
        <v>0</v>
      </c>
      <c r="C1" s="4"/>
      <c r="D1" s="5"/>
      <c r="E1" s="5"/>
      <c r="F1" s="5"/>
      <c r="G1" s="5"/>
      <c r="H1" s="5"/>
      <c r="I1" s="5"/>
      <c r="J1" s="5"/>
      <c r="K1" s="5"/>
      <c r="L1" s="5"/>
      <c r="M1" s="5"/>
      <c r="N1" s="138"/>
    </row>
    <row r="2" spans="1:14" ht="15.75">
      <c r="A2" s="119"/>
      <c r="B2" s="9"/>
      <c r="C2" s="9"/>
      <c r="D2" s="10"/>
      <c r="E2" s="10"/>
      <c r="F2" s="10"/>
      <c r="G2" s="10"/>
      <c r="H2" s="10"/>
      <c r="I2" s="10"/>
      <c r="J2" s="10"/>
      <c r="K2" s="10"/>
      <c r="L2" s="10"/>
      <c r="M2" s="10"/>
      <c r="N2" s="138"/>
    </row>
    <row r="3" spans="1:14" ht="15.75">
      <c r="A3" s="119"/>
      <c r="B3" s="12" t="s">
        <v>1</v>
      </c>
      <c r="C3" s="10"/>
      <c r="D3" s="10"/>
      <c r="E3" s="10"/>
      <c r="F3" s="10"/>
      <c r="G3" s="10"/>
      <c r="H3" s="10"/>
      <c r="I3" s="10"/>
      <c r="J3" s="10"/>
      <c r="K3" s="10"/>
      <c r="L3" s="10"/>
      <c r="M3" s="10"/>
      <c r="N3" s="138"/>
    </row>
    <row r="4" spans="1:14" ht="15.75">
      <c r="A4" s="119"/>
      <c r="B4" s="9"/>
      <c r="C4" s="9"/>
      <c r="D4" s="10"/>
      <c r="E4" s="10"/>
      <c r="F4" s="10"/>
      <c r="G4" s="10"/>
      <c r="H4" s="10"/>
      <c r="I4" s="10"/>
      <c r="J4" s="10"/>
      <c r="K4" s="10"/>
      <c r="L4" s="10"/>
      <c r="M4" s="10"/>
      <c r="N4" s="138"/>
    </row>
    <row r="5" spans="1:14" ht="15.75">
      <c r="A5" s="119"/>
      <c r="B5" s="13" t="s">
        <v>2</v>
      </c>
      <c r="C5" s="14"/>
      <c r="D5" s="10"/>
      <c r="E5" s="10"/>
      <c r="F5" s="10"/>
      <c r="G5" s="10"/>
      <c r="H5" s="10"/>
      <c r="I5" s="10"/>
      <c r="J5" s="10"/>
      <c r="K5" s="10"/>
      <c r="L5" s="10"/>
      <c r="M5" s="10"/>
      <c r="N5" s="138"/>
    </row>
    <row r="6" spans="1:14" ht="15.75">
      <c r="A6" s="119"/>
      <c r="B6" s="13" t="s">
        <v>3</v>
      </c>
      <c r="C6" s="14"/>
      <c r="D6" s="10"/>
      <c r="E6" s="10"/>
      <c r="F6" s="10"/>
      <c r="G6" s="10"/>
      <c r="H6" s="10"/>
      <c r="I6" s="10"/>
      <c r="J6" s="10"/>
      <c r="K6" s="10"/>
      <c r="L6" s="10"/>
      <c r="M6" s="10"/>
      <c r="N6" s="138"/>
    </row>
    <row r="7" spans="1:14" ht="15.75">
      <c r="A7" s="119"/>
      <c r="B7" s="13" t="s">
        <v>4</v>
      </c>
      <c r="C7" s="14"/>
      <c r="D7" s="10"/>
      <c r="E7" s="10"/>
      <c r="F7" s="10"/>
      <c r="G7" s="10"/>
      <c r="H7" s="10"/>
      <c r="I7" s="10"/>
      <c r="J7" s="10"/>
      <c r="K7" s="10"/>
      <c r="L7" s="10"/>
      <c r="M7" s="10"/>
      <c r="N7" s="138"/>
    </row>
    <row r="8" spans="1:14" ht="15.75">
      <c r="A8" s="119"/>
      <c r="B8" s="15"/>
      <c r="C8" s="14"/>
      <c r="D8" s="10"/>
      <c r="E8" s="10"/>
      <c r="F8" s="10"/>
      <c r="G8" s="10"/>
      <c r="H8" s="10"/>
      <c r="I8" s="10"/>
      <c r="J8" s="10"/>
      <c r="K8" s="10"/>
      <c r="L8" s="10"/>
      <c r="M8" s="10"/>
      <c r="N8" s="138"/>
    </row>
    <row r="9" spans="1:14" ht="15.75">
      <c r="A9" s="119"/>
      <c r="B9" s="14"/>
      <c r="C9" s="14"/>
      <c r="D9" s="16"/>
      <c r="E9" s="16"/>
      <c r="F9" s="10"/>
      <c r="G9" s="10"/>
      <c r="H9" s="10"/>
      <c r="I9" s="10"/>
      <c r="J9" s="10"/>
      <c r="K9" s="10"/>
      <c r="L9" s="10"/>
      <c r="M9" s="10"/>
      <c r="N9" s="138"/>
    </row>
    <row r="10" spans="1:14" ht="15.75">
      <c r="A10" s="119"/>
      <c r="B10" s="17" t="s">
        <v>5</v>
      </c>
      <c r="C10" s="16"/>
      <c r="D10" s="10"/>
      <c r="E10" s="10"/>
      <c r="F10" s="10"/>
      <c r="G10" s="10"/>
      <c r="H10" s="10"/>
      <c r="I10" s="10"/>
      <c r="J10" s="10"/>
      <c r="K10" s="10"/>
      <c r="L10" s="10"/>
      <c r="M10" s="10"/>
      <c r="N10" s="138"/>
    </row>
    <row r="11" spans="1:14" ht="15.75">
      <c r="A11" s="119"/>
      <c r="B11" s="16"/>
      <c r="C11" s="16"/>
      <c r="D11" s="10"/>
      <c r="E11" s="10"/>
      <c r="F11" s="10"/>
      <c r="G11" s="10"/>
      <c r="H11" s="10"/>
      <c r="I11" s="10"/>
      <c r="J11" s="10"/>
      <c r="K11" s="10"/>
      <c r="L11" s="10"/>
      <c r="M11" s="10"/>
      <c r="N11" s="138"/>
    </row>
    <row r="12" spans="1:14" ht="15.75">
      <c r="A12" s="135"/>
      <c r="B12" s="5"/>
      <c r="C12" s="5"/>
      <c r="D12" s="5"/>
      <c r="E12" s="5"/>
      <c r="F12" s="5"/>
      <c r="G12" s="5"/>
      <c r="H12" s="5"/>
      <c r="I12" s="5"/>
      <c r="J12" s="5"/>
      <c r="K12" s="5"/>
      <c r="L12" s="5"/>
      <c r="M12" s="5"/>
      <c r="N12" s="138"/>
    </row>
    <row r="13" spans="1:14" ht="15.75">
      <c r="A13" s="119"/>
      <c r="B13" s="17" t="s">
        <v>6</v>
      </c>
      <c r="C13" s="17"/>
      <c r="D13" s="18"/>
      <c r="E13" s="18"/>
      <c r="F13" s="18"/>
      <c r="G13" s="18"/>
      <c r="H13" s="18"/>
      <c r="I13" s="18"/>
      <c r="J13" s="18"/>
      <c r="K13" s="18"/>
      <c r="L13" s="19" t="s">
        <v>183</v>
      </c>
      <c r="M13" s="10"/>
      <c r="N13" s="138"/>
    </row>
    <row r="14" spans="1:14" ht="15.75">
      <c r="A14" s="8"/>
      <c r="B14" s="17" t="s">
        <v>206</v>
      </c>
      <c r="C14" s="17"/>
      <c r="D14" s="18"/>
      <c r="E14" s="18"/>
      <c r="F14" s="18"/>
      <c r="G14" s="18"/>
      <c r="H14" s="20" t="s">
        <v>209</v>
      </c>
      <c r="I14" s="142">
        <v>0.59</v>
      </c>
      <c r="J14" s="20" t="s">
        <v>210</v>
      </c>
      <c r="K14" s="142">
        <v>0.41</v>
      </c>
      <c r="L14" s="19"/>
      <c r="M14" s="18"/>
      <c r="N14" s="138"/>
    </row>
    <row r="15" spans="1:14" ht="15.75">
      <c r="A15" s="8"/>
      <c r="B15" s="17" t="s">
        <v>207</v>
      </c>
      <c r="C15" s="17"/>
      <c r="D15" s="18"/>
      <c r="E15" s="18"/>
      <c r="F15" s="18"/>
      <c r="G15" s="18"/>
      <c r="H15" s="20" t="s">
        <v>209</v>
      </c>
      <c r="I15" s="142">
        <v>0.48</v>
      </c>
      <c r="J15" s="20" t="s">
        <v>210</v>
      </c>
      <c r="K15" s="142">
        <v>0.52</v>
      </c>
      <c r="L15" s="19"/>
      <c r="M15" s="18"/>
      <c r="N15" s="138"/>
    </row>
    <row r="16" spans="1:14" ht="15.75">
      <c r="A16" s="119"/>
      <c r="B16" s="17" t="s">
        <v>7</v>
      </c>
      <c r="C16" s="17"/>
      <c r="D16" s="18"/>
      <c r="E16" s="18"/>
      <c r="F16" s="18"/>
      <c r="G16" s="18"/>
      <c r="H16" s="18"/>
      <c r="I16" s="18"/>
      <c r="J16" s="18"/>
      <c r="K16" s="18"/>
      <c r="L16" s="20" t="s">
        <v>184</v>
      </c>
      <c r="M16" s="10"/>
      <c r="N16" s="138"/>
    </row>
    <row r="17" spans="1:14" ht="15.75">
      <c r="A17" s="119"/>
      <c r="B17" s="17" t="s">
        <v>8</v>
      </c>
      <c r="C17" s="17"/>
      <c r="D17" s="18"/>
      <c r="E17" s="18"/>
      <c r="F17" s="18"/>
      <c r="G17" s="18"/>
      <c r="H17" s="18"/>
      <c r="I17" s="18"/>
      <c r="J17" s="18"/>
      <c r="K17" s="18"/>
      <c r="L17" s="21">
        <v>37061</v>
      </c>
      <c r="M17" s="10"/>
      <c r="N17" s="138"/>
    </row>
    <row r="18" spans="1:14" ht="15.75">
      <c r="A18" s="119"/>
      <c r="B18" s="10"/>
      <c r="C18" s="10"/>
      <c r="D18" s="10"/>
      <c r="E18" s="10"/>
      <c r="F18" s="10"/>
      <c r="G18" s="10"/>
      <c r="H18" s="10"/>
      <c r="I18" s="10"/>
      <c r="J18" s="10"/>
      <c r="K18" s="10"/>
      <c r="L18" s="22"/>
      <c r="M18" s="10"/>
      <c r="N18" s="138"/>
    </row>
    <row r="19" spans="1:14" ht="15.75">
      <c r="A19" s="119"/>
      <c r="B19" s="10" t="s">
        <v>9</v>
      </c>
      <c r="C19" s="10"/>
      <c r="D19" s="10"/>
      <c r="E19" s="10"/>
      <c r="F19" s="10"/>
      <c r="G19" s="10"/>
      <c r="H19" s="10"/>
      <c r="I19" s="10"/>
      <c r="J19" s="22" t="s">
        <v>166</v>
      </c>
      <c r="K19" s="10"/>
      <c r="L19" s="15"/>
      <c r="M19" s="10"/>
      <c r="N19" s="138"/>
    </row>
    <row r="20" spans="1:14" ht="15.75">
      <c r="A20" s="119"/>
      <c r="B20" s="10"/>
      <c r="C20" s="10"/>
      <c r="D20" s="10"/>
      <c r="E20" s="10"/>
      <c r="F20" s="10"/>
      <c r="G20" s="10"/>
      <c r="H20" s="10"/>
      <c r="I20" s="10"/>
      <c r="J20" s="10"/>
      <c r="K20" s="10"/>
      <c r="L20" s="23"/>
      <c r="M20" s="10"/>
      <c r="N20" s="138"/>
    </row>
    <row r="21" spans="1:14" ht="15.75">
      <c r="A21" s="119"/>
      <c r="B21" s="10"/>
      <c r="C21" s="24" t="s">
        <v>202</v>
      </c>
      <c r="D21" s="25" t="s">
        <v>135</v>
      </c>
      <c r="E21" s="25"/>
      <c r="F21" s="25" t="s">
        <v>147</v>
      </c>
      <c r="G21" s="25"/>
      <c r="H21" s="25" t="s">
        <v>157</v>
      </c>
      <c r="I21" s="25"/>
      <c r="J21" s="25" t="s">
        <v>167</v>
      </c>
      <c r="K21" s="15"/>
      <c r="L21" s="15"/>
      <c r="M21" s="10"/>
      <c r="N21" s="138"/>
    </row>
    <row r="22" spans="1:14" ht="15.75">
      <c r="A22" s="136"/>
      <c r="B22" s="27" t="s">
        <v>10</v>
      </c>
      <c r="C22" s="28" t="s">
        <v>203</v>
      </c>
      <c r="D22" s="29" t="s">
        <v>136</v>
      </c>
      <c r="E22" s="29"/>
      <c r="F22" s="29" t="s">
        <v>136</v>
      </c>
      <c r="G22" s="29"/>
      <c r="H22" s="29" t="s">
        <v>158</v>
      </c>
      <c r="I22" s="29"/>
      <c r="J22" s="29" t="s">
        <v>168</v>
      </c>
      <c r="K22" s="30"/>
      <c r="L22" s="30"/>
      <c r="M22" s="27"/>
      <c r="N22" s="138"/>
    </row>
    <row r="23" spans="1:14" ht="15.75">
      <c r="A23" s="136"/>
      <c r="B23" s="31" t="s">
        <v>11</v>
      </c>
      <c r="C23" s="31"/>
      <c r="D23" s="32" t="s">
        <v>136</v>
      </c>
      <c r="E23" s="32"/>
      <c r="F23" s="32" t="s">
        <v>136</v>
      </c>
      <c r="G23" s="32"/>
      <c r="H23" s="32" t="s">
        <v>158</v>
      </c>
      <c r="I23" s="32"/>
      <c r="J23" s="32" t="s">
        <v>168</v>
      </c>
      <c r="K23" s="130"/>
      <c r="L23" s="130"/>
      <c r="M23" s="27"/>
      <c r="N23" s="138"/>
    </row>
    <row r="24" spans="1:14" ht="15.75">
      <c r="A24" s="136"/>
      <c r="B24" s="27" t="s">
        <v>12</v>
      </c>
      <c r="C24" s="27"/>
      <c r="D24" s="33" t="s">
        <v>137</v>
      </c>
      <c r="E24" s="29"/>
      <c r="F24" s="33" t="s">
        <v>148</v>
      </c>
      <c r="G24" s="29"/>
      <c r="H24" s="33" t="s">
        <v>159</v>
      </c>
      <c r="I24" s="29"/>
      <c r="J24" s="33" t="s">
        <v>169</v>
      </c>
      <c r="K24" s="30"/>
      <c r="L24" s="30"/>
      <c r="M24" s="27"/>
      <c r="N24" s="138"/>
    </row>
    <row r="25" spans="1:14" ht="15.75">
      <c r="A25" s="136"/>
      <c r="B25" s="27"/>
      <c r="C25" s="27"/>
      <c r="D25" s="27"/>
      <c r="E25" s="29"/>
      <c r="F25" s="29"/>
      <c r="G25" s="29"/>
      <c r="H25" s="29"/>
      <c r="I25" s="29"/>
      <c r="J25" s="29"/>
      <c r="K25" s="30"/>
      <c r="L25" s="30"/>
      <c r="M25" s="27"/>
      <c r="N25" s="138"/>
    </row>
    <row r="26" spans="1:14" ht="15.75">
      <c r="A26" s="136"/>
      <c r="B26" s="27" t="s">
        <v>13</v>
      </c>
      <c r="C26" s="27"/>
      <c r="D26" s="34">
        <v>67000</v>
      </c>
      <c r="E26" s="35"/>
      <c r="F26" s="34">
        <v>128780</v>
      </c>
      <c r="G26" s="34"/>
      <c r="H26" s="34">
        <v>16920</v>
      </c>
      <c r="I26" s="34"/>
      <c r="J26" s="34">
        <v>11290</v>
      </c>
      <c r="K26" s="36"/>
      <c r="L26" s="34">
        <f>J26+H26+F26+D26</f>
        <v>223990</v>
      </c>
      <c r="M26" s="37"/>
      <c r="N26" s="138"/>
    </row>
    <row r="27" spans="1:14" ht="15.75">
      <c r="A27" s="136"/>
      <c r="B27" s="27" t="s">
        <v>14</v>
      </c>
      <c r="C27" s="93">
        <v>0.535345</v>
      </c>
      <c r="D27" s="34">
        <v>0</v>
      </c>
      <c r="E27" s="35"/>
      <c r="F27" s="34">
        <f>120780*C27</f>
        <v>64658.969099999995</v>
      </c>
      <c r="G27" s="34"/>
      <c r="H27" s="34">
        <f>16920*C30</f>
        <v>13057.14708</v>
      </c>
      <c r="I27" s="34"/>
      <c r="J27" s="34">
        <f>11290*C33</f>
        <v>8714.762289999999</v>
      </c>
      <c r="K27" s="36"/>
      <c r="L27" s="34">
        <f>J27+H27+F27+D27</f>
        <v>86430.87847</v>
      </c>
      <c r="M27" s="37"/>
      <c r="N27" s="138"/>
    </row>
    <row r="28" spans="1:14" ht="15.75">
      <c r="A28" s="137"/>
      <c r="B28" s="31" t="s">
        <v>15</v>
      </c>
      <c r="C28" s="93">
        <v>0.506399</v>
      </c>
      <c r="D28" s="40">
        <v>0</v>
      </c>
      <c r="E28" s="41"/>
      <c r="F28" s="40">
        <f>120780*C28</f>
        <v>61162.87122000001</v>
      </c>
      <c r="G28" s="40"/>
      <c r="H28" s="40">
        <f>16920*C31</f>
        <v>12350.804759999999</v>
      </c>
      <c r="I28" s="40"/>
      <c r="J28" s="40">
        <f>11290*C34</f>
        <v>8243.86768</v>
      </c>
      <c r="K28" s="42"/>
      <c r="L28" s="40">
        <f>J28+H28+F28+D28</f>
        <v>81757.54366000001</v>
      </c>
      <c r="M28" s="31"/>
      <c r="N28" s="138"/>
    </row>
    <row r="29" spans="1:14" ht="15.75">
      <c r="A29" s="136"/>
      <c r="B29" s="27" t="s">
        <v>16</v>
      </c>
      <c r="C29" s="27"/>
      <c r="D29" s="33" t="s">
        <v>138</v>
      </c>
      <c r="E29" s="27"/>
      <c r="F29" s="33" t="s">
        <v>149</v>
      </c>
      <c r="G29" s="33"/>
      <c r="H29" s="33" t="s">
        <v>160</v>
      </c>
      <c r="I29" s="33"/>
      <c r="J29" s="33" t="s">
        <v>170</v>
      </c>
      <c r="K29" s="30"/>
      <c r="L29" s="30"/>
      <c r="M29" s="27"/>
      <c r="N29" s="138"/>
    </row>
    <row r="30" spans="1:14" ht="15.75">
      <c r="A30" s="136"/>
      <c r="B30" s="27" t="s">
        <v>17</v>
      </c>
      <c r="C30" s="139">
        <v>0.771699</v>
      </c>
      <c r="D30" s="33" t="s">
        <v>139</v>
      </c>
      <c r="E30" s="27"/>
      <c r="F30" s="43">
        <f>(5.64688+0.13)/100</f>
        <v>0.0577688</v>
      </c>
      <c r="G30" s="44"/>
      <c r="H30" s="43">
        <f>(5.64688+0.35)/100</f>
        <v>0.0599688</v>
      </c>
      <c r="I30" s="44"/>
      <c r="J30" s="43">
        <f>(5.64688+0.69)/100</f>
        <v>0.0633688</v>
      </c>
      <c r="K30" s="30"/>
      <c r="L30" s="44">
        <f>SUMPRODUCT(D30:J30,D27:J27)/L27</f>
        <v>0.058665798778358015</v>
      </c>
      <c r="M30" s="27"/>
      <c r="N30" s="138"/>
    </row>
    <row r="31" spans="1:14" ht="15.75">
      <c r="A31" s="136"/>
      <c r="B31" s="27" t="s">
        <v>18</v>
      </c>
      <c r="C31" s="139">
        <v>0.729953</v>
      </c>
      <c r="D31" s="33" t="s">
        <v>139</v>
      </c>
      <c r="E31" s="27"/>
      <c r="F31" s="43">
        <f>(6.03531+0.13)/100</f>
        <v>0.061653099999999995</v>
      </c>
      <c r="G31" s="44"/>
      <c r="H31" s="43">
        <f>(6.03531+0.35)/100</f>
        <v>0.0638531</v>
      </c>
      <c r="I31" s="44"/>
      <c r="J31" s="43">
        <f>(6.03531+0.69)/100</f>
        <v>0.06725310000000001</v>
      </c>
      <c r="K31" s="30"/>
      <c r="L31" s="30"/>
      <c r="M31" s="27"/>
      <c r="N31" s="138"/>
    </row>
    <row r="32" spans="1:14" ht="15.75">
      <c r="A32" s="136"/>
      <c r="B32" s="27" t="s">
        <v>19</v>
      </c>
      <c r="C32" s="140"/>
      <c r="D32" s="33" t="s">
        <v>140</v>
      </c>
      <c r="E32" s="27"/>
      <c r="F32" s="33" t="s">
        <v>150</v>
      </c>
      <c r="G32" s="33"/>
      <c r="H32" s="33" t="s">
        <v>150</v>
      </c>
      <c r="I32" s="33"/>
      <c r="J32" s="33" t="s">
        <v>150</v>
      </c>
      <c r="K32" s="30"/>
      <c r="L32" s="30"/>
      <c r="M32" s="27"/>
      <c r="N32" s="138"/>
    </row>
    <row r="33" spans="1:14" ht="15.75">
      <c r="A33" s="136"/>
      <c r="B33" s="27" t="s">
        <v>20</v>
      </c>
      <c r="C33" s="139">
        <v>0.771901</v>
      </c>
      <c r="D33" s="33" t="s">
        <v>141</v>
      </c>
      <c r="E33" s="27"/>
      <c r="F33" s="33" t="s">
        <v>151</v>
      </c>
      <c r="G33" s="33"/>
      <c r="H33" s="33" t="s">
        <v>151</v>
      </c>
      <c r="I33" s="33"/>
      <c r="J33" s="33" t="s">
        <v>151</v>
      </c>
      <c r="K33" s="30"/>
      <c r="L33" s="30"/>
      <c r="M33" s="27"/>
      <c r="N33" s="138"/>
    </row>
    <row r="34" spans="1:14" ht="15.75">
      <c r="A34" s="136"/>
      <c r="B34" s="27" t="s">
        <v>21</v>
      </c>
      <c r="C34" s="139">
        <v>0.730192</v>
      </c>
      <c r="D34" s="33" t="s">
        <v>142</v>
      </c>
      <c r="E34" s="27"/>
      <c r="F34" s="33" t="s">
        <v>152</v>
      </c>
      <c r="G34" s="33"/>
      <c r="H34" s="33" t="s">
        <v>161</v>
      </c>
      <c r="I34" s="33"/>
      <c r="J34" s="33" t="s">
        <v>171</v>
      </c>
      <c r="K34" s="30"/>
      <c r="L34" s="30"/>
      <c r="M34" s="27"/>
      <c r="N34" s="138"/>
    </row>
    <row r="35" spans="1:14" ht="15.75">
      <c r="A35" s="136"/>
      <c r="B35" s="27"/>
      <c r="C35" s="27"/>
      <c r="D35" s="45"/>
      <c r="E35" s="45"/>
      <c r="F35" s="27"/>
      <c r="G35" s="45"/>
      <c r="H35" s="45"/>
      <c r="I35" s="45"/>
      <c r="J35" s="45"/>
      <c r="K35" s="45"/>
      <c r="L35" s="45"/>
      <c r="M35" s="27"/>
      <c r="N35" s="138"/>
    </row>
    <row r="36" spans="1:14" ht="15.75">
      <c r="A36" s="136"/>
      <c r="B36" s="27" t="s">
        <v>22</v>
      </c>
      <c r="C36" s="27"/>
      <c r="D36" s="27"/>
      <c r="E36" s="27"/>
      <c r="F36" s="27"/>
      <c r="G36" s="27"/>
      <c r="H36" s="27"/>
      <c r="I36" s="27"/>
      <c r="J36" s="27"/>
      <c r="K36" s="27"/>
      <c r="L36" s="44">
        <f>(H26+J26)/(D26+F26)</f>
        <v>0.14409030544488713</v>
      </c>
      <c r="M36" s="27"/>
      <c r="N36" s="138"/>
    </row>
    <row r="37" spans="1:14" ht="15.75">
      <c r="A37" s="136"/>
      <c r="B37" s="27" t="s">
        <v>23</v>
      </c>
      <c r="C37" s="27"/>
      <c r="D37" s="27"/>
      <c r="E37" s="27"/>
      <c r="F37" s="27"/>
      <c r="G37" s="27"/>
      <c r="H37" s="27"/>
      <c r="I37" s="27"/>
      <c r="J37" s="27"/>
      <c r="K37" s="27"/>
      <c r="L37" s="44">
        <f>(H28+J28)/(D28+F28)</f>
        <v>0.3367185357587599</v>
      </c>
      <c r="M37" s="27"/>
      <c r="N37" s="138"/>
    </row>
    <row r="38" spans="1:14" ht="15.75">
      <c r="A38" s="136"/>
      <c r="B38" s="27" t="s">
        <v>24</v>
      </c>
      <c r="C38" s="27"/>
      <c r="D38" s="27"/>
      <c r="E38" s="27"/>
      <c r="F38" s="27"/>
      <c r="G38" s="27"/>
      <c r="H38" s="27"/>
      <c r="I38" s="27"/>
      <c r="J38" s="33" t="s">
        <v>172</v>
      </c>
      <c r="K38" s="33" t="s">
        <v>182</v>
      </c>
      <c r="L38" s="34">
        <v>83785000</v>
      </c>
      <c r="M38" s="27"/>
      <c r="N38" s="138"/>
    </row>
    <row r="39" spans="1:14" ht="15.75">
      <c r="A39" s="136"/>
      <c r="B39" s="27"/>
      <c r="C39" s="27"/>
      <c r="D39" s="27"/>
      <c r="E39" s="27"/>
      <c r="F39" s="27"/>
      <c r="G39" s="27"/>
      <c r="H39" s="27"/>
      <c r="I39" s="27"/>
      <c r="J39" s="27"/>
      <c r="K39" s="27"/>
      <c r="L39" s="46"/>
      <c r="M39" s="27"/>
      <c r="N39" s="138"/>
    </row>
    <row r="40" spans="1:14" ht="15.75">
      <c r="A40" s="136"/>
      <c r="B40" s="27" t="s">
        <v>25</v>
      </c>
      <c r="C40" s="27"/>
      <c r="D40" s="27"/>
      <c r="E40" s="27"/>
      <c r="F40" s="27"/>
      <c r="G40" s="27"/>
      <c r="H40" s="27"/>
      <c r="I40" s="27"/>
      <c r="J40" s="33"/>
      <c r="K40" s="33"/>
      <c r="L40" s="33" t="s">
        <v>185</v>
      </c>
      <c r="M40" s="27"/>
      <c r="N40" s="138"/>
    </row>
    <row r="41" spans="1:14" ht="15.75">
      <c r="A41" s="136"/>
      <c r="B41" s="31" t="s">
        <v>26</v>
      </c>
      <c r="C41" s="31"/>
      <c r="D41" s="31"/>
      <c r="E41" s="31"/>
      <c r="F41" s="31"/>
      <c r="G41" s="31"/>
      <c r="H41" s="31"/>
      <c r="I41" s="31"/>
      <c r="J41" s="47"/>
      <c r="K41" s="47"/>
      <c r="L41" s="48">
        <v>37042</v>
      </c>
      <c r="M41" s="31"/>
      <c r="N41" s="138"/>
    </row>
    <row r="42" spans="1:14" ht="15.75">
      <c r="A42" s="136"/>
      <c r="B42" s="27" t="s">
        <v>27</v>
      </c>
      <c r="C42" s="27"/>
      <c r="D42" s="27"/>
      <c r="E42" s="27"/>
      <c r="F42" s="27"/>
      <c r="G42" s="27"/>
      <c r="H42" s="30"/>
      <c r="I42" s="27">
        <f>L42-J42+1</f>
        <v>90</v>
      </c>
      <c r="J42" s="49">
        <v>36860</v>
      </c>
      <c r="K42" s="50"/>
      <c r="L42" s="49">
        <v>36949</v>
      </c>
      <c r="M42" s="27"/>
      <c r="N42" s="138"/>
    </row>
    <row r="43" spans="1:14" ht="15.75">
      <c r="A43" s="136"/>
      <c r="B43" s="27" t="s">
        <v>28</v>
      </c>
      <c r="C43" s="27"/>
      <c r="D43" s="27"/>
      <c r="E43" s="27"/>
      <c r="F43" s="27"/>
      <c r="G43" s="27"/>
      <c r="H43" s="30"/>
      <c r="I43" s="27">
        <f>L43-J43+1</f>
        <v>92</v>
      </c>
      <c r="J43" s="49">
        <v>36950</v>
      </c>
      <c r="K43" s="50"/>
      <c r="L43" s="49">
        <v>37041</v>
      </c>
      <c r="M43" s="27"/>
      <c r="N43" s="138"/>
    </row>
    <row r="44" spans="1:14" ht="15.75">
      <c r="A44" s="136"/>
      <c r="B44" s="27" t="s">
        <v>29</v>
      </c>
      <c r="C44" s="27"/>
      <c r="D44" s="27"/>
      <c r="E44" s="27"/>
      <c r="F44" s="27"/>
      <c r="G44" s="27"/>
      <c r="H44" s="27"/>
      <c r="I44" s="27"/>
      <c r="J44" s="49"/>
      <c r="K44" s="50"/>
      <c r="L44" s="49" t="s">
        <v>186</v>
      </c>
      <c r="M44" s="27"/>
      <c r="N44" s="138"/>
    </row>
    <row r="45" spans="1:14" ht="15.75">
      <c r="A45" s="136"/>
      <c r="B45" s="27" t="s">
        <v>30</v>
      </c>
      <c r="C45" s="27"/>
      <c r="D45" s="27"/>
      <c r="E45" s="27"/>
      <c r="F45" s="27"/>
      <c r="G45" s="27"/>
      <c r="H45" s="27"/>
      <c r="I45" s="27"/>
      <c r="J45" s="49"/>
      <c r="K45" s="50"/>
      <c r="L45" s="49">
        <v>37033</v>
      </c>
      <c r="M45" s="27"/>
      <c r="N45" s="138"/>
    </row>
    <row r="46" spans="1:14" ht="15.75">
      <c r="A46" s="136"/>
      <c r="B46" s="27"/>
      <c r="C46" s="27"/>
      <c r="D46" s="27"/>
      <c r="E46" s="27"/>
      <c r="F46" s="27"/>
      <c r="G46" s="27"/>
      <c r="H46" s="27"/>
      <c r="I46" s="27"/>
      <c r="J46" s="27"/>
      <c r="K46" s="27"/>
      <c r="L46" s="51"/>
      <c r="M46" s="27"/>
      <c r="N46" s="138"/>
    </row>
    <row r="47" spans="1:14" ht="15.75">
      <c r="A47" s="135"/>
      <c r="B47" s="5"/>
      <c r="C47" s="5"/>
      <c r="D47" s="5"/>
      <c r="E47" s="5"/>
      <c r="F47" s="5"/>
      <c r="G47" s="5"/>
      <c r="H47" s="5"/>
      <c r="I47" s="5"/>
      <c r="J47" s="5"/>
      <c r="K47" s="5"/>
      <c r="L47" s="52"/>
      <c r="M47" s="5"/>
      <c r="N47" s="138"/>
    </row>
    <row r="48" spans="1:14" ht="15.75">
      <c r="A48" s="119"/>
      <c r="B48" s="63" t="s">
        <v>31</v>
      </c>
      <c r="C48" s="16"/>
      <c r="D48" s="10"/>
      <c r="E48" s="10"/>
      <c r="F48" s="10"/>
      <c r="G48" s="10"/>
      <c r="H48" s="10"/>
      <c r="I48" s="10"/>
      <c r="J48" s="10"/>
      <c r="K48" s="10"/>
      <c r="L48" s="53"/>
      <c r="M48" s="10"/>
      <c r="N48" s="138"/>
    </row>
    <row r="49" spans="1:14" ht="15.75">
      <c r="A49" s="119"/>
      <c r="B49" s="16"/>
      <c r="C49" s="16"/>
      <c r="D49" s="10"/>
      <c r="E49" s="10"/>
      <c r="F49" s="10"/>
      <c r="G49" s="10"/>
      <c r="H49" s="10"/>
      <c r="I49" s="10"/>
      <c r="J49" s="10"/>
      <c r="K49" s="10"/>
      <c r="L49" s="53"/>
      <c r="M49" s="10"/>
      <c r="N49" s="138"/>
    </row>
    <row r="50" spans="1:14" ht="63">
      <c r="A50" s="119"/>
      <c r="B50" s="54" t="s">
        <v>32</v>
      </c>
      <c r="C50" s="55" t="s">
        <v>134</v>
      </c>
      <c r="D50" s="55" t="s">
        <v>143</v>
      </c>
      <c r="E50" s="55"/>
      <c r="F50" s="55" t="s">
        <v>153</v>
      </c>
      <c r="G50" s="55"/>
      <c r="H50" s="55" t="s">
        <v>162</v>
      </c>
      <c r="I50" s="55"/>
      <c r="J50" s="55" t="s">
        <v>173</v>
      </c>
      <c r="K50" s="55"/>
      <c r="L50" s="56" t="s">
        <v>187</v>
      </c>
      <c r="M50" s="10"/>
      <c r="N50" s="138"/>
    </row>
    <row r="51" spans="1:14" ht="15.75">
      <c r="A51" s="136"/>
      <c r="B51" s="27" t="s">
        <v>33</v>
      </c>
      <c r="C51" s="57">
        <v>220604</v>
      </c>
      <c r="D51" s="58">
        <v>89782</v>
      </c>
      <c r="E51" s="57"/>
      <c r="F51" s="57">
        <f>4492+30+51</f>
        <v>4573</v>
      </c>
      <c r="G51" s="57"/>
      <c r="H51" s="57">
        <v>30</v>
      </c>
      <c r="I51" s="57"/>
      <c r="J51" s="57">
        <v>0</v>
      </c>
      <c r="K51" s="57"/>
      <c r="L51" s="58">
        <f>D51-F51+H51-J51</f>
        <v>85239</v>
      </c>
      <c r="M51" s="27"/>
      <c r="N51" s="138"/>
    </row>
    <row r="52" spans="1:14" ht="15.75">
      <c r="A52" s="136"/>
      <c r="B52" s="27" t="s">
        <v>34</v>
      </c>
      <c r="C52" s="57">
        <v>5129</v>
      </c>
      <c r="D52" s="58">
        <v>501</v>
      </c>
      <c r="E52" s="57"/>
      <c r="F52" s="57">
        <v>33</v>
      </c>
      <c r="G52" s="57"/>
      <c r="H52" s="57">
        <v>0</v>
      </c>
      <c r="I52" s="57"/>
      <c r="J52" s="57">
        <v>0</v>
      </c>
      <c r="K52" s="57"/>
      <c r="L52" s="58">
        <f>D52-F52</f>
        <v>468</v>
      </c>
      <c r="M52" s="27"/>
      <c r="N52" s="138"/>
    </row>
    <row r="53" spans="1:14" ht="15.75">
      <c r="A53" s="136"/>
      <c r="B53" s="27"/>
      <c r="C53" s="57"/>
      <c r="D53" s="58"/>
      <c r="E53" s="57"/>
      <c r="F53" s="57"/>
      <c r="G53" s="57"/>
      <c r="H53" s="57"/>
      <c r="I53" s="57"/>
      <c r="J53" s="57"/>
      <c r="K53" s="57"/>
      <c r="L53" s="58"/>
      <c r="M53" s="27"/>
      <c r="N53" s="138"/>
    </row>
    <row r="54" spans="1:14" ht="15.75">
      <c r="A54" s="136"/>
      <c r="B54" s="27" t="s">
        <v>35</v>
      </c>
      <c r="C54" s="57">
        <f>SUM(C51:C53)</f>
        <v>225733</v>
      </c>
      <c r="D54" s="59">
        <f>D52+D51</f>
        <v>90283</v>
      </c>
      <c r="E54" s="57"/>
      <c r="F54" s="57">
        <f>SUM(F51:F53)</f>
        <v>4606</v>
      </c>
      <c r="G54" s="57"/>
      <c r="H54" s="57">
        <f>SUM(H51:H53)</f>
        <v>30</v>
      </c>
      <c r="I54" s="57"/>
      <c r="J54" s="57">
        <f>SUM(J51:J53)</f>
        <v>0</v>
      </c>
      <c r="K54" s="57"/>
      <c r="L54" s="59">
        <f>SUM(L51:L53)</f>
        <v>85707</v>
      </c>
      <c r="M54" s="27"/>
      <c r="N54" s="138"/>
    </row>
    <row r="55" spans="1:14" ht="15.75">
      <c r="A55" s="136"/>
      <c r="B55" s="27"/>
      <c r="C55" s="57"/>
      <c r="D55" s="59"/>
      <c r="E55" s="57"/>
      <c r="F55" s="57"/>
      <c r="G55" s="57"/>
      <c r="H55" s="57"/>
      <c r="I55" s="57"/>
      <c r="J55" s="57"/>
      <c r="K55" s="57"/>
      <c r="L55" s="59"/>
      <c r="M55" s="27"/>
      <c r="N55" s="138"/>
    </row>
    <row r="56" spans="1:14" ht="15.75">
      <c r="A56" s="119"/>
      <c r="B56" s="12" t="s">
        <v>36</v>
      </c>
      <c r="C56" s="60"/>
      <c r="D56" s="62"/>
      <c r="E56" s="60"/>
      <c r="F56" s="61"/>
      <c r="G56" s="60"/>
      <c r="H56" s="60"/>
      <c r="I56" s="60"/>
      <c r="J56" s="60"/>
      <c r="K56" s="60"/>
      <c r="L56" s="62"/>
      <c r="M56" s="10"/>
      <c r="N56" s="138"/>
    </row>
    <row r="57" spans="1:14" ht="15.75">
      <c r="A57" s="119"/>
      <c r="B57" s="10"/>
      <c r="C57" s="60"/>
      <c r="D57" s="118"/>
      <c r="E57" s="60"/>
      <c r="F57" s="60"/>
      <c r="G57" s="60"/>
      <c r="H57" s="60"/>
      <c r="I57" s="60"/>
      <c r="J57" s="60"/>
      <c r="K57" s="60"/>
      <c r="L57" s="118"/>
      <c r="M57" s="10"/>
      <c r="N57" s="138"/>
    </row>
    <row r="58" spans="1:14" ht="15.75">
      <c r="A58" s="136"/>
      <c r="B58" s="27" t="s">
        <v>33</v>
      </c>
      <c r="C58" s="57"/>
      <c r="D58" s="59"/>
      <c r="E58" s="57"/>
      <c r="F58" s="57"/>
      <c r="G58" s="57"/>
      <c r="H58" s="57"/>
      <c r="I58" s="57"/>
      <c r="J58" s="57"/>
      <c r="K58" s="57"/>
      <c r="L58" s="59"/>
      <c r="M58" s="27"/>
      <c r="N58" s="138"/>
    </row>
    <row r="59" spans="1:14" ht="15.75">
      <c r="A59" s="136"/>
      <c r="B59" s="27" t="s">
        <v>34</v>
      </c>
      <c r="C59" s="57"/>
      <c r="D59" s="59"/>
      <c r="E59" s="57"/>
      <c r="F59" s="57"/>
      <c r="G59" s="57"/>
      <c r="H59" s="57"/>
      <c r="I59" s="57"/>
      <c r="J59" s="57"/>
      <c r="K59" s="57"/>
      <c r="L59" s="59"/>
      <c r="M59" s="27"/>
      <c r="N59" s="138"/>
    </row>
    <row r="60" spans="1:14" ht="15.75">
      <c r="A60" s="136"/>
      <c r="B60" s="27"/>
      <c r="C60" s="57"/>
      <c r="D60" s="59"/>
      <c r="E60" s="57"/>
      <c r="F60" s="57"/>
      <c r="G60" s="57"/>
      <c r="H60" s="57"/>
      <c r="I60" s="57"/>
      <c r="J60" s="57"/>
      <c r="K60" s="57"/>
      <c r="L60" s="59"/>
      <c r="M60" s="27"/>
      <c r="N60" s="138"/>
    </row>
    <row r="61" spans="1:14" ht="15.75">
      <c r="A61" s="136"/>
      <c r="B61" s="27" t="s">
        <v>35</v>
      </c>
      <c r="C61" s="57"/>
      <c r="D61" s="59"/>
      <c r="E61" s="57"/>
      <c r="F61" s="57"/>
      <c r="G61" s="57"/>
      <c r="H61" s="57"/>
      <c r="I61" s="57"/>
      <c r="J61" s="57"/>
      <c r="K61" s="57"/>
      <c r="L61" s="59"/>
      <c r="M61" s="27"/>
      <c r="N61" s="138"/>
    </row>
    <row r="62" spans="1:14" ht="15.75">
      <c r="A62" s="136"/>
      <c r="B62" s="27"/>
      <c r="C62" s="57"/>
      <c r="D62" s="59"/>
      <c r="E62" s="57"/>
      <c r="F62" s="57"/>
      <c r="G62" s="57"/>
      <c r="H62" s="57"/>
      <c r="I62" s="57"/>
      <c r="J62" s="57"/>
      <c r="K62" s="57"/>
      <c r="L62" s="59"/>
      <c r="M62" s="27"/>
      <c r="N62" s="138"/>
    </row>
    <row r="63" spans="1:14" ht="15.75">
      <c r="A63" s="136"/>
      <c r="B63" s="27" t="s">
        <v>37</v>
      </c>
      <c r="C63" s="57">
        <v>-1743</v>
      </c>
      <c r="D63" s="57">
        <v>-1743</v>
      </c>
      <c r="E63" s="57"/>
      <c r="F63" s="57"/>
      <c r="G63" s="57"/>
      <c r="H63" s="57"/>
      <c r="I63" s="57"/>
      <c r="J63" s="57"/>
      <c r="K63" s="57"/>
      <c r="L63" s="57">
        <v>-1743</v>
      </c>
      <c r="M63" s="27"/>
      <c r="N63" s="138"/>
    </row>
    <row r="64" spans="1:14" ht="15.75">
      <c r="A64" s="136"/>
      <c r="B64" s="27" t="s">
        <v>38</v>
      </c>
      <c r="C64" s="57">
        <v>0</v>
      </c>
      <c r="D64" s="59">
        <v>-2257</v>
      </c>
      <c r="E64" s="57"/>
      <c r="F64" s="57"/>
      <c r="G64" s="57"/>
      <c r="H64" s="57"/>
      <c r="I64" s="57"/>
      <c r="J64" s="57"/>
      <c r="K64" s="57"/>
      <c r="L64" s="59">
        <v>-2257</v>
      </c>
      <c r="M64" s="27"/>
      <c r="N64" s="138"/>
    </row>
    <row r="65" spans="1:14" ht="15.75">
      <c r="A65" s="136"/>
      <c r="B65" s="27" t="s">
        <v>198</v>
      </c>
      <c r="C65" s="57">
        <v>0</v>
      </c>
      <c r="D65" s="59">
        <v>148</v>
      </c>
      <c r="E65" s="57"/>
      <c r="F65" s="57"/>
      <c r="G65" s="57"/>
      <c r="H65" s="57"/>
      <c r="I65" s="57"/>
      <c r="J65" s="57"/>
      <c r="K65" s="57"/>
      <c r="L65" s="59">
        <v>51</v>
      </c>
      <c r="M65" s="27"/>
      <c r="N65" s="138"/>
    </row>
    <row r="66" spans="1:14" ht="15.75">
      <c r="A66" s="136"/>
      <c r="B66" s="27" t="s">
        <v>15</v>
      </c>
      <c r="C66" s="59">
        <f>SUM(C54:C65)</f>
        <v>223990</v>
      </c>
      <c r="D66" s="59">
        <f>SUM(D54:D65)</f>
        <v>86431</v>
      </c>
      <c r="E66" s="57"/>
      <c r="F66" s="57"/>
      <c r="G66" s="57"/>
      <c r="H66" s="57"/>
      <c r="I66" s="57"/>
      <c r="J66" s="57"/>
      <c r="K66" s="57"/>
      <c r="L66" s="59">
        <f>SUM(L54:L65)</f>
        <v>81758</v>
      </c>
      <c r="M66" s="27"/>
      <c r="N66" s="138"/>
    </row>
    <row r="67" spans="1:14" ht="15.75">
      <c r="A67" s="136"/>
      <c r="B67" s="27"/>
      <c r="C67" s="57"/>
      <c r="D67" s="57"/>
      <c r="E67" s="57"/>
      <c r="F67" s="57"/>
      <c r="G67" s="57"/>
      <c r="H67" s="57"/>
      <c r="I67" s="57"/>
      <c r="J67" s="57"/>
      <c r="K67" s="57"/>
      <c r="L67" s="59"/>
      <c r="M67" s="27"/>
      <c r="N67" s="138"/>
    </row>
    <row r="68" spans="1:14" ht="15.75">
      <c r="A68" s="119"/>
      <c r="B68" s="10"/>
      <c r="C68" s="10"/>
      <c r="D68" s="10"/>
      <c r="E68" s="10"/>
      <c r="F68" s="10"/>
      <c r="G68" s="10"/>
      <c r="H68" s="10"/>
      <c r="I68" s="10"/>
      <c r="J68" s="10"/>
      <c r="K68" s="10"/>
      <c r="L68" s="10"/>
      <c r="M68" s="10"/>
      <c r="N68" s="138"/>
    </row>
    <row r="69" spans="1:14" ht="15.75">
      <c r="A69" s="119"/>
      <c r="B69" s="63" t="s">
        <v>40</v>
      </c>
      <c r="C69" s="16"/>
      <c r="D69" s="10"/>
      <c r="E69" s="10"/>
      <c r="F69" s="10"/>
      <c r="G69" s="10"/>
      <c r="H69" s="10"/>
      <c r="I69" s="22"/>
      <c r="J69" s="20" t="s">
        <v>174</v>
      </c>
      <c r="K69" s="20"/>
      <c r="L69" s="20" t="s">
        <v>188</v>
      </c>
      <c r="M69" s="17"/>
      <c r="N69" s="138"/>
    </row>
    <row r="70" spans="1:14" ht="15.75">
      <c r="A70" s="136"/>
      <c r="B70" s="27" t="s">
        <v>41</v>
      </c>
      <c r="C70" s="27"/>
      <c r="D70" s="27"/>
      <c r="E70" s="27"/>
      <c r="F70" s="27"/>
      <c r="G70" s="27"/>
      <c r="H70" s="27"/>
      <c r="I70" s="27"/>
      <c r="J70" s="57">
        <v>0</v>
      </c>
      <c r="K70" s="27"/>
      <c r="L70" s="58">
        <v>0</v>
      </c>
      <c r="M70" s="27"/>
      <c r="N70" s="138"/>
    </row>
    <row r="71" spans="1:14" ht="15.75">
      <c r="A71" s="136"/>
      <c r="B71" s="27" t="s">
        <v>42</v>
      </c>
      <c r="C71" s="45" t="s">
        <v>204</v>
      </c>
      <c r="D71" s="64">
        <f>L45</f>
        <v>37033</v>
      </c>
      <c r="E71" s="27"/>
      <c r="F71" s="27"/>
      <c r="G71" s="27"/>
      <c r="H71" s="27"/>
      <c r="I71" s="27"/>
      <c r="J71" s="57">
        <f>4573+148-51</f>
        <v>4670</v>
      </c>
      <c r="K71" s="27"/>
      <c r="L71" s="58"/>
      <c r="M71" s="27"/>
      <c r="N71" s="138"/>
    </row>
    <row r="72" spans="1:14" ht="15.75">
      <c r="A72" s="136"/>
      <c r="B72" s="27" t="s">
        <v>43</v>
      </c>
      <c r="C72" s="27"/>
      <c r="D72" s="27"/>
      <c r="E72" s="27"/>
      <c r="F72" s="27"/>
      <c r="G72" s="27"/>
      <c r="H72" s="27"/>
      <c r="I72" s="27"/>
      <c r="J72" s="57"/>
      <c r="K72" s="27"/>
      <c r="L72" s="58">
        <f>1829-10+725+73+91-590-18+5</f>
        <v>2105</v>
      </c>
      <c r="M72" s="27"/>
      <c r="N72" s="138"/>
    </row>
    <row r="73" spans="1:14" ht="15.75">
      <c r="A73" s="136"/>
      <c r="B73" s="27" t="s">
        <v>44</v>
      </c>
      <c r="C73" s="27"/>
      <c r="D73" s="27"/>
      <c r="E73" s="27"/>
      <c r="F73" s="27"/>
      <c r="G73" s="27"/>
      <c r="H73" s="27"/>
      <c r="I73" s="27"/>
      <c r="J73" s="57"/>
      <c r="K73" s="27"/>
      <c r="L73" s="58"/>
      <c r="M73" s="27"/>
      <c r="N73" s="138"/>
    </row>
    <row r="74" spans="1:14" ht="15.75">
      <c r="A74" s="136"/>
      <c r="B74" s="27" t="s">
        <v>45</v>
      </c>
      <c r="C74" s="27"/>
      <c r="D74" s="27"/>
      <c r="E74" s="27"/>
      <c r="F74" s="27"/>
      <c r="G74" s="27"/>
      <c r="H74" s="27"/>
      <c r="I74" s="27"/>
      <c r="J74" s="59">
        <f>SUM(J70:J73)</f>
        <v>4670</v>
      </c>
      <c r="K74" s="27"/>
      <c r="L74" s="59">
        <f>SUM(L70:L73)</f>
        <v>2105</v>
      </c>
      <c r="M74" s="27"/>
      <c r="N74" s="138"/>
    </row>
    <row r="75" spans="1:14" ht="15.75">
      <c r="A75" s="136"/>
      <c r="B75" s="27" t="s">
        <v>46</v>
      </c>
      <c r="C75" s="27"/>
      <c r="D75" s="27"/>
      <c r="E75" s="27"/>
      <c r="F75" s="27"/>
      <c r="G75" s="27"/>
      <c r="H75" s="27"/>
      <c r="I75" s="27"/>
      <c r="J75" s="57">
        <f>-L75</f>
        <v>33</v>
      </c>
      <c r="K75" s="27"/>
      <c r="L75" s="58">
        <v>-33</v>
      </c>
      <c r="M75" s="27"/>
      <c r="N75" s="138"/>
    </row>
    <row r="76" spans="1:14" ht="15.75">
      <c r="A76" s="136"/>
      <c r="B76" s="27" t="s">
        <v>47</v>
      </c>
      <c r="C76" s="27"/>
      <c r="D76" s="27"/>
      <c r="E76" s="27"/>
      <c r="F76" s="27"/>
      <c r="G76" s="27"/>
      <c r="H76" s="27"/>
      <c r="I76" s="27"/>
      <c r="J76" s="57">
        <f>J74+J75</f>
        <v>4703</v>
      </c>
      <c r="K76" s="27"/>
      <c r="L76" s="59">
        <f>L74+L75</f>
        <v>2072</v>
      </c>
      <c r="M76" s="27"/>
      <c r="N76" s="138"/>
    </row>
    <row r="77" spans="1:14" ht="15.75">
      <c r="A77" s="136"/>
      <c r="B77" s="65" t="s">
        <v>48</v>
      </c>
      <c r="C77" s="66"/>
      <c r="D77" s="27"/>
      <c r="E77" s="27"/>
      <c r="F77" s="27"/>
      <c r="G77" s="27"/>
      <c r="H77" s="27"/>
      <c r="I77" s="27"/>
      <c r="J77" s="57"/>
      <c r="K77" s="27"/>
      <c r="L77" s="58"/>
      <c r="M77" s="27"/>
      <c r="N77" s="138"/>
    </row>
    <row r="78" spans="1:14" ht="15.75">
      <c r="A78" s="26">
        <v>1</v>
      </c>
      <c r="B78" s="27" t="s">
        <v>49</v>
      </c>
      <c r="C78" s="27"/>
      <c r="D78" s="27"/>
      <c r="E78" s="27"/>
      <c r="F78" s="27"/>
      <c r="G78" s="27"/>
      <c r="H78" s="27"/>
      <c r="I78" s="27"/>
      <c r="J78" s="27"/>
      <c r="K78" s="27"/>
      <c r="L78" s="58"/>
      <c r="M78" s="27"/>
      <c r="N78" s="138"/>
    </row>
    <row r="79" spans="1:14" ht="15.75">
      <c r="A79" s="26">
        <v>2</v>
      </c>
      <c r="B79" s="27" t="s">
        <v>50</v>
      </c>
      <c r="C79" s="27"/>
      <c r="D79" s="27"/>
      <c r="E79" s="27"/>
      <c r="F79" s="27"/>
      <c r="G79" s="27"/>
      <c r="H79" s="27"/>
      <c r="I79" s="27"/>
      <c r="J79" s="27"/>
      <c r="K79" s="27"/>
      <c r="L79" s="58">
        <v>-5</v>
      </c>
      <c r="M79" s="27"/>
      <c r="N79" s="138"/>
    </row>
    <row r="80" spans="1:14" ht="15.75">
      <c r="A80" s="26">
        <v>3</v>
      </c>
      <c r="B80" s="27" t="s">
        <v>51</v>
      </c>
      <c r="C80" s="27"/>
      <c r="D80" s="27"/>
      <c r="E80" s="27"/>
      <c r="F80" s="27"/>
      <c r="G80" s="27"/>
      <c r="H80" s="27"/>
      <c r="I80" s="27"/>
      <c r="J80" s="27"/>
      <c r="K80" s="27"/>
      <c r="L80" s="58">
        <v>-100</v>
      </c>
      <c r="M80" s="27"/>
      <c r="N80" s="138"/>
    </row>
    <row r="81" spans="1:14" ht="15.75">
      <c r="A81" s="26">
        <v>4</v>
      </c>
      <c r="B81" s="27" t="s">
        <v>52</v>
      </c>
      <c r="C81" s="27"/>
      <c r="D81" s="27"/>
      <c r="E81" s="27"/>
      <c r="F81" s="27"/>
      <c r="G81" s="27"/>
      <c r="H81" s="27"/>
      <c r="I81" s="27"/>
      <c r="J81" s="27"/>
      <c r="K81" s="27"/>
      <c r="L81" s="58">
        <v>-6</v>
      </c>
      <c r="M81" s="27"/>
      <c r="N81" s="138"/>
    </row>
    <row r="82" spans="1:14" ht="15.75">
      <c r="A82" s="26">
        <v>5</v>
      </c>
      <c r="B82" s="27" t="s">
        <v>53</v>
      </c>
      <c r="C82" s="27"/>
      <c r="D82" s="27"/>
      <c r="E82" s="27"/>
      <c r="F82" s="27"/>
      <c r="G82" s="27"/>
      <c r="H82" s="27"/>
      <c r="I82" s="27"/>
      <c r="J82" s="27"/>
      <c r="K82" s="27"/>
      <c r="L82" s="58">
        <v>-941</v>
      </c>
      <c r="M82" s="27"/>
      <c r="N82" s="138"/>
    </row>
    <row r="83" spans="1:14" ht="15.75">
      <c r="A83" s="26">
        <v>6</v>
      </c>
      <c r="B83" s="27" t="s">
        <v>54</v>
      </c>
      <c r="C83" s="27"/>
      <c r="D83" s="27"/>
      <c r="E83" s="27"/>
      <c r="F83" s="27"/>
      <c r="G83" s="27"/>
      <c r="H83" s="27"/>
      <c r="I83" s="27"/>
      <c r="J83" s="27"/>
      <c r="K83" s="27"/>
      <c r="L83" s="58">
        <v>-3</v>
      </c>
      <c r="M83" s="27"/>
      <c r="N83" s="138"/>
    </row>
    <row r="84" spans="1:14" ht="15.75">
      <c r="A84" s="26">
        <v>7</v>
      </c>
      <c r="B84" s="27" t="s">
        <v>55</v>
      </c>
      <c r="C84" s="27"/>
      <c r="D84" s="27"/>
      <c r="E84" s="27"/>
      <c r="F84" s="27"/>
      <c r="G84" s="27"/>
      <c r="H84" s="27"/>
      <c r="I84" s="27"/>
      <c r="J84" s="27"/>
      <c r="K84" s="27"/>
      <c r="L84" s="58">
        <v>-197</v>
      </c>
      <c r="M84" s="27"/>
      <c r="N84" s="138"/>
    </row>
    <row r="85" spans="1:14" ht="15.75">
      <c r="A85" s="26">
        <v>8</v>
      </c>
      <c r="B85" s="27" t="s">
        <v>56</v>
      </c>
      <c r="C85" s="27"/>
      <c r="D85" s="27"/>
      <c r="E85" s="27"/>
      <c r="F85" s="27"/>
      <c r="G85" s="27"/>
      <c r="H85" s="27"/>
      <c r="I85" s="27"/>
      <c r="J85" s="27"/>
      <c r="K85" s="27"/>
      <c r="L85" s="58">
        <v>-139</v>
      </c>
      <c r="M85" s="27"/>
      <c r="N85" s="138"/>
    </row>
    <row r="86" spans="1:14" ht="15.75">
      <c r="A86" s="26">
        <v>9</v>
      </c>
      <c r="B86" s="27" t="s">
        <v>57</v>
      </c>
      <c r="C86" s="27"/>
      <c r="D86" s="27"/>
      <c r="E86" s="27"/>
      <c r="F86" s="27"/>
      <c r="G86" s="27"/>
      <c r="H86" s="27"/>
      <c r="I86" s="27"/>
      <c r="J86" s="27"/>
      <c r="K86" s="27"/>
      <c r="L86" s="58">
        <v>0</v>
      </c>
      <c r="M86" s="27"/>
      <c r="N86" s="138"/>
    </row>
    <row r="87" spans="1:14" ht="15.75">
      <c r="A87" s="26">
        <v>10</v>
      </c>
      <c r="B87" s="27" t="s">
        <v>58</v>
      </c>
      <c r="C87" s="27"/>
      <c r="D87" s="27"/>
      <c r="E87" s="27"/>
      <c r="F87" s="27"/>
      <c r="G87" s="27"/>
      <c r="H87" s="27"/>
      <c r="I87" s="27"/>
      <c r="J87" s="27"/>
      <c r="K87" s="27"/>
      <c r="L87" s="58">
        <v>-51</v>
      </c>
      <c r="M87" s="27"/>
      <c r="N87" s="138"/>
    </row>
    <row r="88" spans="1:14" ht="15.75">
      <c r="A88" s="26">
        <v>11</v>
      </c>
      <c r="B88" s="27" t="s">
        <v>59</v>
      </c>
      <c r="C88" s="27"/>
      <c r="D88" s="27"/>
      <c r="E88" s="27"/>
      <c r="F88" s="27"/>
      <c r="G88" s="27"/>
      <c r="H88" s="27"/>
      <c r="I88" s="27"/>
      <c r="J88" s="27"/>
      <c r="K88" s="27"/>
      <c r="L88" s="58">
        <v>0</v>
      </c>
      <c r="M88" s="27"/>
      <c r="N88" s="138"/>
    </row>
    <row r="89" spans="1:14" ht="15.75">
      <c r="A89" s="26">
        <v>12</v>
      </c>
      <c r="B89" s="27" t="s">
        <v>60</v>
      </c>
      <c r="C89" s="27"/>
      <c r="D89" s="27"/>
      <c r="E89" s="27"/>
      <c r="F89" s="27"/>
      <c r="G89" s="27"/>
      <c r="H89" s="27"/>
      <c r="I89" s="27"/>
      <c r="J89" s="27"/>
      <c r="K89" s="27"/>
      <c r="L89" s="58">
        <f>SUM(L76:L87)*-1</f>
        <v>-630</v>
      </c>
      <c r="M89" s="27"/>
      <c r="N89" s="138"/>
    </row>
    <row r="90" spans="1:14" ht="15.75">
      <c r="A90" s="136"/>
      <c r="B90" s="65" t="s">
        <v>61</v>
      </c>
      <c r="C90" s="66"/>
      <c r="D90" s="27"/>
      <c r="E90" s="27"/>
      <c r="F90" s="27"/>
      <c r="G90" s="27"/>
      <c r="H90" s="27"/>
      <c r="I90" s="27"/>
      <c r="J90" s="27"/>
      <c r="K90" s="27"/>
      <c r="L90" s="68"/>
      <c r="M90" s="27"/>
      <c r="N90" s="138"/>
    </row>
    <row r="91" spans="1:14" ht="15.75">
      <c r="A91" s="136"/>
      <c r="B91" s="27" t="s">
        <v>62</v>
      </c>
      <c r="C91" s="66"/>
      <c r="D91" s="27"/>
      <c r="E91" s="27"/>
      <c r="F91" s="27"/>
      <c r="G91" s="27"/>
      <c r="H91" s="27"/>
      <c r="I91" s="27"/>
      <c r="J91" s="57">
        <f>-J135</f>
        <v>0</v>
      </c>
      <c r="K91" s="57"/>
      <c r="L91" s="58"/>
      <c r="M91" s="27"/>
      <c r="N91" s="138"/>
    </row>
    <row r="92" spans="1:14" ht="15.75">
      <c r="A92" s="136"/>
      <c r="B92" s="27" t="s">
        <v>63</v>
      </c>
      <c r="C92" s="27"/>
      <c r="D92" s="27"/>
      <c r="E92" s="27"/>
      <c r="F92" s="27"/>
      <c r="G92" s="27"/>
      <c r="H92" s="27"/>
      <c r="I92" s="27"/>
      <c r="J92" s="57">
        <v>-30</v>
      </c>
      <c r="K92" s="57"/>
      <c r="L92" s="58"/>
      <c r="M92" s="27"/>
      <c r="N92" s="138"/>
    </row>
    <row r="93" spans="1:14" ht="15.75">
      <c r="A93" s="136"/>
      <c r="B93" s="27" t="s">
        <v>64</v>
      </c>
      <c r="C93" s="27"/>
      <c r="D93" s="27"/>
      <c r="E93" s="27"/>
      <c r="F93" s="27"/>
      <c r="G93" s="27"/>
      <c r="H93" s="27"/>
      <c r="I93" s="27"/>
      <c r="J93" s="57">
        <v>0</v>
      </c>
      <c r="K93" s="57"/>
      <c r="L93" s="58"/>
      <c r="M93" s="27"/>
      <c r="N93" s="138"/>
    </row>
    <row r="94" spans="1:14" ht="15.75">
      <c r="A94" s="136"/>
      <c r="B94" s="27" t="s">
        <v>65</v>
      </c>
      <c r="C94" s="27"/>
      <c r="D94" s="27"/>
      <c r="E94" s="27"/>
      <c r="F94" s="27"/>
      <c r="G94" s="27"/>
      <c r="H94" s="27"/>
      <c r="I94" s="27"/>
      <c r="J94" s="57">
        <v>-3496</v>
      </c>
      <c r="K94" s="57"/>
      <c r="L94" s="58"/>
      <c r="M94" s="27"/>
      <c r="N94" s="138"/>
    </row>
    <row r="95" spans="1:14" ht="15.75">
      <c r="A95" s="136"/>
      <c r="B95" s="27" t="s">
        <v>66</v>
      </c>
      <c r="C95" s="27"/>
      <c r="D95" s="27"/>
      <c r="E95" s="27"/>
      <c r="F95" s="27"/>
      <c r="G95" s="27"/>
      <c r="H95" s="27"/>
      <c r="I95" s="27"/>
      <c r="J95" s="57">
        <v>-706</v>
      </c>
      <c r="K95" s="57"/>
      <c r="L95" s="58"/>
      <c r="M95" s="27"/>
      <c r="N95" s="138"/>
    </row>
    <row r="96" spans="1:14" ht="15.75">
      <c r="A96" s="136"/>
      <c r="B96" s="27" t="s">
        <v>201</v>
      </c>
      <c r="C96" s="27"/>
      <c r="D96" s="27"/>
      <c r="E96" s="27"/>
      <c r="F96" s="27"/>
      <c r="G96" s="27"/>
      <c r="H96" s="27"/>
      <c r="I96" s="27"/>
      <c r="J96" s="57">
        <v>-471</v>
      </c>
      <c r="K96" s="57"/>
      <c r="L96" s="58"/>
      <c r="M96" s="27"/>
      <c r="N96" s="138"/>
    </row>
    <row r="97" spans="1:14" ht="15.75">
      <c r="A97" s="136"/>
      <c r="B97" s="27" t="s">
        <v>67</v>
      </c>
      <c r="C97" s="27"/>
      <c r="D97" s="27"/>
      <c r="E97" s="27"/>
      <c r="F97" s="27"/>
      <c r="G97" s="27"/>
      <c r="H97" s="27"/>
      <c r="I97" s="27"/>
      <c r="J97" s="57">
        <f>SUM(J77:J96)</f>
        <v>-4703</v>
      </c>
      <c r="K97" s="57"/>
      <c r="L97" s="57">
        <f>SUM(L77:L95)</f>
        <v>-2072</v>
      </c>
      <c r="M97" s="27"/>
      <c r="N97" s="138"/>
    </row>
    <row r="98" spans="1:14" ht="15.75">
      <c r="A98" s="136"/>
      <c r="B98" s="27" t="s">
        <v>68</v>
      </c>
      <c r="C98" s="27"/>
      <c r="D98" s="27"/>
      <c r="E98" s="27"/>
      <c r="F98" s="27"/>
      <c r="G98" s="27"/>
      <c r="H98" s="27"/>
      <c r="I98" s="27"/>
      <c r="J98" s="57">
        <f>J76+J97</f>
        <v>0</v>
      </c>
      <c r="K98" s="57"/>
      <c r="L98" s="57">
        <f>L76+L97</f>
        <v>0</v>
      </c>
      <c r="M98" s="27"/>
      <c r="N98" s="138"/>
    </row>
    <row r="99" spans="1:14" ht="15.75">
      <c r="A99" s="136"/>
      <c r="B99" s="27"/>
      <c r="C99" s="27"/>
      <c r="D99" s="27"/>
      <c r="E99" s="27"/>
      <c r="F99" s="27"/>
      <c r="G99" s="27"/>
      <c r="H99" s="27"/>
      <c r="I99" s="27"/>
      <c r="J99" s="57"/>
      <c r="K99" s="57"/>
      <c r="L99" s="57"/>
      <c r="M99" s="27"/>
      <c r="N99" s="138"/>
    </row>
    <row r="100" spans="1:14" ht="15.75">
      <c r="A100" s="119"/>
      <c r="B100" s="15"/>
      <c r="C100" s="10"/>
      <c r="D100" s="10"/>
      <c r="E100" s="10"/>
      <c r="F100" s="10"/>
      <c r="G100" s="10"/>
      <c r="H100" s="10"/>
      <c r="I100" s="10"/>
      <c r="J100" s="60"/>
      <c r="K100" s="60"/>
      <c r="L100" s="60"/>
      <c r="M100" s="10"/>
      <c r="N100" s="138"/>
    </row>
    <row r="101" spans="1:14" ht="15.75">
      <c r="A101" s="119"/>
      <c r="B101" s="10"/>
      <c r="C101" s="10"/>
      <c r="D101" s="10"/>
      <c r="E101" s="10"/>
      <c r="F101" s="10"/>
      <c r="G101" s="10"/>
      <c r="H101" s="10"/>
      <c r="I101" s="10"/>
      <c r="J101" s="60"/>
      <c r="K101" s="60"/>
      <c r="L101" s="60"/>
      <c r="M101" s="10"/>
      <c r="N101" s="138"/>
    </row>
    <row r="102" spans="1:14" ht="15.75">
      <c r="A102" s="119"/>
      <c r="B102" s="10"/>
      <c r="C102" s="10"/>
      <c r="D102" s="10"/>
      <c r="E102" s="10"/>
      <c r="F102" s="10"/>
      <c r="G102" s="10"/>
      <c r="H102" s="10"/>
      <c r="I102" s="10"/>
      <c r="J102" s="10"/>
      <c r="K102" s="10"/>
      <c r="L102" s="53"/>
      <c r="M102" s="10"/>
      <c r="N102" s="138"/>
    </row>
    <row r="103" spans="1:14" ht="15.75">
      <c r="A103" s="119"/>
      <c r="B103" s="10"/>
      <c r="C103" s="9"/>
      <c r="D103" s="10"/>
      <c r="E103" s="10"/>
      <c r="F103" s="10"/>
      <c r="G103" s="10"/>
      <c r="H103" s="10"/>
      <c r="I103" s="10"/>
      <c r="J103" s="10"/>
      <c r="K103" s="10"/>
      <c r="L103" s="53"/>
      <c r="M103" s="10"/>
      <c r="N103" s="138"/>
    </row>
    <row r="104" spans="1:14" ht="15.75">
      <c r="A104" s="135"/>
      <c r="B104" s="83" t="s">
        <v>69</v>
      </c>
      <c r="C104" s="5"/>
      <c r="D104" s="5"/>
      <c r="E104" s="5"/>
      <c r="F104" s="5"/>
      <c r="G104" s="5"/>
      <c r="H104" s="5"/>
      <c r="I104" s="5"/>
      <c r="J104" s="5"/>
      <c r="K104" s="5"/>
      <c r="L104" s="52"/>
      <c r="M104" s="70"/>
      <c r="N104" s="138"/>
    </row>
    <row r="105" spans="1:14" ht="15.75">
      <c r="A105" s="119"/>
      <c r="B105" s="10"/>
      <c r="C105" s="10"/>
      <c r="D105" s="10"/>
      <c r="E105" s="10"/>
      <c r="F105" s="10"/>
      <c r="G105" s="10"/>
      <c r="H105" s="10"/>
      <c r="I105" s="10"/>
      <c r="J105" s="10"/>
      <c r="K105" s="10"/>
      <c r="L105" s="53"/>
      <c r="M105" s="10"/>
      <c r="N105" s="138"/>
    </row>
    <row r="106" spans="1:14" ht="15.75">
      <c r="A106" s="119"/>
      <c r="B106" s="73" t="s">
        <v>70</v>
      </c>
      <c r="C106" s="16"/>
      <c r="D106" s="10"/>
      <c r="E106" s="10"/>
      <c r="F106" s="10"/>
      <c r="G106" s="10"/>
      <c r="H106" s="10"/>
      <c r="I106" s="10"/>
      <c r="J106" s="10"/>
      <c r="K106" s="10"/>
      <c r="L106" s="53"/>
      <c r="M106" s="10"/>
      <c r="N106" s="138"/>
    </row>
    <row r="107" spans="1:14" ht="15.75">
      <c r="A107" s="136"/>
      <c r="B107" s="27" t="s">
        <v>71</v>
      </c>
      <c r="C107" s="27"/>
      <c r="D107" s="27"/>
      <c r="E107" s="27"/>
      <c r="F107" s="27"/>
      <c r="G107" s="27"/>
      <c r="H107" s="27"/>
      <c r="I107" s="27"/>
      <c r="J107" s="27"/>
      <c r="K107" s="27"/>
      <c r="L107" s="58">
        <v>4515</v>
      </c>
      <c r="M107" s="27"/>
      <c r="N107" s="138"/>
    </row>
    <row r="108" spans="1:14" ht="15.75">
      <c r="A108" s="136"/>
      <c r="B108" s="27" t="s">
        <v>72</v>
      </c>
      <c r="C108" s="27"/>
      <c r="D108" s="27"/>
      <c r="E108" s="27"/>
      <c r="F108" s="27"/>
      <c r="G108" s="27"/>
      <c r="H108" s="27"/>
      <c r="I108" s="27"/>
      <c r="J108" s="27"/>
      <c r="K108" s="27"/>
      <c r="L108" s="58">
        <v>4515</v>
      </c>
      <c r="M108" s="27"/>
      <c r="N108" s="138"/>
    </row>
    <row r="109" spans="1:14" ht="15.75">
      <c r="A109" s="136"/>
      <c r="B109" s="27" t="s">
        <v>73</v>
      </c>
      <c r="C109" s="27"/>
      <c r="D109" s="27"/>
      <c r="E109" s="27"/>
      <c r="F109" s="27"/>
      <c r="G109" s="27"/>
      <c r="H109" s="27"/>
      <c r="I109" s="27"/>
      <c r="J109" s="27"/>
      <c r="K109" s="27"/>
      <c r="L109" s="58"/>
      <c r="M109" s="27"/>
      <c r="N109" s="138"/>
    </row>
    <row r="110" spans="1:14" ht="15.75">
      <c r="A110" s="136"/>
      <c r="B110" s="27" t="s">
        <v>74</v>
      </c>
      <c r="C110" s="27"/>
      <c r="D110" s="27"/>
      <c r="E110" s="27"/>
      <c r="F110" s="27"/>
      <c r="G110" s="27"/>
      <c r="H110" s="27"/>
      <c r="I110" s="27"/>
      <c r="J110" s="27"/>
      <c r="K110" s="27"/>
      <c r="L110" s="58">
        <v>0</v>
      </c>
      <c r="M110" s="27"/>
      <c r="N110" s="138"/>
    </row>
    <row r="111" spans="1:14" ht="15.75">
      <c r="A111" s="136"/>
      <c r="B111" s="27" t="s">
        <v>75</v>
      </c>
      <c r="C111" s="27"/>
      <c r="D111" s="27"/>
      <c r="E111" s="27"/>
      <c r="F111" s="27"/>
      <c r="G111" s="27"/>
      <c r="H111" s="27"/>
      <c r="I111" s="27"/>
      <c r="J111" s="27"/>
      <c r="K111" s="27"/>
      <c r="L111" s="58"/>
      <c r="M111" s="27"/>
      <c r="N111" s="138"/>
    </row>
    <row r="112" spans="1:14" ht="15.75">
      <c r="A112" s="136"/>
      <c r="B112" s="27" t="s">
        <v>53</v>
      </c>
      <c r="C112" s="27"/>
      <c r="D112" s="27"/>
      <c r="E112" s="27"/>
      <c r="F112" s="27"/>
      <c r="G112" s="27"/>
      <c r="H112" s="27"/>
      <c r="I112" s="27"/>
      <c r="J112" s="27"/>
      <c r="K112" s="27"/>
      <c r="L112" s="58"/>
      <c r="M112" s="27"/>
      <c r="N112" s="138"/>
    </row>
    <row r="113" spans="1:14" ht="15.75">
      <c r="A113" s="136"/>
      <c r="B113" s="27" t="s">
        <v>55</v>
      </c>
      <c r="C113" s="27"/>
      <c r="D113" s="27"/>
      <c r="E113" s="27"/>
      <c r="F113" s="27"/>
      <c r="G113" s="27"/>
      <c r="H113" s="27"/>
      <c r="I113" s="27"/>
      <c r="J113" s="27"/>
      <c r="K113" s="27"/>
      <c r="L113" s="58"/>
      <c r="M113" s="27"/>
      <c r="N113" s="138"/>
    </row>
    <row r="114" spans="1:14" ht="15.75">
      <c r="A114" s="136"/>
      <c r="B114" s="27" t="s">
        <v>76</v>
      </c>
      <c r="C114" s="27"/>
      <c r="D114" s="27"/>
      <c r="E114" s="27"/>
      <c r="F114" s="27"/>
      <c r="G114" s="27"/>
      <c r="H114" s="27"/>
      <c r="I114" s="27"/>
      <c r="J114" s="27"/>
      <c r="K114" s="27"/>
      <c r="L114" s="58">
        <f>L108-L110</f>
        <v>4515</v>
      </c>
      <c r="M114" s="27"/>
      <c r="N114" s="138"/>
    </row>
    <row r="115" spans="1:14" ht="15.75">
      <c r="A115" s="136"/>
      <c r="B115" s="27"/>
      <c r="C115" s="27"/>
      <c r="D115" s="27"/>
      <c r="E115" s="27"/>
      <c r="F115" s="27"/>
      <c r="G115" s="27"/>
      <c r="H115" s="27"/>
      <c r="I115" s="27"/>
      <c r="J115" s="27"/>
      <c r="K115" s="27"/>
      <c r="L115" s="72"/>
      <c r="M115" s="27"/>
      <c r="N115" s="138"/>
    </row>
    <row r="116" spans="1:14" ht="15.75">
      <c r="A116" s="135"/>
      <c r="B116" s="5"/>
      <c r="C116" s="5"/>
      <c r="D116" s="5"/>
      <c r="E116" s="5"/>
      <c r="F116" s="5"/>
      <c r="G116" s="5"/>
      <c r="H116" s="5"/>
      <c r="I116" s="5"/>
      <c r="J116" s="5"/>
      <c r="K116" s="5"/>
      <c r="L116" s="52"/>
      <c r="M116" s="5"/>
      <c r="N116" s="138"/>
    </row>
    <row r="117" spans="1:14" ht="15.75">
      <c r="A117" s="119"/>
      <c r="B117" s="73" t="s">
        <v>77</v>
      </c>
      <c r="C117" s="16"/>
      <c r="D117" s="10"/>
      <c r="E117" s="10"/>
      <c r="F117" s="10"/>
      <c r="G117" s="10"/>
      <c r="H117" s="10"/>
      <c r="I117" s="10"/>
      <c r="J117" s="10"/>
      <c r="K117" s="10"/>
      <c r="L117" s="74"/>
      <c r="M117" s="10"/>
      <c r="N117" s="138"/>
    </row>
    <row r="118" spans="1:14" ht="15.75">
      <c r="A118" s="119"/>
      <c r="B118" s="16"/>
      <c r="C118" s="16"/>
      <c r="D118" s="10"/>
      <c r="E118" s="10"/>
      <c r="F118" s="10"/>
      <c r="G118" s="10"/>
      <c r="H118" s="10"/>
      <c r="I118" s="10"/>
      <c r="J118" s="10"/>
      <c r="K118" s="10"/>
      <c r="L118" s="74"/>
      <c r="M118" s="10"/>
      <c r="N118" s="138"/>
    </row>
    <row r="119" spans="1:14" ht="15.75">
      <c r="A119" s="136"/>
      <c r="B119" s="27" t="s">
        <v>78</v>
      </c>
      <c r="C119" s="27"/>
      <c r="D119" s="27"/>
      <c r="E119" s="27"/>
      <c r="F119" s="27"/>
      <c r="G119" s="27"/>
      <c r="H119" s="27"/>
      <c r="I119" s="27"/>
      <c r="J119" s="27"/>
      <c r="K119" s="27"/>
      <c r="L119" s="58">
        <v>0</v>
      </c>
      <c r="M119" s="27"/>
      <c r="N119" s="138"/>
    </row>
    <row r="120" spans="1:14" ht="15.75">
      <c r="A120" s="136"/>
      <c r="B120" s="27" t="s">
        <v>79</v>
      </c>
      <c r="C120" s="27"/>
      <c r="D120" s="27"/>
      <c r="E120" s="27"/>
      <c r="F120" s="27"/>
      <c r="G120" s="27"/>
      <c r="H120" s="27"/>
      <c r="I120" s="27"/>
      <c r="J120" s="27"/>
      <c r="K120" s="27"/>
      <c r="L120" s="58">
        <v>-51</v>
      </c>
      <c r="M120" s="27"/>
      <c r="N120" s="138"/>
    </row>
    <row r="121" spans="1:14" ht="15.75">
      <c r="A121" s="136"/>
      <c r="B121" s="27" t="s">
        <v>80</v>
      </c>
      <c r="C121" s="27"/>
      <c r="D121" s="27"/>
      <c r="E121" s="27"/>
      <c r="F121" s="27"/>
      <c r="G121" s="27"/>
      <c r="H121" s="27"/>
      <c r="I121" s="27"/>
      <c r="J121" s="27"/>
      <c r="K121" s="27"/>
      <c r="L121" s="58">
        <f>L120+L119</f>
        <v>-51</v>
      </c>
      <c r="M121" s="27"/>
      <c r="N121" s="138"/>
    </row>
    <row r="122" spans="1:14" ht="15.75">
      <c r="A122" s="136"/>
      <c r="B122" s="27" t="s">
        <v>81</v>
      </c>
      <c r="C122" s="27"/>
      <c r="D122" s="27"/>
      <c r="E122" s="27"/>
      <c r="F122" s="27"/>
      <c r="G122" s="27"/>
      <c r="H122" s="75"/>
      <c r="I122" s="27"/>
      <c r="J122" s="27"/>
      <c r="K122" s="27"/>
      <c r="L122" s="58">
        <f>-L87</f>
        <v>51</v>
      </c>
      <c r="M122" s="27"/>
      <c r="N122" s="138"/>
    </row>
    <row r="123" spans="1:14" ht="15.75">
      <c r="A123" s="136"/>
      <c r="B123" s="27" t="s">
        <v>82</v>
      </c>
      <c r="C123" s="27"/>
      <c r="D123" s="27"/>
      <c r="E123" s="27"/>
      <c r="F123" s="27"/>
      <c r="G123" s="27"/>
      <c r="H123" s="27"/>
      <c r="I123" s="27"/>
      <c r="J123" s="27"/>
      <c r="K123" s="27"/>
      <c r="L123" s="58">
        <f>L121+L122</f>
        <v>0</v>
      </c>
      <c r="M123" s="27"/>
      <c r="N123" s="138"/>
    </row>
    <row r="124" spans="1:14" ht="15.75">
      <c r="A124" s="136"/>
      <c r="B124" s="27"/>
      <c r="C124" s="27"/>
      <c r="D124" s="27"/>
      <c r="E124" s="27"/>
      <c r="F124" s="27"/>
      <c r="G124" s="27"/>
      <c r="H124" s="27"/>
      <c r="I124" s="27"/>
      <c r="J124" s="27"/>
      <c r="K124" s="27"/>
      <c r="L124" s="72"/>
      <c r="M124" s="27"/>
      <c r="N124" s="138"/>
    </row>
    <row r="125" spans="1:14" ht="15.75">
      <c r="A125" s="135"/>
      <c r="B125" s="5"/>
      <c r="C125" s="5"/>
      <c r="D125" s="5"/>
      <c r="E125" s="5"/>
      <c r="F125" s="5"/>
      <c r="G125" s="5"/>
      <c r="H125" s="5"/>
      <c r="I125" s="5"/>
      <c r="J125" s="5"/>
      <c r="K125" s="5"/>
      <c r="L125" s="52"/>
      <c r="M125" s="5"/>
      <c r="N125" s="138"/>
    </row>
    <row r="126" spans="1:14" ht="15.75">
      <c r="A126" s="119"/>
      <c r="B126" s="73" t="s">
        <v>83</v>
      </c>
      <c r="C126" s="16"/>
      <c r="D126" s="10"/>
      <c r="E126" s="10"/>
      <c r="F126" s="10"/>
      <c r="G126" s="10"/>
      <c r="H126" s="10"/>
      <c r="I126" s="10"/>
      <c r="J126" s="10"/>
      <c r="K126" s="10"/>
      <c r="L126" s="53"/>
      <c r="M126" s="10"/>
      <c r="N126" s="138"/>
    </row>
    <row r="127" spans="1:14" ht="15.75">
      <c r="A127" s="119"/>
      <c r="B127" s="76"/>
      <c r="C127" s="16"/>
      <c r="D127" s="10"/>
      <c r="E127" s="10"/>
      <c r="F127" s="10"/>
      <c r="G127" s="10"/>
      <c r="H127" s="10"/>
      <c r="I127" s="10"/>
      <c r="J127" s="10"/>
      <c r="K127" s="10"/>
      <c r="L127" s="53"/>
      <c r="M127" s="10"/>
      <c r="N127" s="138"/>
    </row>
    <row r="128" spans="1:14" ht="15.75">
      <c r="A128" s="136"/>
      <c r="B128" s="27" t="s">
        <v>84</v>
      </c>
      <c r="C128" s="71"/>
      <c r="D128" s="27"/>
      <c r="E128" s="27"/>
      <c r="F128" s="27"/>
      <c r="G128" s="27"/>
      <c r="H128" s="27"/>
      <c r="I128" s="27"/>
      <c r="J128" s="27"/>
      <c r="K128" s="27"/>
      <c r="L128" s="58">
        <f>L54</f>
        <v>85707</v>
      </c>
      <c r="M128" s="27"/>
      <c r="N128" s="138"/>
    </row>
    <row r="129" spans="1:14" ht="15.75">
      <c r="A129" s="136"/>
      <c r="B129" s="27" t="s">
        <v>85</v>
      </c>
      <c r="C129" s="71"/>
      <c r="D129" s="27"/>
      <c r="E129" s="27"/>
      <c r="F129" s="27"/>
      <c r="G129" s="27"/>
      <c r="H129" s="27"/>
      <c r="I129" s="27"/>
      <c r="J129" s="27"/>
      <c r="K129" s="27"/>
      <c r="L129" s="58">
        <f>L66</f>
        <v>81758</v>
      </c>
      <c r="M129" s="27"/>
      <c r="N129" s="138"/>
    </row>
    <row r="130" spans="1:14" ht="15.75">
      <c r="A130" s="136"/>
      <c r="B130" s="27"/>
      <c r="C130" s="27"/>
      <c r="D130" s="27"/>
      <c r="E130" s="27"/>
      <c r="F130" s="27"/>
      <c r="G130" s="27"/>
      <c r="H130" s="27"/>
      <c r="I130" s="27"/>
      <c r="J130" s="27"/>
      <c r="K130" s="27"/>
      <c r="L130" s="72"/>
      <c r="M130" s="27"/>
      <c r="N130" s="138"/>
    </row>
    <row r="131" spans="1:14" ht="15.75">
      <c r="A131" s="135"/>
      <c r="B131" s="5"/>
      <c r="C131" s="5"/>
      <c r="D131" s="5"/>
      <c r="E131" s="5"/>
      <c r="F131" s="5"/>
      <c r="G131" s="5"/>
      <c r="H131" s="5"/>
      <c r="I131" s="5"/>
      <c r="J131" s="5"/>
      <c r="K131" s="5"/>
      <c r="L131" s="52"/>
      <c r="M131" s="5"/>
      <c r="N131" s="138"/>
    </row>
    <row r="132" spans="1:14" ht="15.75">
      <c r="A132" s="119"/>
      <c r="B132" s="73" t="s">
        <v>86</v>
      </c>
      <c r="C132" s="12"/>
      <c r="D132" s="12"/>
      <c r="E132" s="12"/>
      <c r="F132" s="12"/>
      <c r="G132" s="12"/>
      <c r="H132" s="77" t="s">
        <v>163</v>
      </c>
      <c r="I132" s="77"/>
      <c r="J132" s="77" t="s">
        <v>175</v>
      </c>
      <c r="K132" s="12"/>
      <c r="L132" s="78" t="s">
        <v>189</v>
      </c>
      <c r="M132" s="10"/>
      <c r="N132" s="138"/>
    </row>
    <row r="133" spans="1:14" ht="15.75">
      <c r="A133" s="136"/>
      <c r="B133" s="27" t="s">
        <v>87</v>
      </c>
      <c r="C133" s="27"/>
      <c r="D133" s="27"/>
      <c r="E133" s="27"/>
      <c r="F133" s="27"/>
      <c r="G133" s="27"/>
      <c r="H133" s="58">
        <v>40000</v>
      </c>
      <c r="I133" s="27"/>
      <c r="J133" s="45" t="s">
        <v>176</v>
      </c>
      <c r="K133" s="27"/>
      <c r="L133" s="58"/>
      <c r="M133" s="27"/>
      <c r="N133" s="138"/>
    </row>
    <row r="134" spans="1:14" ht="15.75">
      <c r="A134" s="136"/>
      <c r="B134" s="27" t="s">
        <v>88</v>
      </c>
      <c r="C134" s="27"/>
      <c r="D134" s="27"/>
      <c r="E134" s="27"/>
      <c r="F134" s="27"/>
      <c r="G134" s="27"/>
      <c r="H134" s="58">
        <v>2029</v>
      </c>
      <c r="I134" s="27"/>
      <c r="J134" s="58">
        <v>110</v>
      </c>
      <c r="K134" s="27"/>
      <c r="L134" s="58">
        <f>J134+H134</f>
        <v>2139</v>
      </c>
      <c r="M134" s="27"/>
      <c r="N134" s="138"/>
    </row>
    <row r="135" spans="1:14" ht="15.75">
      <c r="A135" s="136"/>
      <c r="B135" s="27" t="s">
        <v>89</v>
      </c>
      <c r="C135" s="27"/>
      <c r="D135" s="27"/>
      <c r="E135" s="27"/>
      <c r="F135" s="27"/>
      <c r="G135" s="27"/>
      <c r="H135" s="58">
        <v>30</v>
      </c>
      <c r="I135" s="27"/>
      <c r="J135" s="27">
        <v>0</v>
      </c>
      <c r="K135" s="27"/>
      <c r="L135" s="58">
        <f>J135+H135</f>
        <v>30</v>
      </c>
      <c r="M135" s="27"/>
      <c r="N135" s="138"/>
    </row>
    <row r="136" spans="1:14" ht="15.75">
      <c r="A136" s="136"/>
      <c r="B136" s="27" t="s">
        <v>90</v>
      </c>
      <c r="C136" s="27"/>
      <c r="D136" s="27"/>
      <c r="E136" s="27"/>
      <c r="F136" s="27"/>
      <c r="G136" s="27"/>
      <c r="H136" s="58">
        <f>H135+H134</f>
        <v>2059</v>
      </c>
      <c r="I136" s="27"/>
      <c r="J136" s="58">
        <f>J135+J134</f>
        <v>110</v>
      </c>
      <c r="K136" s="27"/>
      <c r="L136" s="58">
        <f>J136+H136</f>
        <v>2169</v>
      </c>
      <c r="M136" s="27"/>
      <c r="N136" s="138"/>
    </row>
    <row r="137" spans="1:14" ht="15.75">
      <c r="A137" s="136"/>
      <c r="B137" s="27" t="s">
        <v>91</v>
      </c>
      <c r="C137" s="27"/>
      <c r="D137" s="27"/>
      <c r="E137" s="27"/>
      <c r="F137" s="27"/>
      <c r="G137" s="27"/>
      <c r="H137" s="58">
        <f>H133-H136</f>
        <v>37941</v>
      </c>
      <c r="I137" s="27"/>
      <c r="J137" s="45" t="s">
        <v>176</v>
      </c>
      <c r="K137" s="27"/>
      <c r="L137" s="58"/>
      <c r="M137" s="27"/>
      <c r="N137" s="138"/>
    </row>
    <row r="138" spans="1:14" ht="15.75">
      <c r="A138" s="136"/>
      <c r="B138" s="27"/>
      <c r="C138" s="27"/>
      <c r="D138" s="27"/>
      <c r="E138" s="27"/>
      <c r="F138" s="27"/>
      <c r="G138" s="27"/>
      <c r="H138" s="27"/>
      <c r="I138" s="27"/>
      <c r="J138" s="27"/>
      <c r="K138" s="27"/>
      <c r="L138" s="72"/>
      <c r="M138" s="27"/>
      <c r="N138" s="138"/>
    </row>
    <row r="139" spans="1:14" ht="15.75">
      <c r="A139" s="135"/>
      <c r="B139" s="5"/>
      <c r="C139" s="5"/>
      <c r="D139" s="5"/>
      <c r="E139" s="5"/>
      <c r="F139" s="5"/>
      <c r="G139" s="5"/>
      <c r="H139" s="5"/>
      <c r="I139" s="5"/>
      <c r="J139" s="5"/>
      <c r="K139" s="5"/>
      <c r="L139" s="52"/>
      <c r="M139" s="5"/>
      <c r="N139" s="138"/>
    </row>
    <row r="140" spans="1:14" ht="15.75">
      <c r="A140" s="119"/>
      <c r="B140" s="73" t="s">
        <v>92</v>
      </c>
      <c r="C140" s="16"/>
      <c r="D140" s="10"/>
      <c r="E140" s="10"/>
      <c r="F140" s="10"/>
      <c r="G140" s="10"/>
      <c r="H140" s="10"/>
      <c r="I140" s="10"/>
      <c r="J140" s="10"/>
      <c r="K140" s="10"/>
      <c r="L140" s="79"/>
      <c r="M140" s="10"/>
      <c r="N140" s="138"/>
    </row>
    <row r="141" spans="1:14" ht="15.75">
      <c r="A141" s="136"/>
      <c r="B141" s="27" t="s">
        <v>93</v>
      </c>
      <c r="C141" s="27"/>
      <c r="D141" s="27"/>
      <c r="E141" s="27"/>
      <c r="F141" s="27"/>
      <c r="G141" s="27"/>
      <c r="H141" s="27"/>
      <c r="I141" s="27"/>
      <c r="J141" s="27"/>
      <c r="K141" s="27"/>
      <c r="L141" s="68">
        <f>(L76+L79+L80+L81)/-L82</f>
        <v>2.0839532412327313</v>
      </c>
      <c r="M141" s="27" t="s">
        <v>190</v>
      </c>
      <c r="N141" s="138"/>
    </row>
    <row r="142" spans="1:14" ht="15.75">
      <c r="A142" s="136"/>
      <c r="B142" s="27" t="s">
        <v>94</v>
      </c>
      <c r="C142" s="27"/>
      <c r="D142" s="27"/>
      <c r="E142" s="27"/>
      <c r="F142" s="27"/>
      <c r="G142" s="27"/>
      <c r="H142" s="27"/>
      <c r="I142" s="27"/>
      <c r="J142" s="27"/>
      <c r="K142" s="27"/>
      <c r="L142" s="68">
        <v>1.64</v>
      </c>
      <c r="M142" s="27" t="s">
        <v>190</v>
      </c>
      <c r="N142" s="138"/>
    </row>
    <row r="143" spans="1:14" ht="15.75">
      <c r="A143" s="136"/>
      <c r="B143" s="27" t="s">
        <v>95</v>
      </c>
      <c r="C143" s="27"/>
      <c r="D143" s="27"/>
      <c r="E143" s="27"/>
      <c r="F143" s="27"/>
      <c r="G143" s="27"/>
      <c r="H143" s="27"/>
      <c r="I143" s="27"/>
      <c r="J143" s="27"/>
      <c r="K143" s="27"/>
      <c r="L143" s="68">
        <f>(L76+SUM(L79:L83))/-L84</f>
        <v>5.16243654822335</v>
      </c>
      <c r="M143" s="27" t="s">
        <v>190</v>
      </c>
      <c r="N143" s="138"/>
    </row>
    <row r="144" spans="1:14" ht="15.75">
      <c r="A144" s="136"/>
      <c r="B144" s="27" t="s">
        <v>96</v>
      </c>
      <c r="C144" s="27"/>
      <c r="D144" s="27"/>
      <c r="E144" s="27"/>
      <c r="F144" s="27"/>
      <c r="G144" s="27"/>
      <c r="H144" s="27"/>
      <c r="I144" s="27"/>
      <c r="J144" s="27"/>
      <c r="K144" s="27"/>
      <c r="L144" s="81">
        <v>4.6</v>
      </c>
      <c r="M144" s="27" t="s">
        <v>190</v>
      </c>
      <c r="N144" s="138"/>
    </row>
    <row r="145" spans="1:14" ht="15.75">
      <c r="A145" s="136"/>
      <c r="B145" s="27" t="s">
        <v>97</v>
      </c>
      <c r="C145" s="27"/>
      <c r="D145" s="27"/>
      <c r="E145" s="27"/>
      <c r="F145" s="27"/>
      <c r="G145" s="27"/>
      <c r="H145" s="27"/>
      <c r="I145" s="27"/>
      <c r="J145" s="27"/>
      <c r="K145" s="27"/>
      <c r="L145" s="68">
        <f>(L76+L79+L80+L81+L82+L83+L84)/-L85</f>
        <v>5.899280575539568</v>
      </c>
      <c r="M145" s="27" t="s">
        <v>190</v>
      </c>
      <c r="N145" s="138"/>
    </row>
    <row r="146" spans="1:14" ht="15.75">
      <c r="A146" s="136"/>
      <c r="B146" s="27" t="s">
        <v>98</v>
      </c>
      <c r="C146" s="27"/>
      <c r="D146" s="27"/>
      <c r="E146" s="27"/>
      <c r="F146" s="27"/>
      <c r="G146" s="27"/>
      <c r="H146" s="27"/>
      <c r="I146" s="27"/>
      <c r="J146" s="27"/>
      <c r="K146" s="27"/>
      <c r="L146" s="80">
        <v>5.14</v>
      </c>
      <c r="M146" s="27" t="s">
        <v>190</v>
      </c>
      <c r="N146" s="138"/>
    </row>
    <row r="147" spans="1:14" ht="15.75">
      <c r="A147" s="136"/>
      <c r="B147" s="27"/>
      <c r="C147" s="27"/>
      <c r="D147" s="27"/>
      <c r="E147" s="27"/>
      <c r="F147" s="27"/>
      <c r="G147" s="27"/>
      <c r="H147" s="27"/>
      <c r="I147" s="27"/>
      <c r="J147" s="27"/>
      <c r="K147" s="27"/>
      <c r="L147" s="27"/>
      <c r="M147" s="27"/>
      <c r="N147" s="138"/>
    </row>
    <row r="148" spans="1:14" ht="15">
      <c r="A148" s="119"/>
      <c r="B148" s="15"/>
      <c r="C148" s="15"/>
      <c r="D148" s="15"/>
      <c r="E148" s="15"/>
      <c r="F148" s="15"/>
      <c r="G148" s="15"/>
      <c r="H148" s="15"/>
      <c r="I148" s="15"/>
      <c r="J148" s="15"/>
      <c r="K148" s="15"/>
      <c r="L148" s="15"/>
      <c r="M148" s="15"/>
      <c r="N148" s="138"/>
    </row>
    <row r="149" spans="1:14" ht="15.75">
      <c r="A149" s="135"/>
      <c r="B149" s="83" t="s">
        <v>99</v>
      </c>
      <c r="C149" s="84"/>
      <c r="D149" s="84"/>
      <c r="E149" s="84"/>
      <c r="F149" s="84"/>
      <c r="G149" s="85"/>
      <c r="H149" s="85"/>
      <c r="I149" s="85"/>
      <c r="J149" s="85">
        <v>37042</v>
      </c>
      <c r="K149" s="86"/>
      <c r="L149" s="5"/>
      <c r="M149" s="5"/>
      <c r="N149" s="138"/>
    </row>
    <row r="150" spans="1:14" ht="15.75">
      <c r="A150" s="119"/>
      <c r="B150" s="89"/>
      <c r="C150" s="90"/>
      <c r="D150" s="90"/>
      <c r="E150" s="90"/>
      <c r="F150" s="90"/>
      <c r="G150" s="91"/>
      <c r="H150" s="91"/>
      <c r="I150" s="91"/>
      <c r="J150" s="91"/>
      <c r="K150" s="10"/>
      <c r="L150" s="10"/>
      <c r="M150" s="10"/>
      <c r="N150" s="138"/>
    </row>
    <row r="151" spans="1:14" ht="15.75">
      <c r="A151" s="136"/>
      <c r="B151" s="93" t="s">
        <v>100</v>
      </c>
      <c r="C151" s="94"/>
      <c r="D151" s="94"/>
      <c r="E151" s="94"/>
      <c r="F151" s="94"/>
      <c r="G151" s="75"/>
      <c r="H151" s="75"/>
      <c r="I151" s="75"/>
      <c r="J151" s="95">
        <v>0.0981</v>
      </c>
      <c r="K151" s="27"/>
      <c r="L151" s="27"/>
      <c r="M151" s="27"/>
      <c r="N151" s="138"/>
    </row>
    <row r="152" spans="1:14" ht="15.75">
      <c r="A152" s="136"/>
      <c r="B152" s="93" t="s">
        <v>101</v>
      </c>
      <c r="C152" s="94"/>
      <c r="D152" s="94"/>
      <c r="E152" s="94"/>
      <c r="F152" s="94"/>
      <c r="G152" s="75"/>
      <c r="H152" s="75"/>
      <c r="I152" s="75"/>
      <c r="J152" s="44">
        <f>6.96640642439395/100</f>
        <v>0.0696640642439395</v>
      </c>
      <c r="K152" s="27"/>
      <c r="L152" s="27"/>
      <c r="M152" s="27"/>
      <c r="N152" s="138"/>
    </row>
    <row r="153" spans="1:14" ht="15.75">
      <c r="A153" s="136"/>
      <c r="B153" s="93" t="s">
        <v>102</v>
      </c>
      <c r="C153" s="94"/>
      <c r="D153" s="94"/>
      <c r="E153" s="94"/>
      <c r="F153" s="94"/>
      <c r="G153" s="75"/>
      <c r="H153" s="75"/>
      <c r="I153" s="75"/>
      <c r="J153" s="95">
        <f>J151-J152</f>
        <v>0.0284359357560605</v>
      </c>
      <c r="K153" s="27"/>
      <c r="L153" s="27"/>
      <c r="M153" s="27"/>
      <c r="N153" s="138"/>
    </row>
    <row r="154" spans="1:14" ht="15.75">
      <c r="A154" s="136"/>
      <c r="B154" s="93" t="s">
        <v>103</v>
      </c>
      <c r="C154" s="94"/>
      <c r="D154" s="94"/>
      <c r="E154" s="94"/>
      <c r="F154" s="94"/>
      <c r="G154" s="75"/>
      <c r="H154" s="75"/>
      <c r="I154" s="75"/>
      <c r="J154" s="95">
        <v>0.0843</v>
      </c>
      <c r="K154" s="27"/>
      <c r="L154" s="27"/>
      <c r="M154" s="27"/>
      <c r="N154" s="138"/>
    </row>
    <row r="155" spans="1:14" ht="15.75">
      <c r="A155" s="136"/>
      <c r="B155" s="93" t="s">
        <v>104</v>
      </c>
      <c r="C155" s="94"/>
      <c r="D155" s="94"/>
      <c r="E155" s="94"/>
      <c r="F155" s="94"/>
      <c r="G155" s="75"/>
      <c r="H155" s="75"/>
      <c r="I155" s="75"/>
      <c r="J155" s="95">
        <f>L30</f>
        <v>0.058665798778358015</v>
      </c>
      <c r="K155" s="27"/>
      <c r="L155" s="27"/>
      <c r="M155" s="27"/>
      <c r="N155" s="138"/>
    </row>
    <row r="156" spans="1:14" ht="15.75">
      <c r="A156" s="136"/>
      <c r="B156" s="93" t="s">
        <v>105</v>
      </c>
      <c r="C156" s="94"/>
      <c r="D156" s="94"/>
      <c r="E156" s="94"/>
      <c r="F156" s="94"/>
      <c r="G156" s="75"/>
      <c r="H156" s="75"/>
      <c r="I156" s="75"/>
      <c r="J156" s="95">
        <f>J154-J155</f>
        <v>0.025634201221641985</v>
      </c>
      <c r="K156" s="27"/>
      <c r="L156" s="27"/>
      <c r="M156" s="27"/>
      <c r="N156" s="138"/>
    </row>
    <row r="157" spans="1:14" ht="15.75">
      <c r="A157" s="136"/>
      <c r="B157" s="93" t="s">
        <v>106</v>
      </c>
      <c r="C157" s="94"/>
      <c r="D157" s="94"/>
      <c r="E157" s="94"/>
      <c r="F157" s="94"/>
      <c r="G157" s="75"/>
      <c r="H157" s="75"/>
      <c r="I157" s="75"/>
      <c r="J157" s="95" t="s">
        <v>177</v>
      </c>
      <c r="K157" s="27"/>
      <c r="L157" s="27"/>
      <c r="M157" s="27"/>
      <c r="N157" s="138"/>
    </row>
    <row r="158" spans="1:14" ht="15.75">
      <c r="A158" s="136"/>
      <c r="B158" s="93" t="s">
        <v>107</v>
      </c>
      <c r="C158" s="94"/>
      <c r="D158" s="94"/>
      <c r="E158" s="94"/>
      <c r="F158" s="94"/>
      <c r="G158" s="75"/>
      <c r="H158" s="75"/>
      <c r="I158" s="75"/>
      <c r="J158" s="95" t="s">
        <v>178</v>
      </c>
      <c r="K158" s="27"/>
      <c r="L158" s="27"/>
      <c r="M158" s="27"/>
      <c r="N158" s="138"/>
    </row>
    <row r="159" spans="1:14" ht="15.75">
      <c r="A159" s="136"/>
      <c r="B159" s="93" t="s">
        <v>108</v>
      </c>
      <c r="C159" s="94"/>
      <c r="D159" s="94"/>
      <c r="E159" s="94"/>
      <c r="F159" s="94"/>
      <c r="G159" s="75"/>
      <c r="H159" s="75"/>
      <c r="I159" s="75"/>
      <c r="J159" s="95" t="s">
        <v>200</v>
      </c>
      <c r="K159" s="27"/>
      <c r="L159" s="27"/>
      <c r="M159" s="27"/>
      <c r="N159" s="138"/>
    </row>
    <row r="160" spans="1:14" ht="15.75">
      <c r="A160" s="136"/>
      <c r="B160" s="93" t="s">
        <v>109</v>
      </c>
      <c r="C160" s="94"/>
      <c r="D160" s="94"/>
      <c r="E160" s="94"/>
      <c r="F160" s="94"/>
      <c r="G160" s="75"/>
      <c r="H160" s="133"/>
      <c r="I160" s="75"/>
      <c r="J160" s="95">
        <f>F54/D54*4</f>
        <v>0.2040694261378111</v>
      </c>
      <c r="K160" s="27"/>
      <c r="L160" s="27"/>
      <c r="M160" s="27"/>
      <c r="N160" s="138"/>
    </row>
    <row r="161" spans="1:14" ht="15.75">
      <c r="A161" s="136"/>
      <c r="B161" s="93"/>
      <c r="C161" s="93"/>
      <c r="D161" s="93"/>
      <c r="E161" s="93"/>
      <c r="F161" s="93"/>
      <c r="G161" s="27"/>
      <c r="H161" s="27"/>
      <c r="I161" s="27"/>
      <c r="J161" s="72"/>
      <c r="K161" s="27"/>
      <c r="L161" s="97"/>
      <c r="M161" s="27"/>
      <c r="N161" s="138"/>
    </row>
    <row r="162" spans="1:14" ht="15.75">
      <c r="A162" s="119"/>
      <c r="B162" s="17" t="s">
        <v>110</v>
      </c>
      <c r="C162" s="20"/>
      <c r="D162" s="99"/>
      <c r="E162" s="20"/>
      <c r="F162" s="99"/>
      <c r="G162" s="20"/>
      <c r="H162" s="99"/>
      <c r="I162" s="20" t="s">
        <v>164</v>
      </c>
      <c r="J162" s="99" t="s">
        <v>180</v>
      </c>
      <c r="K162" s="18"/>
      <c r="L162" s="18"/>
      <c r="M162" s="10"/>
      <c r="N162" s="138"/>
    </row>
    <row r="163" spans="1:14" ht="15.75">
      <c r="A163" s="136"/>
      <c r="B163" s="93" t="s">
        <v>111</v>
      </c>
      <c r="C163" s="59"/>
      <c r="D163" s="59"/>
      <c r="E163" s="59"/>
      <c r="F163" s="27"/>
      <c r="G163" s="27"/>
      <c r="H163" s="27"/>
      <c r="I163" s="27">
        <v>96</v>
      </c>
      <c r="J163" s="58">
        <v>5978</v>
      </c>
      <c r="K163" s="27"/>
      <c r="L163" s="97"/>
      <c r="M163" s="102"/>
      <c r="N163" s="138"/>
    </row>
    <row r="164" spans="1:14" ht="15.75">
      <c r="A164" s="136"/>
      <c r="B164" s="93" t="s">
        <v>112</v>
      </c>
      <c r="C164" s="59"/>
      <c r="D164" s="59"/>
      <c r="E164" s="59"/>
      <c r="F164" s="27"/>
      <c r="G164" s="27"/>
      <c r="H164" s="27"/>
      <c r="I164" s="27">
        <v>4</v>
      </c>
      <c r="J164" s="58">
        <v>206</v>
      </c>
      <c r="K164" s="27"/>
      <c r="L164" s="97"/>
      <c r="M164" s="102"/>
      <c r="N164" s="138"/>
    </row>
    <row r="165" spans="1:14" ht="15.75">
      <c r="A165" s="136"/>
      <c r="B165" s="103" t="s">
        <v>113</v>
      </c>
      <c r="C165" s="59"/>
      <c r="D165" s="59"/>
      <c r="E165" s="59"/>
      <c r="F165" s="27"/>
      <c r="G165" s="27"/>
      <c r="H165" s="27"/>
      <c r="I165" s="27"/>
      <c r="J165" s="58">
        <v>0</v>
      </c>
      <c r="K165" s="27"/>
      <c r="L165" s="97"/>
      <c r="M165" s="102"/>
      <c r="N165" s="138"/>
    </row>
    <row r="166" spans="1:14" ht="15.75">
      <c r="A166" s="136"/>
      <c r="B166" s="103" t="s">
        <v>114</v>
      </c>
      <c r="C166" s="59"/>
      <c r="D166" s="59"/>
      <c r="E166" s="59"/>
      <c r="F166" s="27"/>
      <c r="G166" s="27"/>
      <c r="H166" s="27"/>
      <c r="I166" s="27"/>
      <c r="J166" s="68" t="s">
        <v>139</v>
      </c>
      <c r="K166" s="27"/>
      <c r="L166" s="97"/>
      <c r="M166" s="102"/>
      <c r="N166" s="138"/>
    </row>
    <row r="167" spans="1:14" ht="15.75">
      <c r="A167" s="136"/>
      <c r="B167" s="103" t="s">
        <v>115</v>
      </c>
      <c r="C167" s="59"/>
      <c r="D167" s="93"/>
      <c r="E167" s="93"/>
      <c r="F167" s="93"/>
      <c r="G167" s="27"/>
      <c r="H167" s="27"/>
      <c r="I167" s="27"/>
      <c r="J167" s="68"/>
      <c r="K167" s="27"/>
      <c r="L167" s="97"/>
      <c r="M167" s="105"/>
      <c r="N167" s="138"/>
    </row>
    <row r="168" spans="1:14" ht="15.75">
      <c r="A168" s="136"/>
      <c r="B168" s="93" t="s">
        <v>116</v>
      </c>
      <c r="C168" s="59"/>
      <c r="D168" s="59"/>
      <c r="E168" s="59"/>
      <c r="F168" s="59"/>
      <c r="G168" s="27"/>
      <c r="H168" s="27"/>
      <c r="I168" s="27">
        <f>105-101</f>
        <v>4</v>
      </c>
      <c r="J168" s="58">
        <v>51</v>
      </c>
      <c r="K168" s="27"/>
      <c r="L168" s="97"/>
      <c r="M168" s="105"/>
      <c r="N168" s="138"/>
    </row>
    <row r="169" spans="1:14" ht="15.75">
      <c r="A169" s="136"/>
      <c r="B169" s="93" t="s">
        <v>117</v>
      </c>
      <c r="C169" s="59"/>
      <c r="D169" s="59"/>
      <c r="E169" s="59"/>
      <c r="F169" s="59"/>
      <c r="G169" s="27"/>
      <c r="H169" s="27"/>
      <c r="I169" s="58">
        <v>105</v>
      </c>
      <c r="J169" s="58">
        <v>1771</v>
      </c>
      <c r="K169" s="27"/>
      <c r="L169" s="97"/>
      <c r="M169" s="105"/>
      <c r="N169" s="138"/>
    </row>
    <row r="170" spans="1:14" ht="15.75">
      <c r="A170" s="136"/>
      <c r="B170" s="93" t="s">
        <v>208</v>
      </c>
      <c r="C170" s="59"/>
      <c r="D170" s="59"/>
      <c r="E170" s="59"/>
      <c r="F170" s="59"/>
      <c r="G170" s="27"/>
      <c r="H170" s="27"/>
      <c r="I170" s="58"/>
      <c r="J170" s="58">
        <v>87</v>
      </c>
      <c r="K170" s="27"/>
      <c r="L170" s="97"/>
      <c r="M170" s="105"/>
      <c r="N170" s="138"/>
    </row>
    <row r="171" spans="1:14" ht="15.75">
      <c r="A171" s="136"/>
      <c r="B171" s="103" t="s">
        <v>118</v>
      </c>
      <c r="C171" s="59"/>
      <c r="D171" s="93"/>
      <c r="E171" s="93"/>
      <c r="F171" s="93"/>
      <c r="G171" s="27"/>
      <c r="H171" s="27"/>
      <c r="I171" s="27"/>
      <c r="J171" s="58"/>
      <c r="K171" s="27"/>
      <c r="L171" s="97"/>
      <c r="M171" s="105"/>
      <c r="N171" s="138"/>
    </row>
    <row r="172" spans="1:14" ht="15.75">
      <c r="A172" s="136"/>
      <c r="B172" s="93" t="s">
        <v>119</v>
      </c>
      <c r="C172" s="59"/>
      <c r="D172" s="93"/>
      <c r="E172" s="93"/>
      <c r="F172" s="93"/>
      <c r="G172" s="27"/>
      <c r="H172" s="27"/>
      <c r="I172" s="27">
        <v>2</v>
      </c>
      <c r="J172" s="58">
        <v>71</v>
      </c>
      <c r="K172" s="27"/>
      <c r="L172" s="97"/>
      <c r="M172" s="105"/>
      <c r="N172" s="138"/>
    </row>
    <row r="173" spans="1:14" ht="15.75">
      <c r="A173" s="136"/>
      <c r="B173" s="93" t="s">
        <v>120</v>
      </c>
      <c r="C173" s="59"/>
      <c r="D173" s="106"/>
      <c r="E173" s="106"/>
      <c r="F173" s="107"/>
      <c r="G173" s="27"/>
      <c r="H173" s="27"/>
      <c r="I173" s="27"/>
      <c r="J173" s="68">
        <v>12.908</v>
      </c>
      <c r="K173" s="27"/>
      <c r="L173" s="97"/>
      <c r="M173" s="105"/>
      <c r="N173" s="138"/>
    </row>
    <row r="174" spans="1:14" ht="15.75">
      <c r="A174" s="136"/>
      <c r="B174" s="93" t="s">
        <v>197</v>
      </c>
      <c r="C174" s="59"/>
      <c r="D174" s="106"/>
      <c r="E174" s="106"/>
      <c r="F174" s="107"/>
      <c r="G174" s="27"/>
      <c r="H174" s="27"/>
      <c r="I174" s="27"/>
      <c r="J174" s="68">
        <v>12</v>
      </c>
      <c r="K174" s="27"/>
      <c r="L174" s="97"/>
      <c r="M174" s="105"/>
      <c r="N174" s="138"/>
    </row>
    <row r="175" spans="1:14" ht="15.75">
      <c r="A175" s="136"/>
      <c r="B175" s="93" t="s">
        <v>122</v>
      </c>
      <c r="C175" s="59"/>
      <c r="D175" s="108"/>
      <c r="E175" s="106"/>
      <c r="F175" s="107"/>
      <c r="G175" s="27"/>
      <c r="H175" s="27"/>
      <c r="I175" s="27"/>
      <c r="J175" s="109">
        <v>0.5337</v>
      </c>
      <c r="K175" s="27"/>
      <c r="L175" s="97"/>
      <c r="M175" s="105"/>
      <c r="N175" s="138"/>
    </row>
    <row r="176" spans="1:14" ht="15.75">
      <c r="A176" s="136"/>
      <c r="B176" s="93"/>
      <c r="C176" s="59"/>
      <c r="D176" s="108"/>
      <c r="E176" s="106"/>
      <c r="F176" s="107"/>
      <c r="G176" s="27"/>
      <c r="H176" s="27"/>
      <c r="I176" s="27"/>
      <c r="J176" s="109"/>
      <c r="K176" s="27"/>
      <c r="L176" s="97"/>
      <c r="M176" s="105"/>
      <c r="N176" s="138"/>
    </row>
    <row r="177" spans="1:14" ht="15.75">
      <c r="A177" s="119"/>
      <c r="B177" s="17" t="s">
        <v>123</v>
      </c>
      <c r="C177" s="20"/>
      <c r="D177" s="99"/>
      <c r="E177" s="20"/>
      <c r="F177" s="99"/>
      <c r="G177" s="20"/>
      <c r="H177" s="99" t="s">
        <v>164</v>
      </c>
      <c r="I177" s="20" t="s">
        <v>165</v>
      </c>
      <c r="J177" s="99" t="s">
        <v>181</v>
      </c>
      <c r="K177" s="20" t="s">
        <v>165</v>
      </c>
      <c r="L177" s="18"/>
      <c r="M177" s="112"/>
      <c r="N177" s="138"/>
    </row>
    <row r="178" spans="1:14" ht="15.75">
      <c r="A178" s="136"/>
      <c r="B178" s="59" t="s">
        <v>124</v>
      </c>
      <c r="C178" s="113"/>
      <c r="D178" s="59"/>
      <c r="E178" s="113"/>
      <c r="F178" s="27"/>
      <c r="G178" s="113"/>
      <c r="H178" s="59">
        <v>1591</v>
      </c>
      <c r="I178" s="113">
        <f>H178/H184</f>
        <v>0.8435843054082715</v>
      </c>
      <c r="J178" s="58">
        <v>70454</v>
      </c>
      <c r="K178" s="113">
        <f>J178/J184</f>
        <v>0.8220332061558566</v>
      </c>
      <c r="L178" s="97"/>
      <c r="M178" s="105"/>
      <c r="N178" s="138"/>
    </row>
    <row r="179" spans="1:14" ht="15.75">
      <c r="A179" s="136"/>
      <c r="B179" s="59" t="s">
        <v>125</v>
      </c>
      <c r="C179" s="113"/>
      <c r="D179" s="59"/>
      <c r="E179" s="113"/>
      <c r="F179" s="27"/>
      <c r="G179" s="115"/>
      <c r="H179" s="59">
        <v>45</v>
      </c>
      <c r="I179" s="113">
        <f>H179/H184</f>
        <v>0.02386002120890774</v>
      </c>
      <c r="J179" s="58">
        <v>1739</v>
      </c>
      <c r="K179" s="113">
        <f>J179/J184</f>
        <v>0.020290057988262337</v>
      </c>
      <c r="L179" s="97"/>
      <c r="M179" s="105"/>
      <c r="N179" s="138"/>
    </row>
    <row r="180" spans="1:14" ht="15.75">
      <c r="A180" s="136"/>
      <c r="B180" s="59" t="s">
        <v>126</v>
      </c>
      <c r="C180" s="113"/>
      <c r="D180" s="59"/>
      <c r="E180" s="113"/>
      <c r="F180" s="27"/>
      <c r="G180" s="115"/>
      <c r="H180" s="59">
        <v>26</v>
      </c>
      <c r="I180" s="113">
        <f>H180/H184</f>
        <v>0.013785790031813362</v>
      </c>
      <c r="J180" s="58">
        <v>1223</v>
      </c>
      <c r="K180" s="113">
        <f>J180/J184</f>
        <v>0.014269546244764139</v>
      </c>
      <c r="L180" s="97"/>
      <c r="M180" s="105"/>
      <c r="N180" s="138"/>
    </row>
    <row r="181" spans="1:14" ht="15.75">
      <c r="A181" s="136"/>
      <c r="B181" s="59" t="s">
        <v>127</v>
      </c>
      <c r="C181" s="113"/>
      <c r="D181" s="59"/>
      <c r="E181" s="113"/>
      <c r="F181" s="27"/>
      <c r="G181" s="115"/>
      <c r="H181" s="59">
        <f>24+13+20+167</f>
        <v>224</v>
      </c>
      <c r="I181" s="113">
        <f>H181/H184</f>
        <v>0.11876988335100742</v>
      </c>
      <c r="J181" s="58">
        <f>1169+762+824+9536</f>
        <v>12291</v>
      </c>
      <c r="K181" s="113">
        <f>J181/J184</f>
        <v>0.14340718961111695</v>
      </c>
      <c r="L181" s="97"/>
      <c r="M181" s="105"/>
      <c r="N181" s="138"/>
    </row>
    <row r="182" spans="1:14" ht="15.75">
      <c r="A182" s="136"/>
      <c r="B182" s="30"/>
      <c r="C182" s="113"/>
      <c r="D182" s="59"/>
      <c r="E182" s="113"/>
      <c r="F182" s="27"/>
      <c r="G182" s="115"/>
      <c r="H182" s="59"/>
      <c r="I182" s="113"/>
      <c r="J182" s="58"/>
      <c r="K182" s="114"/>
      <c r="L182" s="97"/>
      <c r="M182" s="105"/>
      <c r="N182" s="138"/>
    </row>
    <row r="183" spans="1:14" ht="15.75">
      <c r="A183" s="136"/>
      <c r="B183" s="59"/>
      <c r="C183" s="116"/>
      <c r="D183" s="102"/>
      <c r="E183" s="116"/>
      <c r="F183" s="27"/>
      <c r="G183" s="116"/>
      <c r="H183" s="102"/>
      <c r="I183" s="116"/>
      <c r="J183" s="58"/>
      <c r="K183" s="113"/>
      <c r="L183" s="97"/>
      <c r="M183" s="105"/>
      <c r="N183" s="138"/>
    </row>
    <row r="184" spans="1:14" ht="15.75">
      <c r="A184" s="136"/>
      <c r="B184" s="27"/>
      <c r="C184" s="27"/>
      <c r="D184" s="27"/>
      <c r="E184" s="27"/>
      <c r="F184" s="27"/>
      <c r="G184" s="27"/>
      <c r="H184" s="57">
        <f>SUM(H178:H182)</f>
        <v>1886</v>
      </c>
      <c r="I184" s="114">
        <f>SUM(I178:I181)</f>
        <v>1</v>
      </c>
      <c r="J184" s="58">
        <f>SUM(J178:J183)</f>
        <v>85707</v>
      </c>
      <c r="K184" s="114">
        <f>SUM(K178:K183)</f>
        <v>1</v>
      </c>
      <c r="L184" s="97"/>
      <c r="M184" s="27"/>
      <c r="N184" s="138"/>
    </row>
    <row r="185" spans="1:14" ht="15.75">
      <c r="A185" s="136"/>
      <c r="B185" s="27"/>
      <c r="C185" s="27"/>
      <c r="D185" s="27"/>
      <c r="E185" s="27"/>
      <c r="F185" s="27"/>
      <c r="G185" s="27"/>
      <c r="H185" s="57"/>
      <c r="I185" s="114"/>
      <c r="J185" s="58"/>
      <c r="K185" s="114"/>
      <c r="L185" s="97"/>
      <c r="M185" s="27"/>
      <c r="N185" s="138"/>
    </row>
    <row r="186" spans="1:14" ht="15.75">
      <c r="A186" s="119"/>
      <c r="B186" s="10"/>
      <c r="C186" s="10"/>
      <c r="D186" s="10"/>
      <c r="E186" s="10"/>
      <c r="F186" s="10"/>
      <c r="G186" s="10"/>
      <c r="H186" s="60"/>
      <c r="I186" s="117"/>
      <c r="J186" s="118"/>
      <c r="K186" s="117"/>
      <c r="L186" s="79"/>
      <c r="M186" s="10"/>
      <c r="N186" s="138"/>
    </row>
    <row r="187" spans="1:14" ht="15.75">
      <c r="A187" s="119"/>
      <c r="B187" s="17" t="s">
        <v>129</v>
      </c>
      <c r="C187" s="120"/>
      <c r="D187" s="20" t="s">
        <v>144</v>
      </c>
      <c r="E187" s="18"/>
      <c r="F187" s="17" t="s">
        <v>154</v>
      </c>
      <c r="G187" s="121"/>
      <c r="H187" s="121"/>
      <c r="I187" s="121"/>
      <c r="J187" s="121"/>
      <c r="K187" s="15"/>
      <c r="L187" s="15"/>
      <c r="M187" s="15"/>
      <c r="N187" s="138"/>
    </row>
    <row r="188" spans="1:14" ht="15.75">
      <c r="A188" s="119"/>
      <c r="B188" s="15"/>
      <c r="C188" s="15"/>
      <c r="D188" s="10"/>
      <c r="E188" s="10"/>
      <c r="F188" s="10"/>
      <c r="G188" s="15"/>
      <c r="H188" s="15"/>
      <c r="I188" s="15"/>
      <c r="J188" s="15"/>
      <c r="K188" s="15"/>
      <c r="L188" s="15"/>
      <c r="M188" s="15"/>
      <c r="N188" s="138"/>
    </row>
    <row r="189" spans="1:14" ht="15.75">
      <c r="A189" s="119"/>
      <c r="B189" s="16" t="s">
        <v>130</v>
      </c>
      <c r="C189" s="124"/>
      <c r="D189" s="125" t="s">
        <v>145</v>
      </c>
      <c r="E189" s="16"/>
      <c r="F189" s="16" t="s">
        <v>155</v>
      </c>
      <c r="G189" s="124"/>
      <c r="H189" s="124"/>
      <c r="I189" s="124"/>
      <c r="J189" s="124"/>
      <c r="K189" s="15"/>
      <c r="L189" s="15"/>
      <c r="M189" s="15"/>
      <c r="N189" s="138"/>
    </row>
    <row r="190" spans="1:14" ht="15.75">
      <c r="A190" s="119"/>
      <c r="B190" s="16" t="s">
        <v>131</v>
      </c>
      <c r="C190" s="124"/>
      <c r="D190" s="125" t="s">
        <v>146</v>
      </c>
      <c r="E190" s="16"/>
      <c r="F190" s="16" t="s">
        <v>156</v>
      </c>
      <c r="G190" s="124"/>
      <c r="H190" s="124"/>
      <c r="I190" s="124"/>
      <c r="J190" s="124"/>
      <c r="K190" s="15"/>
      <c r="L190" s="15"/>
      <c r="M190" s="15"/>
      <c r="N190" s="138"/>
    </row>
    <row r="191" spans="1:13" ht="15">
      <c r="A191" s="141"/>
      <c r="B191" s="141"/>
      <c r="C191" s="141"/>
      <c r="D191" s="141"/>
      <c r="E191" s="141"/>
      <c r="F191" s="141"/>
      <c r="G191" s="141"/>
      <c r="H191" s="141"/>
      <c r="I191" s="141"/>
      <c r="J191" s="141"/>
      <c r="K191" s="141"/>
      <c r="L191" s="141"/>
      <c r="M191" s="141"/>
    </row>
  </sheetData>
  <printOptions/>
  <pageMargins left="0.5" right="0.5" top="0.3" bottom="0.3423611111111111" header="0" footer="0"/>
  <pageSetup orientation="landscape" paperSize="9" scale="63"/>
  <headerFooter alignWithMargins="0">
    <oddFooter>&amp;LFFP1 INVESTOR REPORT QTR END AUGUST 2001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