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90" activeTab="0"/>
  </bookViews>
  <sheets>
    <sheet name="OVERALL" sheetId="1" r:id="rId1"/>
    <sheet name="SECURED LOANS" sheetId="2" r:id="rId2"/>
    <sheet name="RETAIL CREDIT" sheetId="3" r:id="rId3"/>
    <sheet name="UCL LOANS" sheetId="4" r:id="rId4"/>
    <sheet name="UNSECURED LOANS" sheetId="5" r:id="rId5"/>
    <sheet name="CAR FINANCE" sheetId="6" r:id="rId6"/>
    <sheet name="ARREARS" sheetId="7" r:id="rId7"/>
  </sheets>
  <definedNames>
    <definedName name="DATA">#REF!</definedName>
    <definedName name="data2">#REF!</definedName>
    <definedName name="_xlnm.Print_Area" localSheetId="6">'ARREARS'!$A$1:$CR$99</definedName>
    <definedName name="_xlnm.Print_Area" localSheetId="5">'CAR FINANCE'!$A$1:$CQ$131</definedName>
    <definedName name="_xlnm.Print_Area" localSheetId="0">'OVERALL'!$A$1:$CQ$127</definedName>
    <definedName name="_xlnm.Print_Area" localSheetId="2">'RETAIL CREDIT'!$A$1:$CR$143</definedName>
    <definedName name="_xlnm.Print_Area" localSheetId="1">'SECURED LOANS'!$A$1:$CQ$142</definedName>
    <definedName name="_xlnm.Print_Area" localSheetId="3">'UCL LOANS'!$A$1:$CQ$122</definedName>
    <definedName name="_xlnm.Print_Area" localSheetId="4">'UNSECURED LOANS'!$A$1:$CR$115</definedName>
    <definedName name="_xlnm.Print_Titles" localSheetId="5">'CAR FINANCE'!$1:$3</definedName>
  </definedNames>
  <calcPr fullCalcOnLoad="1"/>
</workbook>
</file>

<file path=xl/sharedStrings.xml><?xml version="1.0" encoding="utf-8"?>
<sst xmlns="http://schemas.openxmlformats.org/spreadsheetml/2006/main" count="3953" uniqueCount="167">
  <si>
    <t>£16,000 to £17,999</t>
  </si>
  <si>
    <t>£18,000 to £19,999</t>
  </si>
  <si>
    <t>£20,000 to £24,999</t>
  </si>
  <si>
    <t>£25,000 to £29,999</t>
  </si>
  <si>
    <t>£30,000 to £44,999</t>
  </si>
  <si>
    <t>£45,000  and above</t>
  </si>
  <si>
    <t>121 to 180 months</t>
  </si>
  <si>
    <t>181 to 240 months</t>
  </si>
  <si>
    <t>241 to 300 months</t>
  </si>
  <si>
    <t>more than 300 months</t>
  </si>
  <si>
    <t>months</t>
  </si>
  <si>
    <t>Portfolio Loans Key Features</t>
  </si>
  <si>
    <t>Weighted average seasoning</t>
  </si>
  <si>
    <t>Weighted average annual yield</t>
  </si>
  <si>
    <t>Weighted average remaining term</t>
  </si>
  <si>
    <t>Under £2,000</t>
  </si>
  <si>
    <t>£2,000 to £3,999</t>
  </si>
  <si>
    <t>£4,000 to £5,999</t>
  </si>
  <si>
    <t>£6,000 to £7,999</t>
  </si>
  <si>
    <t>£8,000 to £9,999</t>
  </si>
  <si>
    <t>£10,000 to £11,999</t>
  </si>
  <si>
    <t>£12,000 to £13,999</t>
  </si>
  <si>
    <t>£14,000 to £15,999</t>
  </si>
  <si>
    <t>Under 10.00%</t>
  </si>
  <si>
    <t>0 to 12 months</t>
  </si>
  <si>
    <t>13 to 24 months</t>
  </si>
  <si>
    <t>25 to 36 months</t>
  </si>
  <si>
    <t>37 to 48 months</t>
  </si>
  <si>
    <t>49 to 60 months</t>
  </si>
  <si>
    <t>North</t>
  </si>
  <si>
    <t>North West</t>
  </si>
  <si>
    <t>Yorkshire</t>
  </si>
  <si>
    <t>East Midlands</t>
  </si>
  <si>
    <t>West Midlands</t>
  </si>
  <si>
    <t>South East (exc Greater London)</t>
  </si>
  <si>
    <t>South West</t>
  </si>
  <si>
    <t>Greater London</t>
  </si>
  <si>
    <t>Wales</t>
  </si>
  <si>
    <t>Scotland</t>
  </si>
  <si>
    <t>Nth. Ireland</t>
  </si>
  <si>
    <t>East Anglia</t>
  </si>
  <si>
    <t>&lt;=1 month</t>
  </si>
  <si>
    <t>&gt;1 &lt;=2 months</t>
  </si>
  <si>
    <t>&gt;2 &lt;=3 months</t>
  </si>
  <si>
    <t>&gt;3 &lt;=4 months</t>
  </si>
  <si>
    <t>&gt;4 &lt;=5 months</t>
  </si>
  <si>
    <t>&gt;5 &lt;=6 months</t>
  </si>
  <si>
    <t>&gt;12 months</t>
  </si>
  <si>
    <t>Motor Vehicle Hire Purchase</t>
  </si>
  <si>
    <t>Motor Vehicle Contract Purchase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</si>
  <si>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</si>
  <si>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</si>
  <si>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</si>
  <si>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</si>
  <si>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</si>
  <si>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</si>
  <si>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</si>
  <si>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</si>
  <si>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</si>
  <si>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</si>
  <si>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</si>
  <si>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100</t>
  </si>
  <si>
    <t>Weighted average loan to value</t>
  </si>
  <si>
    <t>15.00% and over</t>
  </si>
  <si>
    <t>10.00% to 10.99%</t>
  </si>
  <si>
    <t>11.00% to 11.99%</t>
  </si>
  <si>
    <t>12.00% to 12.99%</t>
  </si>
  <si>
    <t>13.00% to 13.99%</t>
  </si>
  <si>
    <t>14.00% to 14.99%</t>
  </si>
  <si>
    <t>15.00% to 15.99%</t>
  </si>
  <si>
    <t>16.00% to 16.99%</t>
  </si>
  <si>
    <t>17.00% to 17.99%</t>
  </si>
  <si>
    <t>18.00% to 18.99%</t>
  </si>
  <si>
    <t>19.00% to 19.99%</t>
  </si>
  <si>
    <t>20.00% and above</t>
  </si>
  <si>
    <t>&gt;6 &lt;=9 months</t>
  </si>
  <si>
    <t>&gt;9 &lt;=12 months</t>
  </si>
  <si>
    <t>years</t>
  </si>
  <si>
    <t>&gt; 95 &lt; = 100</t>
  </si>
  <si>
    <t xml:space="preserve">Variable </t>
  </si>
  <si>
    <t>Fixed</t>
  </si>
  <si>
    <t>61 to 72 months</t>
  </si>
  <si>
    <t>73 to 84 months</t>
  </si>
  <si>
    <t>85 to 96 months</t>
  </si>
  <si>
    <t>97 to 108 months</t>
  </si>
  <si>
    <t>109 to 120 months</t>
  </si>
  <si>
    <t>Other</t>
  </si>
  <si>
    <t>Deferred payment loans</t>
  </si>
  <si>
    <t>Non Deferred</t>
  </si>
  <si>
    <t>Brown electrical</t>
  </si>
  <si>
    <t>Carpets</t>
  </si>
  <si>
    <t>Electronics incl. Computers</t>
  </si>
  <si>
    <t>Furniture</t>
  </si>
  <si>
    <t>Photographic</t>
  </si>
  <si>
    <t>Plastic surgery</t>
  </si>
  <si>
    <t>White electrical</t>
  </si>
  <si>
    <t>PER CENT</t>
  </si>
  <si>
    <t>NUMBER</t>
  </si>
  <si>
    <t xml:space="preserve">DISTRIBUTION BY GEOGRAPHICAL REGIONS </t>
  </si>
  <si>
    <t xml:space="preserve">DISTRIBUTION  BY SEASONING </t>
  </si>
  <si>
    <t>* THIS REPRESENTS LOANS WHICH HAVE NO RECORDED POSTCODE AND/OR CAR FINANCE</t>
  </si>
  <si>
    <t>Unallocated *</t>
  </si>
  <si>
    <t>SECURED LOANS</t>
  </si>
  <si>
    <t>PORTFOLIO LOANS ORIGINATED BY PARAGON PERSONAL FINANCE LIMITED</t>
  </si>
  <si>
    <t xml:space="preserve">DISTRIBUTION BY LOAN TO VALUE RATIOS </t>
  </si>
  <si>
    <t>DISTRIBUTION BY INTEREST RATE</t>
  </si>
  <si>
    <t>DISTRIBUTION BY REMAINING TERM</t>
  </si>
  <si>
    <t>DISTRIBUTION BY GEOGRAPHICAL REGIONS</t>
  </si>
  <si>
    <t>NUMBER OF MONTHS IN ARREARS</t>
  </si>
  <si>
    <t>RETAIL CREDIT</t>
  </si>
  <si>
    <t>DISTRIBUTION BY SEASONING</t>
  </si>
  <si>
    <t>PRODUCT TYPE</t>
  </si>
  <si>
    <t>GOODS CATEGORY</t>
  </si>
  <si>
    <t xml:space="preserve"> </t>
  </si>
  <si>
    <t>UNSECURED LOANS</t>
  </si>
  <si>
    <t>DISTRIBUTION BY CURRENT PRINCIPAL BALANCE</t>
  </si>
  <si>
    <t xml:space="preserve">PORTFOLIO LOANS BY NUMBER OF MONTHS IN ARREARS </t>
  </si>
  <si>
    <t>CAR FINANCE</t>
  </si>
  <si>
    <t>PORTFOLIO LOANS ORIGINATED BY PARAGON CAR FINANCE LIMITED</t>
  </si>
  <si>
    <t>DISTRIBUTING BY SEASONING</t>
  </si>
  <si>
    <t>Motor Vehicle Conditional Sale</t>
  </si>
  <si>
    <t xml:space="preserve">DISTRIBUTION BY CURRENT PRINCIPAL BALANCE </t>
  </si>
  <si>
    <t xml:space="preserve">DISTRIBUTION BY SEASONING </t>
  </si>
  <si>
    <t xml:space="preserve">PORTFOLIO LOANS DISTRIBUTION BY RATE FIXING METHOD </t>
  </si>
  <si>
    <t xml:space="preserve">NUMBER OF MONTHS IN ARREARS </t>
  </si>
  <si>
    <t xml:space="preserve">NUMBER OF MONTHS IN ARREARS   </t>
  </si>
  <si>
    <t>ARREARS BY ORIGINATOR AND ASSET TYPE</t>
  </si>
  <si>
    <t>UNSECURED LOANS ORIGINATED BY PARAGON PERSONAL FINANCE LIMITED</t>
  </si>
  <si>
    <t>RETAIL CREDIT LOANS ORIGINATED BY PARAGON PERSONAL FINANCE LIMITED</t>
  </si>
  <si>
    <t>SECURED LOANS LOANS ORIGINATED BY PARAGON PERSONAL FINANCE LIMITED</t>
  </si>
  <si>
    <t>CAR LOANS ORIGINATED BY PARAGON CAR FINANCE LIMITED</t>
  </si>
  <si>
    <t>CONTRACTS MADE WITH BRITISH FORCES PERSONNEL</t>
  </si>
  <si>
    <t>Per cent.</t>
  </si>
  <si>
    <t xml:space="preserve">DISTRIBUTION BY REMAINING TERM </t>
  </si>
  <si>
    <t>PARAGON PERSONAL AND AUTO FINANCE (NO.2) PLC - AS AT DEAL INCEPTION</t>
  </si>
  <si>
    <t>PRINCIPAL DETERMINATION DATE - 02/04/02</t>
  </si>
  <si>
    <t>PARAGON PERSONAL AND AUTO FINANCE (NO.2) PLC - AS AT THE MARCH 2002</t>
  </si>
  <si>
    <t>PORTFOLIO LOANS ORIGINATED BY PARAGON RETAIL FINANCE</t>
  </si>
  <si>
    <t xml:space="preserve">PORTFOLIO LOANS ORIGINATED BY PARAGON PERSONAL FINANCE LIMITED </t>
  </si>
  <si>
    <t>PPAF2 - OVERALL ANALYSIS</t>
  </si>
  <si>
    <t>more than 180 months</t>
  </si>
  <si>
    <t xml:space="preserve">Average current principal balance outstanding </t>
  </si>
  <si>
    <t>PORTFOLIO LOANS ORIGINATED BY UNIVERSAL CREDIT LIMITED</t>
  </si>
  <si>
    <t xml:space="preserve"> PRINCIPAL BALANCE</t>
  </si>
  <si>
    <t>UNSECURED LOANS ORIGINATED BY UNIVERSAL CREDIT LIMITED</t>
  </si>
  <si>
    <t>PARAGON PERSONAL AND AUTO FINANCE (NO.2) PLC - AS AT THE JUNE 2002</t>
  </si>
  <si>
    <t>PRINCIPAL DETERMINATION DATE - 01/07/02</t>
  </si>
  <si>
    <t>PARAGON PERSONAL AND AUTO FINANCE (NO.2) PLC - AS AT THE SEPTEMBER 2002</t>
  </si>
  <si>
    <t>PRINCIPAL DETERMINATION DATE - 01/10/02</t>
  </si>
  <si>
    <t>PARAGON PERSONAL AND AUTO FINANCE (NO.2) PLC - AS AT THE DECEMBER 2002</t>
  </si>
  <si>
    <t>PRINCIPAL DETERMINATION DATE - 01/01/03</t>
  </si>
  <si>
    <t>PARAGON PERSONAL AND AUTO FINANCE (NO.2) PLC - AS AT THE MARCH 2003</t>
  </si>
  <si>
    <t>PRINCIPAL DETERMINATION DATE - 01/04/03</t>
  </si>
  <si>
    <t>PARAGON PERSONAL AND AUTO FINANCE (NO.2) PLC - AS AT THE JUNE 2003</t>
  </si>
  <si>
    <t>PRINCIPAL DETERMINATION DATE - 01/07/03</t>
  </si>
  <si>
    <t>PARAGON PERSONAL AND AUTO FINANCE (NO.2) PLC - AS AT THE SEPTEMBER 2003</t>
  </si>
  <si>
    <t>PRINCIPAL DETERMINATION DATE - 01/10/03</t>
  </si>
  <si>
    <t>PARAGON PERSONAL AND AUTO FINANCE (NO.2) PLC - AS AT THE DECEMBER 2003</t>
  </si>
  <si>
    <t>PRINCIPAL DETERMINATION DATE - 01/01/04</t>
  </si>
  <si>
    <t>PARAGON PERSONAL AND AUTO FINANCE (NO.2) PLC - AS AT THE MARCH 2004</t>
  </si>
  <si>
    <t>PRINCIPAL DETERMINATION DATE - 01/04/04</t>
  </si>
  <si>
    <t>PARAGON PERSONAL AND AUTO FINANCE (NO.2) PLC - AS AT THE JUNE 2004</t>
  </si>
  <si>
    <t>PRINCIPAL DETERMINATION DATE - 01/07/04</t>
  </si>
  <si>
    <t>PARAGON PERSONAL AND AUTO FINANCE (NO.2) PLC - AS AT THE SEPTEMBER 2004</t>
  </si>
  <si>
    <t>PRINCIPAL DETERMINATION DATE - 01/10/04</t>
  </si>
  <si>
    <t>PARAGON PERSONAL AND AUTO FINANCE (NO.2) PLC - AS AT THE DECEMBER 2004</t>
  </si>
  <si>
    <t>PRINCIPAL DETERMINATION DATE - 03/01/05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</si>
</sst>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_-* #,##0.000_-;\-* #,##0.000_-;_-* &quot;-&quot;??_-;_-@_-"/>
    <numFmt numFmtId="169" formatCode="_-* #,##0.0000_-;\-* #,##0.0000_-;_-* &quot;-&quot;??_-;_-@_-"/>
    <numFmt numFmtId="170" formatCode="0.000%"/>
    <numFmt numFmtId="171" formatCode="#,##0.0"/>
    <numFmt numFmtId="172" formatCode="#,##0.0000000"/>
  </numFmts>
  <fonts count="14">
    <font>
      <sz val="10"/>
      <name val="Arial"/>
      <family val="0"/>
    </font>
    <font>
      <b/>
      <sz val="10"/>
      <name val="Arial"/>
      <family val="2"/>
    </font>
    <font>
      <b/>
      <sz val="26"/>
      <color indexed="39"/>
      <name val="Arial"/>
      <family val="2"/>
    </font>
    <font>
      <sz val="10"/>
      <color indexed="39"/>
      <name val="Arial"/>
      <family val="2"/>
    </font>
    <font>
      <b/>
      <sz val="14"/>
      <color indexed="39"/>
      <name val="Arial"/>
      <family val="2"/>
    </font>
    <font>
      <b/>
      <sz val="10"/>
      <color indexed="39"/>
      <name val="Arial"/>
      <family val="2"/>
    </font>
    <font>
      <i/>
      <sz val="10"/>
      <color indexed="39"/>
      <name val="Arial"/>
      <family val="2"/>
    </font>
    <font>
      <b/>
      <i/>
      <sz val="10"/>
      <color indexed="3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166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0" fontId="1" fillId="0" borderId="0" xfId="21" applyNumberFormat="1" applyFont="1" applyAlignment="1">
      <alignment/>
    </xf>
    <xf numFmtId="43" fontId="0" fillId="0" borderId="0" xfId="0" applyNumberFormat="1" applyAlignment="1">
      <alignment/>
    </xf>
    <xf numFmtId="166" fontId="2" fillId="2" borderId="0" xfId="15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66" fontId="3" fillId="2" borderId="0" xfId="15" applyNumberFormat="1" applyFont="1" applyFill="1" applyAlignment="1">
      <alignment/>
    </xf>
    <xf numFmtId="166" fontId="4" fillId="2" borderId="0" xfId="15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0" fontId="3" fillId="2" borderId="0" xfId="21" applyNumberFormat="1" applyFont="1" applyFill="1" applyAlignment="1">
      <alignment/>
    </xf>
    <xf numFmtId="44" fontId="3" fillId="2" borderId="0" xfId="17" applyFont="1" applyFill="1" applyAlignment="1">
      <alignment horizontal="right"/>
    </xf>
    <xf numFmtId="43" fontId="3" fillId="2" borderId="0" xfId="0" applyNumberFormat="1" applyFont="1" applyFill="1" applyAlignment="1">
      <alignment horizontal="right"/>
    </xf>
    <xf numFmtId="10" fontId="3" fillId="2" borderId="0" xfId="21" applyNumberFormat="1" applyFont="1" applyFill="1" applyAlignment="1">
      <alignment horizontal="right"/>
    </xf>
    <xf numFmtId="168" fontId="3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43" fontId="5" fillId="2" borderId="0" xfId="15" applyFont="1" applyFill="1" applyAlignment="1">
      <alignment/>
    </xf>
    <xf numFmtId="43" fontId="5" fillId="2" borderId="1" xfId="15" applyFont="1" applyFill="1" applyBorder="1" applyAlignment="1">
      <alignment/>
    </xf>
    <xf numFmtId="166" fontId="5" fillId="2" borderId="1" xfId="15" applyNumberFormat="1" applyFont="1" applyFill="1" applyBorder="1" applyAlignment="1">
      <alignment/>
    </xf>
    <xf numFmtId="10" fontId="5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43" fontId="9" fillId="2" borderId="0" xfId="15" applyFont="1" applyFill="1" applyAlignment="1">
      <alignment/>
    </xf>
    <xf numFmtId="166" fontId="9" fillId="2" borderId="0" xfId="15" applyNumberFormat="1" applyFont="1" applyFill="1" applyAlignment="1">
      <alignment/>
    </xf>
    <xf numFmtId="0" fontId="8" fillId="0" borderId="0" xfId="0" applyFont="1" applyAlignment="1">
      <alignment/>
    </xf>
    <xf numFmtId="43" fontId="5" fillId="2" borderId="0" xfId="15" applyFont="1" applyFill="1" applyBorder="1" applyAlignment="1">
      <alignment/>
    </xf>
    <xf numFmtId="166" fontId="5" fillId="2" borderId="0" xfId="15" applyNumberFormat="1" applyFont="1" applyFill="1" applyBorder="1" applyAlignment="1">
      <alignment/>
    </xf>
    <xf numFmtId="43" fontId="3" fillId="2" borderId="0" xfId="0" applyNumberFormat="1" applyFont="1" applyFill="1" applyAlignment="1">
      <alignment/>
    </xf>
    <xf numFmtId="10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43" fontId="0" fillId="2" borderId="0" xfId="15" applyFill="1" applyAlignment="1">
      <alignment/>
    </xf>
    <xf numFmtId="166" fontId="0" fillId="2" borderId="0" xfId="15" applyNumberFormat="1" applyFill="1" applyAlignment="1">
      <alignment/>
    </xf>
    <xf numFmtId="0" fontId="3" fillId="2" borderId="0" xfId="0" applyFont="1" applyFill="1" applyAlignment="1">
      <alignment horizontal="right"/>
    </xf>
    <xf numFmtId="166" fontId="8" fillId="2" borderId="0" xfId="15" applyNumberFormat="1" applyFont="1" applyFill="1" applyAlignment="1">
      <alignment/>
    </xf>
    <xf numFmtId="0" fontId="1" fillId="2" borderId="0" xfId="0" applyFont="1" applyFill="1" applyAlignment="1">
      <alignment/>
    </xf>
    <xf numFmtId="43" fontId="1" fillId="2" borderId="0" xfId="15" applyFont="1" applyFill="1" applyAlignment="1">
      <alignment/>
    </xf>
    <xf numFmtId="10" fontId="1" fillId="2" borderId="0" xfId="21" applyNumberFormat="1" applyFont="1" applyFill="1" applyAlignment="1">
      <alignment/>
    </xf>
    <xf numFmtId="166" fontId="1" fillId="2" borderId="0" xfId="15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0" borderId="0" xfId="0" applyFont="1" applyAlignment="1">
      <alignment/>
    </xf>
    <xf numFmtId="3" fontId="3" fillId="2" borderId="0" xfId="0" applyNumberFormat="1" applyFont="1" applyFill="1" applyAlignment="1">
      <alignment/>
    </xf>
    <xf numFmtId="43" fontId="1" fillId="0" borderId="0" xfId="15" applyFont="1" applyBorder="1" applyAlignment="1">
      <alignment/>
    </xf>
    <xf numFmtId="166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166" fontId="0" fillId="0" borderId="0" xfId="15" applyNumberFormat="1" applyBorder="1" applyAlignment="1">
      <alignment/>
    </xf>
    <xf numFmtId="166" fontId="5" fillId="2" borderId="0" xfId="15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3" fillId="2" borderId="0" xfId="15" applyNumberFormat="1" applyFont="1" applyFill="1" applyBorder="1" applyAlignment="1">
      <alignment/>
    </xf>
    <xf numFmtId="10" fontId="3" fillId="2" borderId="0" xfId="21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10" fontId="0" fillId="0" borderId="0" xfId="21" applyNumberFormat="1" applyBorder="1" applyAlignment="1">
      <alignment/>
    </xf>
    <xf numFmtId="10" fontId="1" fillId="0" borderId="0" xfId="0" applyNumberFormat="1" applyFont="1" applyBorder="1" applyAlignment="1">
      <alignment/>
    </xf>
    <xf numFmtId="43" fontId="3" fillId="2" borderId="0" xfId="15" applyFont="1" applyFill="1" applyBorder="1" applyAlignment="1">
      <alignment/>
    </xf>
    <xf numFmtId="0" fontId="9" fillId="2" borderId="0" xfId="0" applyFont="1" applyFill="1" applyBorder="1" applyAlignment="1">
      <alignment/>
    </xf>
    <xf numFmtId="166" fontId="9" fillId="2" borderId="0" xfId="15" applyNumberFormat="1" applyFont="1" applyFill="1" applyBorder="1" applyAlignment="1">
      <alignment/>
    </xf>
    <xf numFmtId="43" fontId="0" fillId="2" borderId="0" xfId="15" applyFill="1" applyBorder="1" applyAlignment="1">
      <alignment/>
    </xf>
    <xf numFmtId="43" fontId="1" fillId="2" borderId="0" xfId="15" applyFont="1" applyFill="1" applyBorder="1" applyAlignment="1">
      <alignment/>
    </xf>
    <xf numFmtId="10" fontId="0" fillId="0" borderId="0" xfId="0" applyNumberFormat="1" applyBorder="1" applyAlignment="1">
      <alignment/>
    </xf>
    <xf numFmtId="0" fontId="7" fillId="2" borderId="0" xfId="0" applyFont="1" applyFill="1" applyBorder="1" applyAlignment="1">
      <alignment/>
    </xf>
    <xf numFmtId="10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3" fontId="3" fillId="2" borderId="0" xfId="15" applyNumberFormat="1" applyFont="1" applyFill="1" applyAlignment="1">
      <alignment/>
    </xf>
    <xf numFmtId="4" fontId="3" fillId="2" borderId="0" xfId="15" applyNumberFormat="1" applyFont="1" applyFill="1" applyAlignment="1">
      <alignment/>
    </xf>
    <xf numFmtId="166" fontId="5" fillId="2" borderId="1" xfId="15" applyNumberFormat="1" applyFont="1" applyFill="1" applyBorder="1" applyAlignment="1" quotePrefix="1">
      <alignment/>
    </xf>
    <xf numFmtId="43" fontId="5" fillId="2" borderId="1" xfId="15" applyFont="1" applyFill="1" applyBorder="1" applyAlignment="1" quotePrefix="1">
      <alignment/>
    </xf>
    <xf numFmtId="0" fontId="3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/>
    </xf>
    <xf numFmtId="166" fontId="13" fillId="2" borderId="0" xfId="15" applyNumberFormat="1" applyFont="1" applyFill="1" applyAlignment="1">
      <alignment/>
    </xf>
    <xf numFmtId="10" fontId="13" fillId="2" borderId="0" xfId="21" applyNumberFormat="1" applyFont="1" applyFill="1" applyAlignment="1">
      <alignment/>
    </xf>
    <xf numFmtId="4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3" fontId="13" fillId="2" borderId="0" xfId="15" applyFont="1" applyFill="1" applyAlignment="1">
      <alignment/>
    </xf>
    <xf numFmtId="166" fontId="3" fillId="2" borderId="0" xfId="0" applyNumberFormat="1" applyFont="1" applyFill="1" applyAlignment="1">
      <alignment/>
    </xf>
    <xf numFmtId="166" fontId="5" fillId="2" borderId="0" xfId="0" applyNumberFormat="1" applyFont="1" applyFill="1" applyBorder="1" applyAlignment="1">
      <alignment/>
    </xf>
    <xf numFmtId="43" fontId="3" fillId="2" borderId="0" xfId="0" applyNumberFormat="1" applyFont="1" applyFill="1" applyBorder="1" applyAlignment="1">
      <alignment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2" fontId="3" fillId="2" borderId="0" xfId="21" applyNumberFormat="1" applyFont="1" applyFill="1" applyBorder="1" applyAlignment="1">
      <alignment/>
    </xf>
    <xf numFmtId="166" fontId="9" fillId="2" borderId="0" xfId="15" applyNumberFormat="1" applyFont="1" applyFill="1" applyAlignment="1">
      <alignment horizontal="right"/>
    </xf>
    <xf numFmtId="43" fontId="9" fillId="2" borderId="0" xfId="15" applyFont="1" applyFill="1" applyAlignment="1">
      <alignment horizontal="right"/>
    </xf>
    <xf numFmtId="43" fontId="9" fillId="2" borderId="0" xfId="15" applyFont="1" applyFill="1" applyAlignment="1">
      <alignment/>
    </xf>
    <xf numFmtId="0" fontId="9" fillId="2" borderId="0" xfId="0" applyFont="1" applyFill="1" applyAlignment="1">
      <alignment/>
    </xf>
    <xf numFmtId="166" fontId="9" fillId="2" borderId="0" xfId="15" applyNumberFormat="1" applyFont="1" applyFill="1" applyAlignment="1">
      <alignment/>
    </xf>
    <xf numFmtId="43" fontId="13" fillId="2" borderId="0" xfId="20" applyFont="1" applyFill="1" applyBorder="1" applyAlignment="1">
      <alignment/>
    </xf>
    <xf numFmtId="43" fontId="13" fillId="2" borderId="0" xfId="20" applyFont="1" applyFill="1" applyAlignment="1">
      <alignment/>
    </xf>
    <xf numFmtId="43" fontId="3" fillId="2" borderId="0" xfId="15" applyFont="1" applyFill="1" applyAlignment="1" quotePrefix="1">
      <alignment/>
    </xf>
    <xf numFmtId="10" fontId="5" fillId="2" borderId="0" xfId="21" applyNumberFormat="1" applyFont="1" applyFill="1" applyAlignment="1">
      <alignment/>
    </xf>
    <xf numFmtId="10" fontId="9" fillId="2" borderId="0" xfId="21" applyNumberFormat="1" applyFont="1" applyFill="1" applyAlignment="1">
      <alignment horizontal="right"/>
    </xf>
    <xf numFmtId="10" fontId="0" fillId="0" borderId="0" xfId="21" applyNumberFormat="1" applyAlignment="1">
      <alignment/>
    </xf>
    <xf numFmtId="10" fontId="9" fillId="2" borderId="0" xfId="21" applyNumberFormat="1" applyFont="1" applyFill="1" applyAlignment="1">
      <alignment/>
    </xf>
    <xf numFmtId="166" fontId="3" fillId="2" borderId="0" xfId="21" applyNumberFormat="1" applyFont="1" applyFill="1" applyAlignment="1">
      <alignment/>
    </xf>
    <xf numFmtId="168" fontId="0" fillId="0" borderId="0" xfId="15" applyNumberFormat="1" applyFont="1" applyAlignment="1">
      <alignment/>
    </xf>
    <xf numFmtId="166" fontId="2" fillId="2" borderId="0" xfId="15" applyNumberFormat="1" applyFont="1" applyFill="1" applyAlignment="1">
      <alignment horizontal="center"/>
    </xf>
    <xf numFmtId="166" fontId="4" fillId="2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\..\..\..\SHARED\BA\secsupp\secplscf\ppaf2\PPAF2%20INVESTOR%20REPORT%20-%20MAR%2003.XLS#PCF!D139" TargetMode="External" /><Relationship Id="rId2" Type="http://schemas.openxmlformats.org/officeDocument/2006/relationships/hyperlink" Target="..\..\..\..\SHARED\BA\secsupp\secplscf\ppaf2\PPAF2%20INVESTOR%20REPORT%20-%20MAR%2003.XLS#PCF!D139" TargetMode="External" /><Relationship Id="rId3" Type="http://schemas.openxmlformats.org/officeDocument/2006/relationships/hyperlink" Target="..\..\..\..\SHARED\BA\secsupp\secplscf\ppaf2\PPAF2%20INVESTOR%20REPORT%20-%20MAR%2003.XLS#PCF!D139" TargetMode="External" /><Relationship Id="rId4" Type="http://schemas.openxmlformats.org/officeDocument/2006/relationships/hyperlink" Target="..\..\..\..\SHARED\BA\secsupp\secplscf\ppaf2\PPAF2%20INVESTOR%20REPORT%20-%20MAR%2003.XLS#PCF!D139" TargetMode="External" /><Relationship Id="rId5" Type="http://schemas.openxmlformats.org/officeDocument/2006/relationships/hyperlink" Target="..\..\..\..\SHARED\BA\secsupp\secplscf\ppaf2\PPAF2%20INVESTOR%20REPORT%20-%20MAR%2003.XLS#PCF!D139" TargetMode="External" /><Relationship Id="rId6" Type="http://schemas.openxmlformats.org/officeDocument/2006/relationships/hyperlink" Target="..\..\..\..\SHARED\BA\secsupp\secplscf\ppaf2\PPAF2%20INVESTOR%20REPORT%20-%20MAR%2003.XLS#PCF!D139" TargetMode="External" /><Relationship Id="rId7" Type="http://schemas.openxmlformats.org/officeDocument/2006/relationships/hyperlink" Target="..\..\..\..\SHARED\BA\secsupp\secplscf\ppaf2\PPAF2%20INVESTOR%20REPORT%20-%20MAR%2003.XLS#PCF!D139" TargetMode="External" /><Relationship Id="rId8" Type="http://schemas.openxmlformats.org/officeDocument/2006/relationships/hyperlink" Target="..\..\..\..\SHARED\BA\secsupp\secplscf\ppaf2\PPAF2%20INVESTOR%20REPORT%20-%20MAR%2003.XLS#PCF!D139" TargetMode="Externa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62"/>
  <sheetViews>
    <sheetView tabSelected="1" view="pageBreakPreview" zoomScale="60" workbookViewId="0" topLeftCell="CE1">
      <selection activeCell="CK1" sqref="CK1:CQ1"/>
    </sheetView>
  </sheetViews>
  <sheetFormatPr defaultColWidth="9.140625" defaultRowHeight="12.75"/>
  <cols>
    <col min="3" max="3" width="22.00390625" style="0" customWidth="1"/>
    <col min="4" max="4" width="27.57421875" style="2" bestFit="1" customWidth="1"/>
    <col min="5" max="5" width="12.28125" style="0" customWidth="1"/>
    <col min="6" max="6" width="12.57421875" style="3" customWidth="1"/>
    <col min="7" max="7" width="14.57421875" style="0" customWidth="1"/>
    <col min="8" max="8" width="8.28125" style="0" customWidth="1"/>
    <col min="9" max="9" width="27.57421875" style="0" customWidth="1"/>
    <col min="10" max="10" width="13.421875" style="0" customWidth="1"/>
    <col min="11" max="11" width="16.57421875" style="0" customWidth="1"/>
    <col min="12" max="12" width="12.7109375" style="0" customWidth="1"/>
    <col min="13" max="13" width="10.421875" style="0" bestFit="1" customWidth="1"/>
    <col min="14" max="14" width="12.57421875" style="0" customWidth="1"/>
    <col min="15" max="15" width="13.7109375" style="0" customWidth="1"/>
    <col min="16" max="16" width="9.8515625" style="0" customWidth="1"/>
    <col min="17" max="17" width="35.00390625" style="0" customWidth="1"/>
    <col min="18" max="18" width="13.00390625" style="0" customWidth="1"/>
    <col min="19" max="19" width="16.00390625" style="0" customWidth="1"/>
    <col min="20" max="20" width="13.7109375" style="0" customWidth="1"/>
    <col min="21" max="21" width="19.7109375" style="0" customWidth="1"/>
    <col min="24" max="24" width="11.140625" style="0" customWidth="1"/>
    <col min="25" max="25" width="31.57421875" style="0" customWidth="1"/>
    <col min="26" max="26" width="12.28125" style="0" customWidth="1"/>
    <col min="27" max="27" width="14.140625" style="0" bestFit="1" customWidth="1"/>
    <col min="28" max="28" width="13.421875" style="0" bestFit="1" customWidth="1"/>
    <col min="30" max="30" width="13.8515625" style="0" customWidth="1"/>
    <col min="31" max="31" width="12.00390625" style="0" customWidth="1"/>
    <col min="33" max="33" width="36.421875" style="0" customWidth="1"/>
    <col min="34" max="35" width="15.8515625" style="0" customWidth="1"/>
    <col min="36" max="36" width="13.421875" style="0" bestFit="1" customWidth="1"/>
    <col min="40" max="40" width="29.140625" style="0" customWidth="1"/>
    <col min="41" max="41" width="20.421875" style="0" customWidth="1"/>
    <col min="42" max="43" width="18.140625" style="0" customWidth="1"/>
    <col min="47" max="47" width="29.140625" style="0" customWidth="1"/>
    <col min="48" max="48" width="20.421875" style="0" bestFit="1" customWidth="1"/>
    <col min="49" max="49" width="18.8515625" style="0" customWidth="1"/>
    <col min="50" max="50" width="18.140625" style="0" customWidth="1"/>
    <col min="54" max="54" width="31.28125" style="0" customWidth="1"/>
    <col min="55" max="55" width="27.57421875" style="0" customWidth="1"/>
    <col min="56" max="56" width="14.140625" style="0" bestFit="1" customWidth="1"/>
    <col min="57" max="57" width="13.421875" style="0" bestFit="1" customWidth="1"/>
    <col min="61" max="61" width="31.8515625" style="0" customWidth="1"/>
    <col min="62" max="62" width="24.57421875" style="0" customWidth="1"/>
    <col min="63" max="63" width="20.00390625" style="0" customWidth="1"/>
    <col min="64" max="64" width="16.7109375" style="0" customWidth="1"/>
    <col min="68" max="68" width="30.57421875" style="0" customWidth="1"/>
    <col min="69" max="69" width="21.00390625" style="0" customWidth="1"/>
    <col min="70" max="70" width="16.7109375" style="0" customWidth="1"/>
    <col min="71" max="71" width="15.140625" style="0" customWidth="1"/>
    <col min="75" max="75" width="31.28125" style="0" customWidth="1"/>
    <col min="76" max="76" width="25.57421875" style="0" customWidth="1"/>
    <col min="77" max="77" width="17.421875" style="0" customWidth="1"/>
    <col min="78" max="78" width="19.140625" style="0" customWidth="1"/>
    <col min="82" max="82" width="38.00390625" style="0" customWidth="1"/>
    <col min="83" max="83" width="17.00390625" style="0" customWidth="1"/>
    <col min="84" max="84" width="20.57421875" style="0" customWidth="1"/>
    <col min="85" max="85" width="19.421875" style="0" customWidth="1"/>
    <col min="89" max="89" width="30.140625" style="0" customWidth="1"/>
    <col min="90" max="90" width="19.00390625" style="0" bestFit="1" customWidth="1"/>
    <col min="91" max="91" width="19.421875" style="0" customWidth="1"/>
    <col min="92" max="92" width="21.57421875" style="0" customWidth="1"/>
    <col min="97" max="97" width="18.7109375" style="0" bestFit="1" customWidth="1"/>
  </cols>
  <sheetData>
    <row r="1" spans="1:95" ht="33.75">
      <c r="A1" s="107" t="s">
        <v>139</v>
      </c>
      <c r="B1" s="107"/>
      <c r="C1" s="107"/>
      <c r="D1" s="107"/>
      <c r="E1" s="107"/>
      <c r="F1" s="107"/>
      <c r="G1" s="107"/>
      <c r="H1" s="8"/>
      <c r="I1" s="107" t="s">
        <v>139</v>
      </c>
      <c r="J1" s="107"/>
      <c r="K1" s="107"/>
      <c r="L1" s="107"/>
      <c r="M1" s="107"/>
      <c r="N1" s="107"/>
      <c r="O1" s="107"/>
      <c r="P1" s="8"/>
      <c r="Q1" s="107" t="s">
        <v>139</v>
      </c>
      <c r="R1" s="107"/>
      <c r="S1" s="107"/>
      <c r="T1" s="107"/>
      <c r="U1" s="107"/>
      <c r="V1" s="107"/>
      <c r="W1" s="107"/>
      <c r="X1" s="8"/>
      <c r="Y1" s="107" t="s">
        <v>139</v>
      </c>
      <c r="Z1" s="107"/>
      <c r="AA1" s="107"/>
      <c r="AB1" s="107"/>
      <c r="AC1" s="107"/>
      <c r="AD1" s="107"/>
      <c r="AE1" s="107"/>
      <c r="AF1" s="8"/>
      <c r="AG1" s="107" t="s">
        <v>139</v>
      </c>
      <c r="AH1" s="107"/>
      <c r="AI1" s="107"/>
      <c r="AJ1" s="107"/>
      <c r="AK1" s="107"/>
      <c r="AL1" s="107"/>
      <c r="AM1" s="107"/>
      <c r="AN1" s="107" t="s">
        <v>139</v>
      </c>
      <c r="AO1" s="107"/>
      <c r="AP1" s="107"/>
      <c r="AQ1" s="107"/>
      <c r="AR1" s="107"/>
      <c r="AS1" s="107"/>
      <c r="AT1" s="107"/>
      <c r="AU1" s="107" t="s">
        <v>139</v>
      </c>
      <c r="AV1" s="107"/>
      <c r="AW1" s="107"/>
      <c r="AX1" s="107"/>
      <c r="AY1" s="107"/>
      <c r="AZ1" s="107"/>
      <c r="BA1" s="107"/>
      <c r="BB1" s="107" t="s">
        <v>139</v>
      </c>
      <c r="BC1" s="107"/>
      <c r="BD1" s="107"/>
      <c r="BE1" s="107"/>
      <c r="BF1" s="107"/>
      <c r="BG1" s="107"/>
      <c r="BH1" s="107"/>
      <c r="BI1" s="107" t="s">
        <v>139</v>
      </c>
      <c r="BJ1" s="107"/>
      <c r="BK1" s="107"/>
      <c r="BL1" s="107"/>
      <c r="BM1" s="107"/>
      <c r="BN1" s="107"/>
      <c r="BO1" s="107"/>
      <c r="BP1" s="107" t="s">
        <v>139</v>
      </c>
      <c r="BQ1" s="107"/>
      <c r="BR1" s="107"/>
      <c r="BS1" s="107"/>
      <c r="BT1" s="107"/>
      <c r="BU1" s="107"/>
      <c r="BV1" s="107"/>
      <c r="BW1" s="107" t="s">
        <v>139</v>
      </c>
      <c r="BX1" s="107"/>
      <c r="BY1" s="107"/>
      <c r="BZ1" s="107"/>
      <c r="CA1" s="107"/>
      <c r="CB1" s="107"/>
      <c r="CC1" s="107"/>
      <c r="CD1" s="107" t="s">
        <v>139</v>
      </c>
      <c r="CE1" s="107"/>
      <c r="CF1" s="107"/>
      <c r="CG1" s="107"/>
      <c r="CH1" s="107"/>
      <c r="CI1" s="107"/>
      <c r="CJ1" s="107"/>
      <c r="CK1" s="107" t="s">
        <v>139</v>
      </c>
      <c r="CL1" s="107"/>
      <c r="CM1" s="107"/>
      <c r="CN1" s="107"/>
      <c r="CO1" s="107"/>
      <c r="CP1" s="107"/>
      <c r="CQ1" s="107"/>
    </row>
    <row r="2" spans="1:95" ht="12.75">
      <c r="A2" s="9"/>
      <c r="B2" s="9"/>
      <c r="C2" s="9"/>
      <c r="D2" s="10"/>
      <c r="E2" s="9"/>
      <c r="F2" s="11"/>
      <c r="G2" s="9"/>
      <c r="H2" s="9"/>
      <c r="I2" s="9"/>
      <c r="J2" s="9"/>
      <c r="K2" s="9"/>
      <c r="L2" s="10"/>
      <c r="M2" s="9"/>
      <c r="N2" s="11"/>
      <c r="O2" s="9"/>
      <c r="P2" s="9"/>
      <c r="Q2" s="9"/>
      <c r="R2" s="9"/>
      <c r="S2" s="9"/>
      <c r="T2" s="10"/>
      <c r="U2" s="9"/>
      <c r="V2" s="11"/>
      <c r="W2" s="9"/>
      <c r="X2" s="9"/>
      <c r="Y2" s="9"/>
      <c r="Z2" s="9"/>
      <c r="AA2" s="9"/>
      <c r="AB2" s="10"/>
      <c r="AC2" s="9"/>
      <c r="AD2" s="11"/>
      <c r="AE2" s="9"/>
      <c r="AF2" s="9"/>
      <c r="AG2" s="9"/>
      <c r="AH2" s="9"/>
      <c r="AI2" s="9"/>
      <c r="AJ2" s="10"/>
      <c r="AK2" s="9"/>
      <c r="AL2" s="11"/>
      <c r="AM2" s="9"/>
      <c r="AN2" s="9"/>
      <c r="AO2" s="9"/>
      <c r="AP2" s="9"/>
      <c r="AQ2" s="10"/>
      <c r="AR2" s="9"/>
      <c r="AS2" s="11"/>
      <c r="AT2" s="9"/>
      <c r="AU2" s="9"/>
      <c r="AV2" s="9"/>
      <c r="AW2" s="9"/>
      <c r="AX2" s="10"/>
      <c r="AY2" s="9"/>
      <c r="AZ2" s="11"/>
      <c r="BA2" s="9"/>
      <c r="BB2" s="9"/>
      <c r="BC2" s="9"/>
      <c r="BD2" s="9"/>
      <c r="BE2" s="10"/>
      <c r="BF2" s="9"/>
      <c r="BG2" s="11"/>
      <c r="BH2" s="9"/>
      <c r="BI2" s="9"/>
      <c r="BJ2" s="9"/>
      <c r="BK2" s="9"/>
      <c r="BL2" s="10"/>
      <c r="BM2" s="9"/>
      <c r="BN2" s="11"/>
      <c r="BO2" s="9"/>
      <c r="BP2" s="9"/>
      <c r="BQ2" s="9"/>
      <c r="BR2" s="9"/>
      <c r="BS2" s="10"/>
      <c r="BT2" s="9"/>
      <c r="BU2" s="11"/>
      <c r="BV2" s="9"/>
      <c r="BW2" s="9"/>
      <c r="BX2" s="9"/>
      <c r="BY2" s="9"/>
      <c r="BZ2" s="10"/>
      <c r="CA2" s="9"/>
      <c r="CB2" s="11"/>
      <c r="CC2" s="9"/>
      <c r="CD2" s="9"/>
      <c r="CE2" s="9"/>
      <c r="CF2" s="9"/>
      <c r="CG2" s="10"/>
      <c r="CH2" s="9"/>
      <c r="CI2" s="11"/>
      <c r="CJ2" s="9"/>
      <c r="CK2" s="9"/>
      <c r="CL2" s="9"/>
      <c r="CM2" s="9"/>
      <c r="CN2" s="10"/>
      <c r="CO2" s="9"/>
      <c r="CP2" s="11"/>
      <c r="CQ2" s="9"/>
    </row>
    <row r="3" spans="1:95" ht="18">
      <c r="A3" s="108" t="s">
        <v>134</v>
      </c>
      <c r="B3" s="108"/>
      <c r="C3" s="108"/>
      <c r="D3" s="108"/>
      <c r="E3" s="108"/>
      <c r="F3" s="108"/>
      <c r="G3" s="108"/>
      <c r="H3" s="12"/>
      <c r="I3" s="108" t="s">
        <v>136</v>
      </c>
      <c r="J3" s="108"/>
      <c r="K3" s="108"/>
      <c r="L3" s="108"/>
      <c r="M3" s="108"/>
      <c r="N3" s="108"/>
      <c r="O3" s="108"/>
      <c r="P3" s="12"/>
      <c r="Q3" s="108" t="s">
        <v>145</v>
      </c>
      <c r="R3" s="108"/>
      <c r="S3" s="108"/>
      <c r="T3" s="108"/>
      <c r="U3" s="108"/>
      <c r="V3" s="108"/>
      <c r="W3" s="108"/>
      <c r="X3" s="12"/>
      <c r="Y3" s="108" t="s">
        <v>147</v>
      </c>
      <c r="Z3" s="108"/>
      <c r="AA3" s="108"/>
      <c r="AB3" s="108"/>
      <c r="AC3" s="108"/>
      <c r="AD3" s="108"/>
      <c r="AE3" s="108"/>
      <c r="AF3" s="12"/>
      <c r="AG3" s="108" t="s">
        <v>149</v>
      </c>
      <c r="AH3" s="108"/>
      <c r="AI3" s="108"/>
      <c r="AJ3" s="108"/>
      <c r="AK3" s="108"/>
      <c r="AL3" s="108"/>
      <c r="AM3" s="108"/>
      <c r="AN3" s="108" t="s">
        <v>151</v>
      </c>
      <c r="AO3" s="108"/>
      <c r="AP3" s="108"/>
      <c r="AQ3" s="108"/>
      <c r="AR3" s="108"/>
      <c r="AS3" s="108"/>
      <c r="AT3" s="108"/>
      <c r="AU3" s="108" t="s">
        <v>153</v>
      </c>
      <c r="AV3" s="108"/>
      <c r="AW3" s="108"/>
      <c r="AX3" s="108"/>
      <c r="AY3" s="108"/>
      <c r="AZ3" s="108"/>
      <c r="BA3" s="108"/>
      <c r="BB3" s="108" t="s">
        <v>155</v>
      </c>
      <c r="BC3" s="108"/>
      <c r="BD3" s="108"/>
      <c r="BE3" s="108"/>
      <c r="BF3" s="108"/>
      <c r="BG3" s="108"/>
      <c r="BH3" s="108"/>
      <c r="BI3" s="108" t="s">
        <v>157</v>
      </c>
      <c r="BJ3" s="108"/>
      <c r="BK3" s="108"/>
      <c r="BL3" s="108"/>
      <c r="BM3" s="108"/>
      <c r="BN3" s="108"/>
      <c r="BO3" s="108"/>
      <c r="BP3" s="108" t="s">
        <v>159</v>
      </c>
      <c r="BQ3" s="108"/>
      <c r="BR3" s="108"/>
      <c r="BS3" s="108"/>
      <c r="BT3" s="108"/>
      <c r="BU3" s="108"/>
      <c r="BV3" s="108"/>
      <c r="BW3" s="108" t="s">
        <v>161</v>
      </c>
      <c r="BX3" s="108"/>
      <c r="BY3" s="108"/>
      <c r="BZ3" s="108"/>
      <c r="CA3" s="108"/>
      <c r="CB3" s="108"/>
      <c r="CC3" s="108"/>
      <c r="CD3" s="108" t="s">
        <v>163</v>
      </c>
      <c r="CE3" s="108"/>
      <c r="CF3" s="108"/>
      <c r="CG3" s="108"/>
      <c r="CH3" s="108"/>
      <c r="CI3" s="108"/>
      <c r="CJ3" s="108"/>
      <c r="CK3" s="108" t="s">
        <v>165</v>
      </c>
      <c r="CL3" s="108"/>
      <c r="CM3" s="108"/>
      <c r="CN3" s="108"/>
      <c r="CO3" s="108"/>
      <c r="CP3" s="108"/>
      <c r="CQ3" s="108"/>
    </row>
    <row r="4" spans="1:95" ht="18">
      <c r="A4" s="9"/>
      <c r="B4" s="9"/>
      <c r="C4" s="9"/>
      <c r="D4" s="10"/>
      <c r="E4" s="9"/>
      <c r="F4" s="11"/>
      <c r="G4" s="9"/>
      <c r="H4" s="9"/>
      <c r="I4" s="9"/>
      <c r="J4" s="59" t="s">
        <v>135</v>
      </c>
      <c r="K4" s="9"/>
      <c r="L4" s="10"/>
      <c r="M4" s="9"/>
      <c r="N4" s="11"/>
      <c r="O4" s="9"/>
      <c r="P4" s="9"/>
      <c r="Q4" s="9"/>
      <c r="R4" s="59" t="s">
        <v>146</v>
      </c>
      <c r="S4" s="9"/>
      <c r="T4" s="10"/>
      <c r="U4" s="9"/>
      <c r="V4" s="11"/>
      <c r="W4" s="9"/>
      <c r="X4" s="9"/>
      <c r="Y4" s="9"/>
      <c r="Z4" s="59" t="s">
        <v>148</v>
      </c>
      <c r="AA4" s="9"/>
      <c r="AB4" s="10"/>
      <c r="AC4" s="9"/>
      <c r="AD4" s="11"/>
      <c r="AE4" s="9"/>
      <c r="AF4" s="9"/>
      <c r="AG4" s="9"/>
      <c r="AH4" s="59" t="s">
        <v>150</v>
      </c>
      <c r="AI4" s="9"/>
      <c r="AJ4" s="10"/>
      <c r="AK4" s="9"/>
      <c r="AL4" s="11"/>
      <c r="AM4" s="9"/>
      <c r="AN4" s="9"/>
      <c r="AO4" s="59" t="s">
        <v>152</v>
      </c>
      <c r="AP4" s="9"/>
      <c r="AQ4" s="10"/>
      <c r="AR4" s="9"/>
      <c r="AS4" s="11"/>
      <c r="AT4" s="9"/>
      <c r="AU4" s="9"/>
      <c r="AV4" s="59" t="s">
        <v>154</v>
      </c>
      <c r="AW4" s="9"/>
      <c r="AX4" s="10"/>
      <c r="AY4" s="9"/>
      <c r="AZ4" s="11"/>
      <c r="BA4" s="9"/>
      <c r="BB4" s="9"/>
      <c r="BC4" s="59" t="s">
        <v>156</v>
      </c>
      <c r="BD4" s="9"/>
      <c r="BE4" s="10"/>
      <c r="BF4" s="9"/>
      <c r="BG4" s="11"/>
      <c r="BH4" s="9"/>
      <c r="BI4" s="9"/>
      <c r="BJ4" s="59" t="s">
        <v>158</v>
      </c>
      <c r="BK4" s="9"/>
      <c r="BL4" s="10"/>
      <c r="BM4" s="9"/>
      <c r="BN4" s="11"/>
      <c r="BO4" s="9"/>
      <c r="BP4" s="9"/>
      <c r="BQ4" s="59" t="s">
        <v>160</v>
      </c>
      <c r="BR4" s="9"/>
      <c r="BS4" s="10"/>
      <c r="BT4" s="9"/>
      <c r="BU4" s="11"/>
      <c r="BV4" s="9"/>
      <c r="BW4" s="9"/>
      <c r="BX4" s="59" t="s">
        <v>162</v>
      </c>
      <c r="BY4" s="9"/>
      <c r="BZ4" s="10"/>
      <c r="CA4" s="9"/>
      <c r="CB4" s="11"/>
      <c r="CC4" s="9"/>
      <c r="CD4" s="9"/>
      <c r="CE4" s="59" t="s">
        <v>164</v>
      </c>
      <c r="CF4" s="9"/>
      <c r="CG4" s="10"/>
      <c r="CH4" s="9"/>
      <c r="CI4" s="11"/>
      <c r="CJ4" s="9"/>
      <c r="CK4" s="9"/>
      <c r="CL4" s="59" t="s">
        <v>166</v>
      </c>
      <c r="CM4" s="9"/>
      <c r="CN4" s="10"/>
      <c r="CO4" s="9"/>
      <c r="CP4" s="11"/>
      <c r="CQ4" s="9"/>
    </row>
    <row r="5" spans="1:95" ht="12.75">
      <c r="A5" s="13"/>
      <c r="B5" s="9"/>
      <c r="C5" s="9"/>
      <c r="D5" s="10"/>
      <c r="E5" s="9"/>
      <c r="F5" s="11"/>
      <c r="G5" s="9"/>
      <c r="H5" s="9"/>
      <c r="I5" s="13"/>
      <c r="J5" s="9"/>
      <c r="K5" s="9"/>
      <c r="L5" s="10"/>
      <c r="M5" s="9"/>
      <c r="N5" s="11"/>
      <c r="O5" s="9"/>
      <c r="P5" s="9"/>
      <c r="Q5" s="13"/>
      <c r="R5" s="9"/>
      <c r="S5" s="9"/>
      <c r="T5" s="10"/>
      <c r="U5" s="9"/>
      <c r="V5" s="11"/>
      <c r="W5" s="9"/>
      <c r="X5" s="9"/>
      <c r="Y5" s="13"/>
      <c r="Z5" s="9"/>
      <c r="AA5" s="9"/>
      <c r="AB5" s="10"/>
      <c r="AC5" s="9"/>
      <c r="AD5" s="11"/>
      <c r="AE5" s="9"/>
      <c r="AF5" s="9"/>
      <c r="AG5" s="13"/>
      <c r="AH5" s="9"/>
      <c r="AI5" s="9"/>
      <c r="AJ5" s="10"/>
      <c r="AK5" s="9"/>
      <c r="AL5" s="11"/>
      <c r="AM5" s="9"/>
      <c r="AN5" s="13"/>
      <c r="AO5" s="9"/>
      <c r="AP5" s="9"/>
      <c r="AQ5" s="10"/>
      <c r="AR5" s="9"/>
      <c r="AS5" s="11"/>
      <c r="AT5" s="9"/>
      <c r="AU5" s="13"/>
      <c r="AV5" s="9"/>
      <c r="AW5" s="9"/>
      <c r="AX5" s="10"/>
      <c r="AY5" s="9"/>
      <c r="AZ5" s="11"/>
      <c r="BA5" s="9"/>
      <c r="BB5" s="13"/>
      <c r="BC5" s="9"/>
      <c r="BD5" s="9"/>
      <c r="BE5" s="10"/>
      <c r="BF5" s="9"/>
      <c r="BG5" s="11"/>
      <c r="BH5" s="9"/>
      <c r="BI5" s="13"/>
      <c r="BJ5" s="9"/>
      <c r="BK5" s="9"/>
      <c r="BL5" s="10"/>
      <c r="BM5" s="9"/>
      <c r="BN5" s="11"/>
      <c r="BO5" s="9"/>
      <c r="BP5" s="13"/>
      <c r="BQ5" s="9"/>
      <c r="BR5" s="9"/>
      <c r="BS5" s="10"/>
      <c r="BT5" s="9"/>
      <c r="BU5" s="11"/>
      <c r="BV5" s="9"/>
      <c r="BW5" s="13"/>
      <c r="BX5" s="9"/>
      <c r="BY5" s="9"/>
      <c r="BZ5" s="10"/>
      <c r="CA5" s="9"/>
      <c r="CB5" s="11"/>
      <c r="CC5" s="9"/>
      <c r="CD5" s="13"/>
      <c r="CE5" s="9"/>
      <c r="CF5" s="9"/>
      <c r="CG5" s="10"/>
      <c r="CH5" s="9"/>
      <c r="CI5" s="11"/>
      <c r="CJ5" s="9"/>
      <c r="CK5" s="13"/>
      <c r="CL5" s="9"/>
      <c r="CM5" s="9"/>
      <c r="CN5" s="10"/>
      <c r="CO5" s="9"/>
      <c r="CP5" s="11"/>
      <c r="CQ5" s="9"/>
    </row>
    <row r="6" spans="1:95" ht="12.75">
      <c r="A6" s="14" t="s">
        <v>11</v>
      </c>
      <c r="B6" s="9"/>
      <c r="C6" s="9"/>
      <c r="D6" s="10"/>
      <c r="E6" s="9"/>
      <c r="F6" s="11"/>
      <c r="G6" s="9"/>
      <c r="H6" s="9"/>
      <c r="I6" s="14" t="s">
        <v>11</v>
      </c>
      <c r="J6" s="9"/>
      <c r="K6" s="9"/>
      <c r="L6" s="10"/>
      <c r="M6" s="9"/>
      <c r="N6" s="11"/>
      <c r="O6" s="9"/>
      <c r="P6" s="9"/>
      <c r="Q6" s="14" t="s">
        <v>11</v>
      </c>
      <c r="R6" s="9"/>
      <c r="S6" s="9"/>
      <c r="T6" s="10"/>
      <c r="U6" s="9"/>
      <c r="V6" s="11"/>
      <c r="W6" s="9"/>
      <c r="X6" s="9"/>
      <c r="Y6" s="14" t="s">
        <v>11</v>
      </c>
      <c r="Z6" s="9"/>
      <c r="AA6" s="9"/>
      <c r="AB6" s="10"/>
      <c r="AC6" s="9"/>
      <c r="AD6" s="11"/>
      <c r="AE6" s="9"/>
      <c r="AF6" s="9"/>
      <c r="AG6" s="14" t="s">
        <v>11</v>
      </c>
      <c r="AH6" s="9"/>
      <c r="AI6" s="9"/>
      <c r="AJ6" s="10"/>
      <c r="AK6" s="9"/>
      <c r="AL6" s="11"/>
      <c r="AM6" s="9"/>
      <c r="AN6" s="14" t="s">
        <v>11</v>
      </c>
      <c r="AO6" s="9"/>
      <c r="AP6" s="9"/>
      <c r="AQ6" s="10"/>
      <c r="AR6" s="9"/>
      <c r="AS6" s="11"/>
      <c r="AT6" s="9"/>
      <c r="AU6" s="14" t="s">
        <v>11</v>
      </c>
      <c r="AV6" s="9"/>
      <c r="AW6" s="9"/>
      <c r="AX6" s="10"/>
      <c r="AY6" s="9"/>
      <c r="AZ6" s="11"/>
      <c r="BA6" s="9"/>
      <c r="BB6" s="14" t="s">
        <v>11</v>
      </c>
      <c r="BC6" s="9"/>
      <c r="BD6" s="9"/>
      <c r="BE6" s="10"/>
      <c r="BF6" s="9"/>
      <c r="BG6" s="11"/>
      <c r="BH6" s="9"/>
      <c r="BI6" s="14" t="s">
        <v>11</v>
      </c>
      <c r="BJ6" s="9"/>
      <c r="BK6" s="9"/>
      <c r="BL6" s="10"/>
      <c r="BM6" s="9"/>
      <c r="BN6" s="11"/>
      <c r="BO6" s="9"/>
      <c r="BP6" s="14" t="s">
        <v>11</v>
      </c>
      <c r="BQ6" s="9"/>
      <c r="BR6" s="9"/>
      <c r="BS6" s="10"/>
      <c r="BT6" s="9"/>
      <c r="BU6" s="11"/>
      <c r="BV6" s="9"/>
      <c r="BW6" s="14" t="s">
        <v>11</v>
      </c>
      <c r="BX6" s="9"/>
      <c r="BY6" s="9"/>
      <c r="BZ6" s="10"/>
      <c r="CA6" s="9"/>
      <c r="CB6" s="11"/>
      <c r="CC6" s="9"/>
      <c r="CD6" s="14" t="s">
        <v>11</v>
      </c>
      <c r="CE6" s="9"/>
      <c r="CF6" s="9"/>
      <c r="CG6" s="10"/>
      <c r="CH6" s="9"/>
      <c r="CI6" s="11"/>
      <c r="CJ6" s="9"/>
      <c r="CK6" s="14" t="s">
        <v>11</v>
      </c>
      <c r="CL6" s="9"/>
      <c r="CM6" s="9"/>
      <c r="CN6" s="10"/>
      <c r="CO6" s="9"/>
      <c r="CP6" s="11"/>
      <c r="CQ6" s="9"/>
    </row>
    <row r="7" spans="1:95" ht="12.75">
      <c r="A7" s="9"/>
      <c r="B7" s="9"/>
      <c r="C7" s="9"/>
      <c r="D7" s="10"/>
      <c r="E7" s="9"/>
      <c r="F7" s="11"/>
      <c r="G7" s="9"/>
      <c r="H7" s="9"/>
      <c r="I7" s="9"/>
      <c r="J7" s="9"/>
      <c r="K7" s="9"/>
      <c r="L7" s="10"/>
      <c r="M7" s="9"/>
      <c r="N7" s="11"/>
      <c r="O7" s="9"/>
      <c r="P7" s="9"/>
      <c r="Q7" s="9"/>
      <c r="R7" s="9"/>
      <c r="S7" s="9"/>
      <c r="T7" s="10"/>
      <c r="U7" s="9"/>
      <c r="V7" s="11"/>
      <c r="W7" s="9"/>
      <c r="X7" s="9"/>
      <c r="Y7" s="9"/>
      <c r="Z7" s="9"/>
      <c r="AA7" s="9"/>
      <c r="AB7" s="10"/>
      <c r="AC7" s="9"/>
      <c r="AD7" s="11"/>
      <c r="AE7" s="9"/>
      <c r="AF7" s="9"/>
      <c r="AG7" s="9"/>
      <c r="AH7" s="9"/>
      <c r="AI7" s="9"/>
      <c r="AJ7" s="10"/>
      <c r="AK7" s="9"/>
      <c r="AL7" s="11"/>
      <c r="AM7" s="9"/>
      <c r="AN7" s="9"/>
      <c r="AO7" s="9"/>
      <c r="AP7" s="9"/>
      <c r="AQ7" s="10"/>
      <c r="AR7" s="9"/>
      <c r="AS7" s="11"/>
      <c r="AT7" s="9"/>
      <c r="AU7" s="9"/>
      <c r="AV7" s="9"/>
      <c r="AW7" s="9"/>
      <c r="AX7" s="10"/>
      <c r="AY7" s="9"/>
      <c r="AZ7" s="11"/>
      <c r="BA7" s="9"/>
      <c r="BB7" s="9"/>
      <c r="BC7" s="9"/>
      <c r="BD7" s="9"/>
      <c r="BE7" s="10"/>
      <c r="BF7" s="9"/>
      <c r="BG7" s="11"/>
      <c r="BH7" s="9"/>
      <c r="BI7" s="9"/>
      <c r="BJ7" s="9"/>
      <c r="BK7" s="9"/>
      <c r="BL7" s="10"/>
      <c r="BM7" s="9"/>
      <c r="BN7" s="11"/>
      <c r="BO7" s="9"/>
      <c r="BP7" s="9"/>
      <c r="BQ7" s="9"/>
      <c r="BR7" s="9"/>
      <c r="BS7" s="10"/>
      <c r="BT7" s="9"/>
      <c r="BU7" s="11"/>
      <c r="BV7" s="9"/>
      <c r="BW7" s="9"/>
      <c r="BX7" s="9"/>
      <c r="BY7" s="9"/>
      <c r="BZ7" s="10"/>
      <c r="CA7" s="9"/>
      <c r="CB7" s="11"/>
      <c r="CC7" s="9"/>
      <c r="CD7" s="9"/>
      <c r="CE7" s="9"/>
      <c r="CF7" s="9"/>
      <c r="CG7" s="10"/>
      <c r="CH7" s="9"/>
      <c r="CI7" s="11"/>
      <c r="CJ7" s="9"/>
      <c r="CK7" s="9"/>
      <c r="CL7" s="9"/>
      <c r="CM7" s="9"/>
      <c r="CN7" s="10"/>
      <c r="CO7" s="9"/>
      <c r="CP7" s="11"/>
      <c r="CQ7" s="9"/>
    </row>
    <row r="8" spans="1:95" ht="12.75">
      <c r="A8" s="9" t="s">
        <v>62</v>
      </c>
      <c r="B8" s="9"/>
      <c r="C8" s="9"/>
      <c r="D8" s="15">
        <f>+'SECURED LOANS'!D9</f>
        <v>0.8996289163604745</v>
      </c>
      <c r="E8" s="11"/>
      <c r="F8" s="11"/>
      <c r="G8" s="9"/>
      <c r="H8" s="9"/>
      <c r="I8" s="9" t="s">
        <v>62</v>
      </c>
      <c r="J8" s="9"/>
      <c r="K8" s="9"/>
      <c r="L8" s="15">
        <f>+'SECURED LOANS'!M9</f>
        <v>0.9007379401463096</v>
      </c>
      <c r="M8" s="11"/>
      <c r="N8" s="11"/>
      <c r="O8" s="9"/>
      <c r="P8" s="9"/>
      <c r="Q8" s="9" t="s">
        <v>62</v>
      </c>
      <c r="R8" s="9"/>
      <c r="S8" s="9"/>
      <c r="T8" s="15">
        <f>+'SECURED LOANS'!U9</f>
        <v>0.9054137108291769</v>
      </c>
      <c r="U8" s="11"/>
      <c r="V8" s="11"/>
      <c r="W8" s="9"/>
      <c r="X8" s="9"/>
      <c r="Y8" s="9" t="s">
        <v>62</v>
      </c>
      <c r="Z8" s="9"/>
      <c r="AA8" s="9"/>
      <c r="AB8" s="15">
        <f>+'SECURED LOANS'!AB9</f>
        <v>0.9177193990115867</v>
      </c>
      <c r="AC8" s="11"/>
      <c r="AD8" s="11"/>
      <c r="AE8" s="9"/>
      <c r="AF8" s="9"/>
      <c r="AG8" s="9" t="s">
        <v>62</v>
      </c>
      <c r="AH8" s="9"/>
      <c r="AI8" s="9"/>
      <c r="AJ8" s="15">
        <f>+'SECURED LOANS'!AJ9</f>
        <v>0.9152420341123907</v>
      </c>
      <c r="AK8" s="11"/>
      <c r="AL8" s="11"/>
      <c r="AM8" s="9"/>
      <c r="AN8" s="9" t="s">
        <v>62</v>
      </c>
      <c r="AO8" s="9"/>
      <c r="AP8" s="9"/>
      <c r="AQ8" s="15">
        <f>+'SECURED LOANS'!AQ9</f>
        <v>0.9157705663433316</v>
      </c>
      <c r="AR8" s="11"/>
      <c r="AS8" s="11"/>
      <c r="AT8" s="9"/>
      <c r="AU8" s="9" t="s">
        <v>62</v>
      </c>
      <c r="AV8" s="9"/>
      <c r="AW8" s="9"/>
      <c r="AX8" s="15">
        <f>+'SECURED LOANS'!AX9</f>
        <v>0.9123816244805255</v>
      </c>
      <c r="AY8" s="11"/>
      <c r="AZ8" s="11"/>
      <c r="BA8" s="9"/>
      <c r="BB8" s="9" t="s">
        <v>62</v>
      </c>
      <c r="BC8" s="9"/>
      <c r="BD8" s="9"/>
      <c r="BE8" s="15">
        <f>+'SECURED LOANS'!BE9</f>
        <v>0.9070336649986365</v>
      </c>
      <c r="BF8" s="11"/>
      <c r="BG8" s="11"/>
      <c r="BH8" s="9"/>
      <c r="BI8" s="9" t="s">
        <v>62</v>
      </c>
      <c r="BJ8" s="9"/>
      <c r="BK8" s="9"/>
      <c r="BL8" s="15">
        <f>+'SECURED LOANS'!BL9</f>
        <v>0.9004128803466128</v>
      </c>
      <c r="BM8" s="11"/>
      <c r="BN8" s="11"/>
      <c r="BO8" s="9"/>
      <c r="BP8" s="9" t="s">
        <v>62</v>
      </c>
      <c r="BQ8" s="9"/>
      <c r="BR8" s="9"/>
      <c r="BS8" s="15">
        <f>+'SECURED LOANS'!BS9</f>
        <v>0.8904472798057534</v>
      </c>
      <c r="BT8" s="11"/>
      <c r="BU8" s="11"/>
      <c r="BV8" s="9"/>
      <c r="BW8" s="9" t="s">
        <v>62</v>
      </c>
      <c r="BX8" s="9"/>
      <c r="BY8" s="9"/>
      <c r="BZ8" s="15">
        <f>+'SECURED LOANS'!BZ9</f>
        <v>0.8931573980486043</v>
      </c>
      <c r="CA8" s="11"/>
      <c r="CB8" s="11"/>
      <c r="CC8" s="9"/>
      <c r="CD8" s="9" t="s">
        <v>62</v>
      </c>
      <c r="CE8" s="9"/>
      <c r="CF8" s="9"/>
      <c r="CG8" s="15">
        <f>+'SECURED LOANS'!CG9</f>
        <v>0.8881076311972507</v>
      </c>
      <c r="CH8" s="11"/>
      <c r="CI8" s="11"/>
      <c r="CJ8" s="9"/>
      <c r="CK8" s="9" t="s">
        <v>62</v>
      </c>
      <c r="CL8" s="9"/>
      <c r="CM8" s="9"/>
      <c r="CN8" s="15">
        <f>+'SECURED LOANS'!CN9</f>
        <v>0.8844834608722555</v>
      </c>
      <c r="CO8" s="11"/>
      <c r="CP8" s="11"/>
      <c r="CQ8" s="9"/>
    </row>
    <row r="9" spans="1:95" ht="12.75">
      <c r="A9" s="9" t="s">
        <v>141</v>
      </c>
      <c r="B9" s="9"/>
      <c r="C9" s="9"/>
      <c r="D9" s="16">
        <f>+D33/F33</f>
        <v>5590.577952651129</v>
      </c>
      <c r="E9" s="11"/>
      <c r="F9" s="11"/>
      <c r="G9" s="9"/>
      <c r="H9" s="9"/>
      <c r="I9" s="9" t="s">
        <v>141</v>
      </c>
      <c r="J9" s="9"/>
      <c r="K9" s="9"/>
      <c r="L9" s="16">
        <f>+I33/K33</f>
        <v>5831.288304778192</v>
      </c>
      <c r="M9" s="11"/>
      <c r="N9" s="11"/>
      <c r="O9" s="9"/>
      <c r="P9" s="9"/>
      <c r="Q9" s="9" t="s">
        <v>141</v>
      </c>
      <c r="R9" s="9"/>
      <c r="S9" s="9"/>
      <c r="T9" s="16">
        <f>+Q33/S33</f>
        <v>5747.820491853328</v>
      </c>
      <c r="U9" s="11"/>
      <c r="V9" s="11"/>
      <c r="W9" s="9"/>
      <c r="X9" s="9"/>
      <c r="Y9" s="9" t="s">
        <v>141</v>
      </c>
      <c r="Z9" s="9"/>
      <c r="AA9" s="9"/>
      <c r="AB9" s="16">
        <f>+Y33/AA33</f>
        <v>5886.534265358447</v>
      </c>
      <c r="AC9" s="11"/>
      <c r="AD9" s="11"/>
      <c r="AE9" s="9"/>
      <c r="AF9" s="9"/>
      <c r="AG9" s="9" t="s">
        <v>141</v>
      </c>
      <c r="AH9" s="9"/>
      <c r="AI9" s="9"/>
      <c r="AJ9" s="16">
        <f>+AG33/AI33</f>
        <v>6088.72302451968</v>
      </c>
      <c r="AK9" s="11"/>
      <c r="AL9" s="11"/>
      <c r="AM9" s="9"/>
      <c r="AN9" s="9" t="s">
        <v>141</v>
      </c>
      <c r="AO9" s="9"/>
      <c r="AP9" s="9"/>
      <c r="AQ9" s="16">
        <f>+AN33/AP33</f>
        <v>6111.604974758031</v>
      </c>
      <c r="AR9" s="11"/>
      <c r="AS9" s="11"/>
      <c r="AT9" s="9"/>
      <c r="AU9" s="9" t="s">
        <v>141</v>
      </c>
      <c r="AV9" s="9"/>
      <c r="AW9" s="9"/>
      <c r="AX9" s="16">
        <f>+AU33/AW33</f>
        <v>6043.436734668041</v>
      </c>
      <c r="AY9" s="11"/>
      <c r="AZ9" s="11"/>
      <c r="BA9" s="9"/>
      <c r="BB9" s="9" t="s">
        <v>141</v>
      </c>
      <c r="BC9" s="9"/>
      <c r="BD9" s="9"/>
      <c r="BE9" s="16">
        <f>+BB33/BD33</f>
        <v>6042.990486126231</v>
      </c>
      <c r="BF9" s="11"/>
      <c r="BG9" s="11"/>
      <c r="BH9" s="9"/>
      <c r="BI9" s="9" t="s">
        <v>141</v>
      </c>
      <c r="BJ9" s="9"/>
      <c r="BK9" s="9"/>
      <c r="BL9" s="16">
        <f>+BI33/BK33</f>
        <v>6221.804359535523</v>
      </c>
      <c r="BM9" s="11"/>
      <c r="BN9" s="11"/>
      <c r="BO9" s="9"/>
      <c r="BP9" s="9" t="s">
        <v>141</v>
      </c>
      <c r="BQ9" s="9"/>
      <c r="BR9" s="9"/>
      <c r="BS9" s="16">
        <f>+BP33/BR33</f>
        <v>6823.940144139081</v>
      </c>
      <c r="BT9" s="11"/>
      <c r="BU9" s="11"/>
      <c r="BV9" s="9"/>
      <c r="BW9" s="9" t="s">
        <v>141</v>
      </c>
      <c r="BX9" s="9"/>
      <c r="BY9" s="9"/>
      <c r="BZ9" s="16">
        <f>+BW33/BY33</f>
        <v>7235.5725449944985</v>
      </c>
      <c r="CA9" s="11"/>
      <c r="CB9" s="11"/>
      <c r="CC9" s="9"/>
      <c r="CD9" s="9" t="s">
        <v>141</v>
      </c>
      <c r="CE9" s="9"/>
      <c r="CF9" s="9"/>
      <c r="CG9" s="16">
        <f>+CD33/CF33</f>
        <v>5916.9912254192795</v>
      </c>
      <c r="CH9" s="11"/>
      <c r="CI9" s="11"/>
      <c r="CJ9" s="9"/>
      <c r="CK9" s="9" t="s">
        <v>141</v>
      </c>
      <c r="CL9" s="9"/>
      <c r="CM9" s="9"/>
      <c r="CN9" s="16">
        <f>+CK33/CM33</f>
        <v>5971.404026365689</v>
      </c>
      <c r="CO9" s="11"/>
      <c r="CP9" s="11"/>
      <c r="CQ9" s="9"/>
    </row>
    <row r="10" spans="1:97" ht="12.75">
      <c r="A10" s="9" t="s">
        <v>12</v>
      </c>
      <c r="B10" s="9"/>
      <c r="C10" s="9"/>
      <c r="D10" s="17">
        <v>42.46</v>
      </c>
      <c r="E10" s="11" t="s">
        <v>10</v>
      </c>
      <c r="F10" s="11"/>
      <c r="G10" s="9"/>
      <c r="H10" s="9"/>
      <c r="I10" s="9" t="s">
        <v>12</v>
      </c>
      <c r="J10" s="9"/>
      <c r="K10" s="9"/>
      <c r="L10" s="17">
        <v>43.35</v>
      </c>
      <c r="M10" s="11" t="s">
        <v>10</v>
      </c>
      <c r="N10" s="11"/>
      <c r="O10" s="9"/>
      <c r="P10" s="9"/>
      <c r="Q10" s="9" t="s">
        <v>12</v>
      </c>
      <c r="R10" s="9"/>
      <c r="S10" s="9"/>
      <c r="T10" s="17">
        <v>47.2</v>
      </c>
      <c r="U10" s="11" t="s">
        <v>10</v>
      </c>
      <c r="V10" s="11"/>
      <c r="W10" s="9"/>
      <c r="X10" s="9"/>
      <c r="Y10" s="9" t="s">
        <v>12</v>
      </c>
      <c r="Z10" s="9"/>
      <c r="AA10" s="9"/>
      <c r="AB10" s="17">
        <v>48.2</v>
      </c>
      <c r="AC10" s="11" t="s">
        <v>10</v>
      </c>
      <c r="AD10" s="11"/>
      <c r="AE10" s="9"/>
      <c r="AF10" s="9"/>
      <c r="AG10" s="9" t="s">
        <v>12</v>
      </c>
      <c r="AH10" s="9"/>
      <c r="AI10" s="9"/>
      <c r="AJ10" s="17">
        <v>44.86</v>
      </c>
      <c r="AK10" s="11" t="s">
        <v>10</v>
      </c>
      <c r="AL10" s="11"/>
      <c r="AM10" s="9"/>
      <c r="AN10" s="9" t="s">
        <v>12</v>
      </c>
      <c r="AO10" s="9"/>
      <c r="AP10" s="9"/>
      <c r="AQ10" s="17">
        <v>44.94</v>
      </c>
      <c r="AR10" s="11" t="s">
        <v>10</v>
      </c>
      <c r="AS10" s="11"/>
      <c r="AT10" s="9"/>
      <c r="AU10" s="9" t="s">
        <v>12</v>
      </c>
      <c r="AV10" s="9"/>
      <c r="AW10" s="9"/>
      <c r="AX10" s="17">
        <v>44.72</v>
      </c>
      <c r="AY10" s="11" t="s">
        <v>10</v>
      </c>
      <c r="AZ10" s="11"/>
      <c r="BA10" s="9"/>
      <c r="BB10" s="9" t="s">
        <v>12</v>
      </c>
      <c r="BC10" s="9"/>
      <c r="BD10" s="9"/>
      <c r="BE10" s="17">
        <v>43.82</v>
      </c>
      <c r="BF10" s="11" t="s">
        <v>10</v>
      </c>
      <c r="BG10" s="11"/>
      <c r="BH10" s="9"/>
      <c r="BI10" s="9" t="s">
        <v>12</v>
      </c>
      <c r="BJ10" s="9"/>
      <c r="BK10" s="9"/>
      <c r="BL10" s="17">
        <v>46.57</v>
      </c>
      <c r="BM10" s="11" t="s">
        <v>10</v>
      </c>
      <c r="BN10" s="11"/>
      <c r="BO10" s="9"/>
      <c r="BP10" s="9" t="s">
        <v>12</v>
      </c>
      <c r="BQ10" s="9"/>
      <c r="BR10" s="9"/>
      <c r="BS10" s="17">
        <v>46.33</v>
      </c>
      <c r="BT10" s="11" t="s">
        <v>10</v>
      </c>
      <c r="BU10" s="11"/>
      <c r="BV10" s="9"/>
      <c r="BW10" s="9" t="s">
        <v>12</v>
      </c>
      <c r="BX10" s="9"/>
      <c r="BY10" s="9"/>
      <c r="BZ10" s="17">
        <v>47.62</v>
      </c>
      <c r="CA10" s="11" t="s">
        <v>10</v>
      </c>
      <c r="CB10" s="11"/>
      <c r="CC10" s="9"/>
      <c r="CD10" s="9" t="s">
        <v>12</v>
      </c>
      <c r="CE10" s="9"/>
      <c r="CF10" s="9"/>
      <c r="CG10" s="17">
        <v>46.59</v>
      </c>
      <c r="CH10" s="11" t="s">
        <v>10</v>
      </c>
      <c r="CI10" s="11"/>
      <c r="CJ10" s="9"/>
      <c r="CK10" s="9" t="s">
        <v>12</v>
      </c>
      <c r="CL10" s="9"/>
      <c r="CM10" s="9"/>
      <c r="CN10" s="17">
        <v>47.68</v>
      </c>
      <c r="CO10" s="11" t="s">
        <v>10</v>
      </c>
      <c r="CP10" s="11"/>
      <c r="CQ10" s="9"/>
      <c r="CS10" s="7"/>
    </row>
    <row r="11" spans="1:97" ht="12.75">
      <c r="A11" s="9" t="s">
        <v>13</v>
      </c>
      <c r="B11" s="9"/>
      <c r="C11" s="9"/>
      <c r="D11" s="18">
        <v>0.167</v>
      </c>
      <c r="E11" s="11"/>
      <c r="F11" s="11"/>
      <c r="G11" s="9"/>
      <c r="H11" s="9"/>
      <c r="I11" s="9" t="s">
        <v>13</v>
      </c>
      <c r="J11" s="9"/>
      <c r="K11" s="9"/>
      <c r="L11" s="18">
        <v>0.1682</v>
      </c>
      <c r="M11" s="11"/>
      <c r="N11" s="11"/>
      <c r="O11" s="9"/>
      <c r="P11" s="9"/>
      <c r="Q11" s="9" t="s">
        <v>13</v>
      </c>
      <c r="R11" s="9"/>
      <c r="S11" s="9"/>
      <c r="T11" s="18">
        <v>0.1677</v>
      </c>
      <c r="U11" s="11"/>
      <c r="V11" s="11"/>
      <c r="W11" s="9"/>
      <c r="X11" s="9"/>
      <c r="Y11" s="9" t="s">
        <v>13</v>
      </c>
      <c r="Z11" s="9"/>
      <c r="AA11" s="9"/>
      <c r="AB11" s="18">
        <v>0.16414</v>
      </c>
      <c r="AC11" s="11"/>
      <c r="AD11" s="11"/>
      <c r="AE11" s="9"/>
      <c r="AF11" s="9"/>
      <c r="AG11" s="9" t="s">
        <v>13</v>
      </c>
      <c r="AH11" s="9"/>
      <c r="AI11" s="9"/>
      <c r="AJ11" s="18">
        <v>0.15703</v>
      </c>
      <c r="AK11" s="11"/>
      <c r="AL11" s="11"/>
      <c r="AM11" s="9"/>
      <c r="AN11" s="9" t="s">
        <v>13</v>
      </c>
      <c r="AO11" s="9"/>
      <c r="AP11" s="9"/>
      <c r="AQ11" s="18">
        <v>0.15399</v>
      </c>
      <c r="AR11" s="11"/>
      <c r="AS11" s="11"/>
      <c r="AT11" s="9"/>
      <c r="AU11" s="9" t="s">
        <v>13</v>
      </c>
      <c r="AV11" s="9"/>
      <c r="AW11" s="9"/>
      <c r="AX11" s="18">
        <v>0.14979</v>
      </c>
      <c r="AY11" s="11"/>
      <c r="AZ11" s="11"/>
      <c r="BA11" s="9"/>
      <c r="BB11" s="9" t="s">
        <v>13</v>
      </c>
      <c r="BC11" s="9"/>
      <c r="BD11" s="9"/>
      <c r="BE11" s="18">
        <v>0.1445</v>
      </c>
      <c r="BF11" s="11"/>
      <c r="BG11" s="11"/>
      <c r="BH11" s="9"/>
      <c r="BI11" s="9" t="s">
        <v>13</v>
      </c>
      <c r="BJ11" s="9"/>
      <c r="BK11" s="9"/>
      <c r="BL11" s="18">
        <v>0.1437</v>
      </c>
      <c r="BM11" s="11"/>
      <c r="BN11" s="11"/>
      <c r="BO11" s="9"/>
      <c r="BP11" s="9" t="s">
        <v>13</v>
      </c>
      <c r="BQ11" s="9"/>
      <c r="BR11" s="9"/>
      <c r="BS11" s="18">
        <v>0.14</v>
      </c>
      <c r="BT11" s="11"/>
      <c r="BU11" s="11"/>
      <c r="BV11" s="9"/>
      <c r="BW11" s="9" t="s">
        <v>13</v>
      </c>
      <c r="BX11" s="9"/>
      <c r="BY11" s="9"/>
      <c r="BZ11" s="18">
        <v>0.14064</v>
      </c>
      <c r="CA11" s="11"/>
      <c r="CB11" s="11"/>
      <c r="CC11" s="9"/>
      <c r="CD11" s="9" t="s">
        <v>13</v>
      </c>
      <c r="CE11" s="9"/>
      <c r="CF11" s="9"/>
      <c r="CG11" s="18">
        <v>0.1375</v>
      </c>
      <c r="CH11" s="11"/>
      <c r="CI11" s="11"/>
      <c r="CJ11" s="9"/>
      <c r="CK11" s="9" t="s">
        <v>13</v>
      </c>
      <c r="CL11" s="9"/>
      <c r="CM11" s="9"/>
      <c r="CN11" s="18">
        <v>0.13504</v>
      </c>
      <c r="CO11" s="11"/>
      <c r="CP11" s="11"/>
      <c r="CQ11" s="9"/>
      <c r="CS11" s="7"/>
    </row>
    <row r="12" spans="1:97" ht="12.75">
      <c r="A12" s="9" t="s">
        <v>14</v>
      </c>
      <c r="B12" s="9"/>
      <c r="C12" s="9"/>
      <c r="D12" s="17">
        <v>11.56</v>
      </c>
      <c r="E12" s="11" t="s">
        <v>77</v>
      </c>
      <c r="F12" s="11"/>
      <c r="G12" s="9"/>
      <c r="H12" s="9"/>
      <c r="I12" s="9" t="s">
        <v>14</v>
      </c>
      <c r="J12" s="9"/>
      <c r="K12" s="9"/>
      <c r="L12" s="19">
        <v>11.77</v>
      </c>
      <c r="M12" s="11" t="s">
        <v>77</v>
      </c>
      <c r="N12" s="11"/>
      <c r="O12" s="9"/>
      <c r="P12" s="9"/>
      <c r="Q12" s="9" t="s">
        <v>14</v>
      </c>
      <c r="R12" s="9"/>
      <c r="S12" s="9"/>
      <c r="T12" s="19">
        <v>11.836</v>
      </c>
      <c r="U12" s="11" t="s">
        <v>77</v>
      </c>
      <c r="V12" s="11"/>
      <c r="W12" s="9"/>
      <c r="X12" s="9"/>
      <c r="Y12" s="9" t="s">
        <v>14</v>
      </c>
      <c r="Z12" s="9"/>
      <c r="AA12" s="9"/>
      <c r="AB12" s="19">
        <v>12.011</v>
      </c>
      <c r="AC12" s="11" t="s">
        <v>77</v>
      </c>
      <c r="AD12" s="11"/>
      <c r="AE12" s="9"/>
      <c r="AF12" s="9"/>
      <c r="AG12" s="9" t="s">
        <v>14</v>
      </c>
      <c r="AH12" s="9"/>
      <c r="AI12" s="9"/>
      <c r="AJ12" s="19">
        <v>11.759</v>
      </c>
      <c r="AK12" s="11" t="s">
        <v>77</v>
      </c>
      <c r="AL12" s="11"/>
      <c r="AM12" s="9"/>
      <c r="AN12" s="9" t="s">
        <v>14</v>
      </c>
      <c r="AO12" s="9"/>
      <c r="AP12" s="9"/>
      <c r="AQ12" s="19">
        <v>11.627</v>
      </c>
      <c r="AR12" s="11" t="s">
        <v>77</v>
      </c>
      <c r="AS12" s="11"/>
      <c r="AT12" s="9"/>
      <c r="AU12" s="9" t="s">
        <v>14</v>
      </c>
      <c r="AV12" s="9"/>
      <c r="AW12" s="9"/>
      <c r="AX12" s="19">
        <v>12.038</v>
      </c>
      <c r="AY12" s="11" t="s">
        <v>77</v>
      </c>
      <c r="AZ12" s="11"/>
      <c r="BA12" s="9"/>
      <c r="BB12" s="9" t="s">
        <v>14</v>
      </c>
      <c r="BC12" s="9"/>
      <c r="BD12" s="9"/>
      <c r="BE12" s="19">
        <v>11.9</v>
      </c>
      <c r="BF12" s="11" t="s">
        <v>77</v>
      </c>
      <c r="BG12" s="11"/>
      <c r="BH12" s="9"/>
      <c r="BI12" s="9" t="s">
        <v>14</v>
      </c>
      <c r="BJ12" s="9"/>
      <c r="BK12" s="9"/>
      <c r="BL12" s="19">
        <v>12.872</v>
      </c>
      <c r="BM12" s="11" t="s">
        <v>77</v>
      </c>
      <c r="BN12" s="11"/>
      <c r="BO12" s="9"/>
      <c r="BP12" s="9" t="s">
        <v>14</v>
      </c>
      <c r="BQ12" s="9"/>
      <c r="BR12" s="9"/>
      <c r="BS12" s="19">
        <v>13.164</v>
      </c>
      <c r="BT12" s="11" t="s">
        <v>77</v>
      </c>
      <c r="BU12" s="11"/>
      <c r="BV12" s="9"/>
      <c r="BW12" s="9" t="s">
        <v>14</v>
      </c>
      <c r="BX12" s="9"/>
      <c r="BY12" s="9"/>
      <c r="BZ12" s="19">
        <v>13.468</v>
      </c>
      <c r="CA12" s="11" t="s">
        <v>77</v>
      </c>
      <c r="CB12" s="11"/>
      <c r="CC12" s="9"/>
      <c r="CD12" s="9" t="s">
        <v>14</v>
      </c>
      <c r="CE12" s="9"/>
      <c r="CF12" s="9"/>
      <c r="CG12" s="19">
        <v>12.7846</v>
      </c>
      <c r="CH12" s="11" t="s">
        <v>77</v>
      </c>
      <c r="CI12" s="11"/>
      <c r="CJ12" s="9"/>
      <c r="CK12" s="9" t="s">
        <v>14</v>
      </c>
      <c r="CL12" s="9"/>
      <c r="CM12" s="9"/>
      <c r="CN12" s="19">
        <v>12.365</v>
      </c>
      <c r="CO12" s="11" t="s">
        <v>77</v>
      </c>
      <c r="CP12" s="11"/>
      <c r="CQ12" s="9"/>
      <c r="CS12" s="7"/>
    </row>
    <row r="13" spans="1:97" ht="12.75">
      <c r="A13" s="9"/>
      <c r="B13" s="9"/>
      <c r="C13" s="9"/>
      <c r="D13" s="10"/>
      <c r="E13" s="9"/>
      <c r="F13" s="11"/>
      <c r="G13" s="9"/>
      <c r="H13" s="9"/>
      <c r="I13" s="9"/>
      <c r="J13" s="9"/>
      <c r="K13" s="9"/>
      <c r="L13" s="10"/>
      <c r="M13" s="9"/>
      <c r="N13" s="11"/>
      <c r="O13" s="9"/>
      <c r="P13" s="9"/>
      <c r="Q13" s="9"/>
      <c r="R13" s="9"/>
      <c r="S13" s="9"/>
      <c r="T13" s="10"/>
      <c r="U13" s="9"/>
      <c r="V13" s="11"/>
      <c r="W13" s="9"/>
      <c r="X13" s="9"/>
      <c r="Y13" s="9"/>
      <c r="Z13" s="9"/>
      <c r="AA13" s="9"/>
      <c r="AB13" s="10"/>
      <c r="AC13" s="9"/>
      <c r="AD13" s="11"/>
      <c r="AE13" s="9"/>
      <c r="AF13" s="9"/>
      <c r="AG13" s="9"/>
      <c r="AH13" s="9"/>
      <c r="AI13" s="9"/>
      <c r="AJ13" s="10"/>
      <c r="AK13" s="9"/>
      <c r="AL13" s="11"/>
      <c r="AM13" s="9"/>
      <c r="AN13" s="9"/>
      <c r="AO13" s="9"/>
      <c r="AP13" s="9"/>
      <c r="AQ13" s="10"/>
      <c r="AR13" s="9"/>
      <c r="AS13" s="11"/>
      <c r="AT13" s="9"/>
      <c r="AU13" s="9"/>
      <c r="AV13" s="9"/>
      <c r="AW13" s="9"/>
      <c r="AX13" s="10"/>
      <c r="AY13" s="9"/>
      <c r="AZ13" s="11"/>
      <c r="BA13" s="9"/>
      <c r="BB13" s="9"/>
      <c r="BC13" s="9"/>
      <c r="BD13" s="9"/>
      <c r="BE13" s="10"/>
      <c r="BF13" s="9"/>
      <c r="BG13" s="11"/>
      <c r="BH13" s="9"/>
      <c r="BI13" s="9"/>
      <c r="BJ13" s="9"/>
      <c r="BK13" s="9"/>
      <c r="BL13" s="10"/>
      <c r="BM13" s="9"/>
      <c r="BN13" s="11"/>
      <c r="BO13" s="9"/>
      <c r="BP13" s="9"/>
      <c r="BQ13" s="9"/>
      <c r="BR13" s="9"/>
      <c r="BS13" s="10"/>
      <c r="BT13" s="9"/>
      <c r="BU13" s="11"/>
      <c r="BV13" s="9"/>
      <c r="BW13" s="9"/>
      <c r="BX13" s="9"/>
      <c r="BY13" s="9"/>
      <c r="BZ13" s="10"/>
      <c r="CA13" s="9"/>
      <c r="CB13" s="11"/>
      <c r="CC13" s="9"/>
      <c r="CD13" s="9"/>
      <c r="CE13" s="9"/>
      <c r="CF13" s="9"/>
      <c r="CG13" s="10"/>
      <c r="CH13" s="9"/>
      <c r="CI13" s="11"/>
      <c r="CJ13" s="9"/>
      <c r="CK13" s="9"/>
      <c r="CL13" s="9"/>
      <c r="CM13" s="9"/>
      <c r="CN13" s="10"/>
      <c r="CO13" s="9"/>
      <c r="CP13" s="11"/>
      <c r="CQ13" s="9"/>
      <c r="CS13" s="7"/>
    </row>
    <row r="14" spans="1:97" ht="12.75">
      <c r="A14" s="9"/>
      <c r="B14" s="9"/>
      <c r="C14" s="9"/>
      <c r="D14" s="10"/>
      <c r="E14" s="9"/>
      <c r="F14" s="11"/>
      <c r="G14" s="9"/>
      <c r="H14" s="9"/>
      <c r="I14" s="9"/>
      <c r="J14" s="9"/>
      <c r="K14" s="9"/>
      <c r="L14" s="10"/>
      <c r="M14" s="9"/>
      <c r="N14" s="11"/>
      <c r="O14" s="9"/>
      <c r="P14" s="9"/>
      <c r="Q14" s="9"/>
      <c r="R14" s="9"/>
      <c r="S14" s="9"/>
      <c r="T14" s="10"/>
      <c r="U14" s="9"/>
      <c r="V14" s="11"/>
      <c r="W14" s="9"/>
      <c r="X14" s="9"/>
      <c r="Y14" s="9"/>
      <c r="Z14" s="9"/>
      <c r="AA14" s="9"/>
      <c r="AB14" s="10"/>
      <c r="AC14" s="9"/>
      <c r="AD14" s="11"/>
      <c r="AE14" s="9"/>
      <c r="AF14" s="9"/>
      <c r="AG14" s="9"/>
      <c r="AH14" s="9"/>
      <c r="AI14" s="9"/>
      <c r="AJ14" s="10"/>
      <c r="AK14" s="9"/>
      <c r="AL14" s="11"/>
      <c r="AM14" s="9"/>
      <c r="AN14" s="9"/>
      <c r="AO14" s="9"/>
      <c r="AP14" s="9"/>
      <c r="AQ14" s="10"/>
      <c r="AR14" s="9"/>
      <c r="AS14" s="11"/>
      <c r="AT14" s="9"/>
      <c r="AU14" s="9"/>
      <c r="AV14" s="9"/>
      <c r="AW14" s="9"/>
      <c r="AX14" s="10"/>
      <c r="AY14" s="9"/>
      <c r="AZ14" s="11"/>
      <c r="BA14" s="9"/>
      <c r="BB14" s="9"/>
      <c r="BC14" s="9"/>
      <c r="BD14" s="9"/>
      <c r="BE14" s="10"/>
      <c r="BF14" s="9"/>
      <c r="BG14" s="11"/>
      <c r="BH14" s="9"/>
      <c r="BI14" s="9"/>
      <c r="BJ14" s="9"/>
      <c r="BK14" s="9"/>
      <c r="BL14" s="10"/>
      <c r="BM14" s="9"/>
      <c r="BN14" s="11"/>
      <c r="BO14" s="9"/>
      <c r="BP14" s="9"/>
      <c r="BQ14" s="9"/>
      <c r="BR14" s="9"/>
      <c r="BS14" s="10"/>
      <c r="BT14" s="9"/>
      <c r="BU14" s="11"/>
      <c r="BV14" s="9"/>
      <c r="BW14" s="9"/>
      <c r="BX14" s="9"/>
      <c r="BY14" s="9"/>
      <c r="BZ14" s="10"/>
      <c r="CA14" s="9"/>
      <c r="CB14" s="11"/>
      <c r="CC14" s="9"/>
      <c r="CD14" s="9"/>
      <c r="CE14" s="9"/>
      <c r="CF14" s="9"/>
      <c r="CG14" s="10"/>
      <c r="CH14" s="9"/>
      <c r="CI14" s="11"/>
      <c r="CJ14" s="9"/>
      <c r="CK14" s="9"/>
      <c r="CL14" s="9"/>
      <c r="CM14" s="9"/>
      <c r="CN14" s="10"/>
      <c r="CO14" s="9"/>
      <c r="CP14" s="11"/>
      <c r="CQ14" s="9"/>
      <c r="CS14" s="7"/>
    </row>
    <row r="15" spans="1:97" ht="12.75">
      <c r="A15" s="20" t="s">
        <v>133</v>
      </c>
      <c r="B15" s="9"/>
      <c r="C15" s="9"/>
      <c r="D15" s="10"/>
      <c r="E15" s="9"/>
      <c r="F15" s="11"/>
      <c r="G15" s="9"/>
      <c r="H15" s="9"/>
      <c r="I15" s="20" t="s">
        <v>133</v>
      </c>
      <c r="J15" s="9"/>
      <c r="K15" s="9"/>
      <c r="L15" s="10"/>
      <c r="M15" s="9"/>
      <c r="N15" s="11"/>
      <c r="O15" s="9"/>
      <c r="P15" s="9"/>
      <c r="Q15" s="20" t="s">
        <v>133</v>
      </c>
      <c r="R15" s="9"/>
      <c r="S15" s="9"/>
      <c r="T15" s="10"/>
      <c r="U15" s="9"/>
      <c r="V15" s="11"/>
      <c r="W15" s="9"/>
      <c r="X15" s="9"/>
      <c r="Y15" s="20" t="s">
        <v>133</v>
      </c>
      <c r="Z15" s="9"/>
      <c r="AA15" s="9"/>
      <c r="AB15" s="10"/>
      <c r="AC15" s="9"/>
      <c r="AD15" s="11"/>
      <c r="AE15" s="9"/>
      <c r="AF15" s="9"/>
      <c r="AG15" s="20" t="s">
        <v>133</v>
      </c>
      <c r="AH15" s="9"/>
      <c r="AI15" s="9"/>
      <c r="AJ15" s="10"/>
      <c r="AK15" s="9"/>
      <c r="AL15" s="11"/>
      <c r="AM15" s="9"/>
      <c r="AN15" s="20" t="s">
        <v>133</v>
      </c>
      <c r="AO15" s="9"/>
      <c r="AP15" s="9"/>
      <c r="AQ15" s="10"/>
      <c r="AR15" s="9"/>
      <c r="AS15" s="11"/>
      <c r="AT15" s="9"/>
      <c r="AU15" s="20" t="s">
        <v>133</v>
      </c>
      <c r="AV15" s="9"/>
      <c r="AW15" s="9"/>
      <c r="AX15" s="10"/>
      <c r="AY15" s="9"/>
      <c r="AZ15" s="11"/>
      <c r="BA15" s="9"/>
      <c r="BB15" s="20" t="s">
        <v>133</v>
      </c>
      <c r="BC15" s="9"/>
      <c r="BD15" s="9"/>
      <c r="BE15" s="10"/>
      <c r="BF15" s="9"/>
      <c r="BG15" s="11"/>
      <c r="BH15" s="9"/>
      <c r="BI15" s="20" t="s">
        <v>133</v>
      </c>
      <c r="BJ15" s="9"/>
      <c r="BK15" s="9"/>
      <c r="BL15" s="10"/>
      <c r="BM15" s="9"/>
      <c r="BN15" s="11"/>
      <c r="BO15" s="9"/>
      <c r="BP15" s="20" t="s">
        <v>133</v>
      </c>
      <c r="BQ15" s="9"/>
      <c r="BR15" s="9"/>
      <c r="BS15" s="10"/>
      <c r="BT15" s="9"/>
      <c r="BU15" s="11"/>
      <c r="BV15" s="9"/>
      <c r="BW15" s="20" t="s">
        <v>133</v>
      </c>
      <c r="BX15" s="9"/>
      <c r="BY15" s="9"/>
      <c r="BZ15" s="10"/>
      <c r="CA15" s="9"/>
      <c r="CB15" s="11"/>
      <c r="CC15" s="9"/>
      <c r="CD15" s="20" t="s">
        <v>133</v>
      </c>
      <c r="CE15" s="9"/>
      <c r="CF15" s="9"/>
      <c r="CG15" s="10"/>
      <c r="CH15" s="9"/>
      <c r="CI15" s="11"/>
      <c r="CJ15" s="9"/>
      <c r="CK15" s="20" t="s">
        <v>133</v>
      </c>
      <c r="CL15" s="9"/>
      <c r="CM15" s="9"/>
      <c r="CN15" s="10"/>
      <c r="CO15" s="9"/>
      <c r="CP15" s="11"/>
      <c r="CQ15" s="9"/>
      <c r="CS15" s="7"/>
    </row>
    <row r="16" spans="1:95" ht="12.75">
      <c r="A16" s="20"/>
      <c r="B16" s="9"/>
      <c r="C16" s="9"/>
      <c r="D16" s="10"/>
      <c r="E16" s="9"/>
      <c r="F16" s="11"/>
      <c r="G16" s="9"/>
      <c r="H16" s="9"/>
      <c r="I16" s="20"/>
      <c r="J16" s="9"/>
      <c r="K16" s="9"/>
      <c r="L16" s="10"/>
      <c r="M16" s="9"/>
      <c r="N16" s="11"/>
      <c r="O16" s="9"/>
      <c r="P16" s="9"/>
      <c r="Q16" s="20"/>
      <c r="R16" s="9"/>
      <c r="S16" s="9"/>
      <c r="T16" s="10"/>
      <c r="U16" s="9"/>
      <c r="V16" s="11"/>
      <c r="W16" s="9"/>
      <c r="X16" s="9"/>
      <c r="Y16" s="20"/>
      <c r="Z16" s="9"/>
      <c r="AA16" s="9"/>
      <c r="AB16" s="10"/>
      <c r="AC16" s="9"/>
      <c r="AD16" s="11"/>
      <c r="AE16" s="9"/>
      <c r="AF16" s="9"/>
      <c r="AG16" s="20"/>
      <c r="AH16" s="9"/>
      <c r="AI16" s="9"/>
      <c r="AJ16" s="10"/>
      <c r="AK16" s="9"/>
      <c r="AL16" s="11"/>
      <c r="AM16" s="9"/>
      <c r="AN16" s="20"/>
      <c r="AO16" s="9"/>
      <c r="AP16" s="9"/>
      <c r="AQ16" s="10"/>
      <c r="AR16" s="9"/>
      <c r="AS16" s="11"/>
      <c r="AT16" s="9"/>
      <c r="AU16" s="20"/>
      <c r="AV16" s="9"/>
      <c r="AW16" s="9"/>
      <c r="AX16" s="10"/>
      <c r="AY16" s="9"/>
      <c r="AZ16" s="11"/>
      <c r="BA16" s="9"/>
      <c r="BB16" s="20"/>
      <c r="BC16" s="9"/>
      <c r="BD16" s="9"/>
      <c r="BE16" s="10"/>
      <c r="BF16" s="9"/>
      <c r="BG16" s="11"/>
      <c r="BH16" s="9"/>
      <c r="BI16" s="20"/>
      <c r="BJ16" s="9"/>
      <c r="BK16" s="9"/>
      <c r="BL16" s="10"/>
      <c r="BM16" s="9"/>
      <c r="BN16" s="11"/>
      <c r="BO16" s="9"/>
      <c r="BP16" s="20"/>
      <c r="BQ16" s="9"/>
      <c r="BR16" s="9"/>
      <c r="BS16" s="10"/>
      <c r="BT16" s="9"/>
      <c r="BU16" s="11"/>
      <c r="BV16" s="9"/>
      <c r="BW16" s="20"/>
      <c r="BX16" s="9"/>
      <c r="BY16" s="9"/>
      <c r="BZ16" s="10"/>
      <c r="CA16" s="9"/>
      <c r="CB16" s="11"/>
      <c r="CC16" s="9"/>
      <c r="CD16" s="20"/>
      <c r="CE16" s="9"/>
      <c r="CF16" s="9"/>
      <c r="CG16" s="10"/>
      <c r="CH16" s="9"/>
      <c r="CI16" s="11"/>
      <c r="CJ16" s="9"/>
      <c r="CK16" s="20"/>
      <c r="CL16" s="9"/>
      <c r="CM16" s="9"/>
      <c r="CN16" s="10"/>
      <c r="CO16" s="9"/>
      <c r="CP16" s="11"/>
      <c r="CQ16" s="9"/>
    </row>
    <row r="17" spans="1:97" s="30" customFormat="1" ht="12.75">
      <c r="A17" s="26"/>
      <c r="B17" s="27"/>
      <c r="C17" s="27"/>
      <c r="D17" s="28" t="s">
        <v>143</v>
      </c>
      <c r="E17" s="27" t="s">
        <v>96</v>
      </c>
      <c r="F17" s="29" t="s">
        <v>97</v>
      </c>
      <c r="G17" s="27" t="s">
        <v>96</v>
      </c>
      <c r="H17" s="27"/>
      <c r="I17" s="28" t="s">
        <v>143</v>
      </c>
      <c r="J17" s="27" t="s">
        <v>96</v>
      </c>
      <c r="K17" s="29" t="s">
        <v>97</v>
      </c>
      <c r="L17" s="27" t="s">
        <v>96</v>
      </c>
      <c r="M17" s="13"/>
      <c r="N17" s="53"/>
      <c r="O17" s="13"/>
      <c r="P17" s="27"/>
      <c r="Q17" s="28" t="s">
        <v>143</v>
      </c>
      <c r="R17" s="27" t="s">
        <v>96</v>
      </c>
      <c r="S17" s="29" t="s">
        <v>97</v>
      </c>
      <c r="T17" s="27" t="s">
        <v>96</v>
      </c>
      <c r="U17" s="13"/>
      <c r="V17" s="53"/>
      <c r="W17" s="13"/>
      <c r="X17" s="27"/>
      <c r="Y17" s="28" t="s">
        <v>143</v>
      </c>
      <c r="Z17" s="27" t="s">
        <v>96</v>
      </c>
      <c r="AA17" s="29" t="s">
        <v>97</v>
      </c>
      <c r="AB17" s="27" t="s">
        <v>96</v>
      </c>
      <c r="AC17" s="13"/>
      <c r="AD17" s="53"/>
      <c r="AE17" s="13"/>
      <c r="AF17" s="27"/>
      <c r="AG17" s="28" t="s">
        <v>143</v>
      </c>
      <c r="AH17" s="27" t="s">
        <v>96</v>
      </c>
      <c r="AI17" s="29" t="s">
        <v>97</v>
      </c>
      <c r="AJ17" s="27" t="s">
        <v>96</v>
      </c>
      <c r="AK17" s="13"/>
      <c r="AL17" s="53"/>
      <c r="AM17" s="13"/>
      <c r="AN17" s="28" t="s">
        <v>143</v>
      </c>
      <c r="AO17" s="45" t="s">
        <v>96</v>
      </c>
      <c r="AP17" s="93" t="s">
        <v>97</v>
      </c>
      <c r="AQ17" s="45" t="s">
        <v>96</v>
      </c>
      <c r="AR17" s="13"/>
      <c r="AS17" s="53"/>
      <c r="AT17" s="13"/>
      <c r="AU17" s="28" t="s">
        <v>143</v>
      </c>
      <c r="AV17" s="45" t="s">
        <v>96</v>
      </c>
      <c r="AW17" s="93" t="s">
        <v>97</v>
      </c>
      <c r="AX17" s="45" t="s">
        <v>96</v>
      </c>
      <c r="AY17" s="13"/>
      <c r="AZ17" s="53"/>
      <c r="BA17" s="13"/>
      <c r="BB17" s="28" t="s">
        <v>143</v>
      </c>
      <c r="BC17" s="45" t="s">
        <v>96</v>
      </c>
      <c r="BD17" s="93" t="s">
        <v>97</v>
      </c>
      <c r="BE17" s="45" t="s">
        <v>96</v>
      </c>
      <c r="BF17" s="13"/>
      <c r="BG17" s="53"/>
      <c r="BH17" s="13"/>
      <c r="BI17" s="28" t="s">
        <v>143</v>
      </c>
      <c r="BJ17" s="45" t="s">
        <v>96</v>
      </c>
      <c r="BK17" s="93" t="s">
        <v>97</v>
      </c>
      <c r="BL17" s="45" t="s">
        <v>96</v>
      </c>
      <c r="BM17" s="13"/>
      <c r="BN17" s="53"/>
      <c r="BO17" s="13"/>
      <c r="BP17" s="28" t="s">
        <v>143</v>
      </c>
      <c r="BQ17" s="45" t="s">
        <v>96</v>
      </c>
      <c r="BR17" s="93" t="s">
        <v>97</v>
      </c>
      <c r="BS17" s="45" t="s">
        <v>96</v>
      </c>
      <c r="BT17" s="13"/>
      <c r="BU17" s="53"/>
      <c r="BV17" s="13"/>
      <c r="BW17" s="28" t="s">
        <v>143</v>
      </c>
      <c r="BX17" s="45" t="s">
        <v>96</v>
      </c>
      <c r="BY17" s="93" t="s">
        <v>97</v>
      </c>
      <c r="BZ17" s="45" t="s">
        <v>96</v>
      </c>
      <c r="CA17" s="13"/>
      <c r="CB17" s="53"/>
      <c r="CC17" s="13"/>
      <c r="CD17" s="28" t="s">
        <v>143</v>
      </c>
      <c r="CE17" s="45" t="s">
        <v>96</v>
      </c>
      <c r="CF17" s="93" t="s">
        <v>97</v>
      </c>
      <c r="CG17" s="45" t="s">
        <v>96</v>
      </c>
      <c r="CH17" s="13"/>
      <c r="CI17" s="53"/>
      <c r="CJ17" s="13"/>
      <c r="CK17" s="28" t="s">
        <v>143</v>
      </c>
      <c r="CL17" s="45" t="s">
        <v>96</v>
      </c>
      <c r="CM17" s="93" t="s">
        <v>97</v>
      </c>
      <c r="CN17" s="45" t="s">
        <v>96</v>
      </c>
      <c r="CO17" s="13"/>
      <c r="CP17" s="53"/>
      <c r="CQ17" s="13"/>
      <c r="CS17" s="106"/>
    </row>
    <row r="18" spans="1:95" ht="12.75">
      <c r="A18" s="13"/>
      <c r="B18" s="9"/>
      <c r="C18" s="9"/>
      <c r="D18" s="10"/>
      <c r="E18" s="9"/>
      <c r="F18" s="11"/>
      <c r="G18" s="9"/>
      <c r="H18" s="9"/>
      <c r="I18" s="10"/>
      <c r="J18" s="9"/>
      <c r="K18" s="11"/>
      <c r="L18" s="9"/>
      <c r="M18" s="9"/>
      <c r="N18" s="11"/>
      <c r="O18" s="9"/>
      <c r="P18" s="9"/>
      <c r="Q18" s="10"/>
      <c r="R18" s="9"/>
      <c r="S18" s="11"/>
      <c r="T18" s="9"/>
      <c r="U18" s="9"/>
      <c r="V18" s="11"/>
      <c r="W18" s="9"/>
      <c r="X18" s="9"/>
      <c r="Y18" s="10"/>
      <c r="Z18" s="9"/>
      <c r="AA18" s="11"/>
      <c r="AB18" s="9"/>
      <c r="AC18" s="9"/>
      <c r="AD18" s="11"/>
      <c r="AE18" s="9"/>
      <c r="AF18" s="9"/>
      <c r="AG18" s="10"/>
      <c r="AH18" s="9"/>
      <c r="AI18" s="11"/>
      <c r="AJ18" s="9"/>
      <c r="AK18" s="9"/>
      <c r="AL18" s="11"/>
      <c r="AM18" s="9"/>
      <c r="AN18" s="10"/>
      <c r="AO18" s="9"/>
      <c r="AP18" s="11"/>
      <c r="AQ18" s="9"/>
      <c r="AR18" s="9"/>
      <c r="AS18" s="11"/>
      <c r="AT18" s="9"/>
      <c r="AU18" s="10"/>
      <c r="AV18" s="9"/>
      <c r="AW18" s="11"/>
      <c r="AX18" s="9"/>
      <c r="AY18" s="9"/>
      <c r="AZ18" s="11"/>
      <c r="BA18" s="9"/>
      <c r="BB18" s="10"/>
      <c r="BC18" s="9"/>
      <c r="BD18" s="11"/>
      <c r="BE18" s="9"/>
      <c r="BF18" s="9"/>
      <c r="BG18" s="11"/>
      <c r="BH18" s="9"/>
      <c r="BI18" s="10"/>
      <c r="BJ18" s="9"/>
      <c r="BK18" s="11"/>
      <c r="BL18" s="9"/>
      <c r="BM18" s="9"/>
      <c r="BN18" s="11"/>
      <c r="BO18" s="9"/>
      <c r="BP18" s="10"/>
      <c r="BQ18" s="9"/>
      <c r="BR18" s="11"/>
      <c r="BS18" s="9"/>
      <c r="BT18" s="9"/>
      <c r="BU18" s="11"/>
      <c r="BV18" s="9"/>
      <c r="BW18" s="10"/>
      <c r="BX18" s="9"/>
      <c r="BY18" s="11"/>
      <c r="BZ18" s="9"/>
      <c r="CA18" s="9"/>
      <c r="CB18" s="11"/>
      <c r="CC18" s="9"/>
      <c r="CD18" s="10"/>
      <c r="CE18" s="9"/>
      <c r="CF18" s="11"/>
      <c r="CG18" s="9"/>
      <c r="CH18" s="9"/>
      <c r="CI18" s="11"/>
      <c r="CJ18" s="9"/>
      <c r="CK18" s="10"/>
      <c r="CL18" s="9"/>
      <c r="CM18" s="11"/>
      <c r="CN18" s="9"/>
      <c r="CO18" s="9"/>
      <c r="CP18" s="11"/>
      <c r="CQ18" s="9"/>
    </row>
    <row r="19" spans="1:95" ht="12.75">
      <c r="A19" s="9" t="s">
        <v>24</v>
      </c>
      <c r="B19" s="9"/>
      <c r="C19" s="9"/>
      <c r="D19" s="10">
        <f>+'SECURED LOANS'!D78+'RETAIL CREDIT'!D20+'UNSECURED LOANS'!D19+'CAR FINANCE'!D20+'UCL LOANS'!D19</f>
        <v>21834632.980000015</v>
      </c>
      <c r="E19" s="15">
        <f>+D19/$D$33</f>
        <v>0.05711129222619798</v>
      </c>
      <c r="F19" s="11">
        <f>+'SECURED LOANS'!F78+'RETAIL CREDIT'!F20+'UNSECURED LOANS'!F19+'CAR FINANCE'!F20+'UCL LOANS'!F19</f>
        <v>11811</v>
      </c>
      <c r="G19" s="15">
        <f>+F19/$F$33</f>
        <v>0.17271078875793291</v>
      </c>
      <c r="H19" s="15"/>
      <c r="I19" s="10">
        <f>+'SECURED LOANS'!J78+'RETAIL CREDIT'!J20+'UCL LOANS'!J19+'UNSECURED LOANS'!J19+'CAR FINANCE'!I20</f>
        <v>23332608.530000024</v>
      </c>
      <c r="J19" s="15">
        <f>+I19/$I$33</f>
        <v>0.0657910240637199</v>
      </c>
      <c r="K19" s="11">
        <f>+'SECURED LOANS'!L78+'RETAIL CREDIT'!L20+'UCL LOANS'!L19+'UNSECURED LOANS'!L19+'CAR FINANCE'!K20</f>
        <v>11494</v>
      </c>
      <c r="L19" s="15">
        <f>+K19/$K$33</f>
        <v>0.18899010161465354</v>
      </c>
      <c r="M19" s="15"/>
      <c r="N19" s="11"/>
      <c r="O19" s="15"/>
      <c r="P19" s="15"/>
      <c r="Q19" s="10">
        <f>+'SECURED LOANS'!R78+'RETAIL CREDIT'!R20+'UCL LOANS'!R19+'UNSECURED LOANS'!R19+'CAR FINANCE'!Q20</f>
        <v>26604962.769999996</v>
      </c>
      <c r="R19" s="15">
        <f>+Q19/$Q$33</f>
        <v>0.0743758160134469</v>
      </c>
      <c r="S19" s="11">
        <f>+'SECURED LOANS'!T78+'RETAIL CREDIT'!T20+'UCL LOANS'!T19+'UNSECURED LOANS'!T19+'CAR FINANCE'!S20</f>
        <v>13972</v>
      </c>
      <c r="T19" s="15">
        <f>+S19/$S$33</f>
        <v>0.22450750393675484</v>
      </c>
      <c r="U19" s="15"/>
      <c r="V19" s="11"/>
      <c r="W19" s="15"/>
      <c r="X19" s="15"/>
      <c r="Y19" s="10">
        <f>+'SECURED LOANS'!Y78+'RETAIL CREDIT'!Z20+'UCL LOANS'!Z19+'UNSECURED LOANS'!Z19+'CAR FINANCE'!Y20</f>
        <v>29030312.35000001</v>
      </c>
      <c r="Z19" s="15">
        <f>+Y19/$Y$33</f>
        <v>0.08105130264233736</v>
      </c>
      <c r="AA19" s="11">
        <f>+'SECURED LOANS'!AA78+'RETAIL CREDIT'!AB20+'UCL LOANS'!AB19+'UNSECURED LOANS'!AB19+'CAR FINANCE'!AA20</f>
        <v>13977</v>
      </c>
      <c r="AB19" s="15">
        <f>+AA19/$AA$33</f>
        <v>0.22971107385859382</v>
      </c>
      <c r="AC19" s="15"/>
      <c r="AD19" s="11"/>
      <c r="AE19" s="15"/>
      <c r="AF19" s="15"/>
      <c r="AG19" s="10">
        <f>+'SECURED LOANS'!AG78+'RETAIL CREDIT'!AH20+'UCL LOANS'!AG19+'UNSECURED LOANS'!AH19+'CAR FINANCE'!AG20</f>
        <v>28951230.579999987</v>
      </c>
      <c r="AH19" s="15">
        <f>+AG19/$AG$33</f>
        <v>0.07600290387175512</v>
      </c>
      <c r="AI19" s="11">
        <f>+'SECURED LOANS'!AI78+'RETAIL CREDIT'!AJ20+'UCL LOANS'!AI19+'UNSECURED LOANS'!AJ19+'CAR FINANCE'!AI20</f>
        <v>13800</v>
      </c>
      <c r="AJ19" s="15">
        <f>+AI19/$AI$33</f>
        <v>0.22058118346600172</v>
      </c>
      <c r="AK19" s="15"/>
      <c r="AL19" s="11"/>
      <c r="AM19" s="15"/>
      <c r="AN19" s="10">
        <f>+'SECURED LOANS'!AN78+'RETAIL CREDIT'!AO20+'UCL LOANS'!AN19+'UNSECURED LOANS'!AO19+'CAR FINANCE'!AN20</f>
        <v>30478614.809999976</v>
      </c>
      <c r="AO19" s="15">
        <f aca="true" t="shared" si="0" ref="AO19:AO31">+AN19/$AN$33</f>
        <v>0.08017953432535449</v>
      </c>
      <c r="AP19" s="11">
        <f>+'SECURED LOANS'!AP78+'RETAIL CREDIT'!AQ20+'UCL LOANS'!AP19+'UNSECURED LOANS'!AQ19+'CAR FINANCE'!AP20</f>
        <v>14128</v>
      </c>
      <c r="AQ19" s="15">
        <f aca="true" t="shared" si="1" ref="AQ19:AQ31">+AP19/$AP$33</f>
        <v>0.22714556738158784</v>
      </c>
      <c r="AR19" s="15"/>
      <c r="AS19" s="11"/>
      <c r="AT19" s="15"/>
      <c r="AU19" s="10">
        <f>+'SECURED LOANS'!AU78+'RETAIL CREDIT'!AV20+'UCL LOANS'!AU19+'UNSECURED LOANS'!AV19+'CAR FINANCE'!AU20</f>
        <v>30707409.84000006</v>
      </c>
      <c r="AV19" s="15">
        <f aca="true" t="shared" si="2" ref="AV19:AV31">+AU19/$AU$33</f>
        <v>0.08041650893924591</v>
      </c>
      <c r="AW19" s="11">
        <f>+'SECURED LOANS'!AW78+'RETAIL CREDIT'!AX20+'UCL LOANS'!AW19+'UNSECURED LOANS'!AX19+'CAR FINANCE'!AW20</f>
        <v>15679</v>
      </c>
      <c r="AX19" s="15">
        <f aca="true" t="shared" si="3" ref="AX19:AX31">+AW19/$AW$33</f>
        <v>0.2481443380549181</v>
      </c>
      <c r="AY19" s="15"/>
      <c r="AZ19" s="11"/>
      <c r="BA19" s="15"/>
      <c r="BB19" s="10">
        <f>+'SECURED LOANS'!BB78+'RETAIL CREDIT'!BC20+'UCL LOANS'!BB19+'UNSECURED LOANS'!BC19+'CAR FINANCE'!BB20</f>
        <v>29599989.410000004</v>
      </c>
      <c r="BC19" s="15">
        <f aca="true" t="shared" si="4" ref="BC19:BC31">+BB19/$BB$33</f>
        <v>0.08202413576432352</v>
      </c>
      <c r="BD19" s="11">
        <f>+'SECURED LOANS'!BD78+'RETAIL CREDIT'!BE20+'UCL LOANS'!BD19+'UNSECURED LOANS'!BE19+'CAR FINANCE'!BD20</f>
        <v>14893</v>
      </c>
      <c r="BE19" s="15">
        <f aca="true" t="shared" si="5" ref="BE19:BE31">+BD19/$BD$33</f>
        <v>0.2493929701759968</v>
      </c>
      <c r="BF19" s="15"/>
      <c r="BG19" s="11"/>
      <c r="BH19" s="15"/>
      <c r="BI19" s="10">
        <f>+'SECURED LOANS'!BI78+'RETAIL CREDIT'!BJ20+'UCL LOANS'!BI19+'UNSECURED LOANS'!BJ19+'CAR FINANCE'!BI20</f>
        <v>19571113.399999984</v>
      </c>
      <c r="BJ19" s="15">
        <f aca="true" t="shared" si="6" ref="BJ19:BJ31">+BI19/$BB$33</f>
        <v>0.054233251246983125</v>
      </c>
      <c r="BK19" s="11">
        <f>+'SECURED LOANS'!BK78+'RETAIL CREDIT'!BL20+'UCL LOANS'!BK19+'UNSECURED LOANS'!BL19+'CAR FINANCE'!BK20</f>
        <v>11771</v>
      </c>
      <c r="BL19" s="15">
        <f aca="true" t="shared" si="7" ref="BL19:BL31">+BK19/$BD$33</f>
        <v>0.1971130498852923</v>
      </c>
      <c r="BM19" s="15"/>
      <c r="BN19" s="11"/>
      <c r="BO19" s="15"/>
      <c r="BP19" s="10">
        <f>+'SECURED LOANS'!BP78+'RETAIL CREDIT'!BQ20+'UCL LOANS'!BP19+'UNSECURED LOANS'!BQ19+'CAR FINANCE'!BP20</f>
        <v>19279825.489999987</v>
      </c>
      <c r="BQ19" s="15">
        <f>+BP19/$BP$33</f>
        <v>0.05671855942295922</v>
      </c>
      <c r="BR19" s="11">
        <f>+'SECURED LOANS'!BR78+'RETAIL CREDIT'!BS20+'UCL LOANS'!BR19+'UNSECURED LOANS'!BS19+'CAR FINANCE'!BR20</f>
        <v>9350</v>
      </c>
      <c r="BS19" s="15">
        <f>+BR19/$BR$33</f>
        <v>0.18770200550057214</v>
      </c>
      <c r="BT19" s="15"/>
      <c r="BU19" s="11"/>
      <c r="BV19" s="15"/>
      <c r="BW19" s="10">
        <f>+'SECURED LOANS'!BW78+'RETAIL CREDIT'!BX20+'UCL LOANS'!BW19+'UNSECURED LOANS'!BX19+'CAR FINANCE'!BW20</f>
        <v>20042715.96</v>
      </c>
      <c r="BX19" s="15">
        <f>+BW19/$BW$33</f>
        <v>0.06094664199172725</v>
      </c>
      <c r="BY19" s="11">
        <f>+'SECURED LOANS'!BY78+'RETAIL CREDIT'!BZ20+'UCL LOANS'!BY19+'UNSECURED LOANS'!BZ19+'CAR FINANCE'!BY20</f>
        <v>8055</v>
      </c>
      <c r="BZ19" s="15">
        <f>+BY19/$BY$33</f>
        <v>0.17722772277227722</v>
      </c>
      <c r="CA19" s="15"/>
      <c r="CB19" s="11"/>
      <c r="CC19" s="15"/>
      <c r="CD19" s="10">
        <f>+'SECURED LOANS'!CD78+'RETAIL CREDIT'!CE20+'UCL LOANS'!CD19+'UNSECURED LOANS'!CE19+'CAR FINANCE'!CD20</f>
        <v>27060686.29</v>
      </c>
      <c r="CE19" s="15">
        <f aca="true" t="shared" si="8" ref="CE19:CE31">+CD19/$CD$33</f>
        <v>0.0816836565456082</v>
      </c>
      <c r="CF19" s="11">
        <f>+'SECURED LOANS'!CF78+'RETAIL CREDIT'!CG20+'UCL LOANS'!CF19+'UNSECURED LOANS'!CG19+'CAR FINANCE'!CF20</f>
        <v>17385</v>
      </c>
      <c r="CG19" s="15">
        <f aca="true" t="shared" si="9" ref="CG19:CG31">+CF19/$CF$33</f>
        <v>0.31050742110057333</v>
      </c>
      <c r="CH19" s="15"/>
      <c r="CI19" s="11"/>
      <c r="CJ19" s="15"/>
      <c r="CK19" s="10">
        <f>+'SECURED LOANS'!CK78+'RETAIL CREDIT'!CL20+'UCL LOANS'!CK19+'UNSECURED LOANS'!CL19+'CAR FINANCE'!CK20</f>
        <v>29830519.730000064</v>
      </c>
      <c r="CL19" s="15">
        <f aca="true" t="shared" si="10" ref="CL19:CL31">+CK19/$CD$33</f>
        <v>0.09004449857957814</v>
      </c>
      <c r="CM19" s="11">
        <f>+'SECURED LOANS'!CM78+'RETAIL CREDIT'!CN20+'UCL LOANS'!CM19+'UNSECURED LOANS'!CN19+'CAR FINANCE'!CM20</f>
        <v>17595</v>
      </c>
      <c r="CN19" s="15">
        <f aca="true" t="shared" si="11" ref="CN19:CN31">+CM19/$CF$33</f>
        <v>0.3142581578524353</v>
      </c>
      <c r="CO19" s="15"/>
      <c r="CP19" s="11"/>
      <c r="CQ19" s="15"/>
    </row>
    <row r="20" spans="1:95" ht="12.75">
      <c r="A20" s="9" t="s">
        <v>25</v>
      </c>
      <c r="B20" s="9"/>
      <c r="C20" s="9"/>
      <c r="D20" s="10">
        <f>+'SECURED LOANS'!D79+'RETAIL CREDIT'!D21+'UNSECURED LOANS'!D20+'CAR FINANCE'!D21+'UCL LOANS'!D20</f>
        <v>27756680.990000032</v>
      </c>
      <c r="E20" s="15">
        <f aca="true" t="shared" si="12" ref="E20:E31">+D20/$D$33</f>
        <v>0.0726011708418121</v>
      </c>
      <c r="F20" s="11">
        <f>+'SECURED LOANS'!F79+'RETAIL CREDIT'!F21+'UNSECURED LOANS'!F20+'CAR FINANCE'!F21+'UCL LOANS'!F20</f>
        <v>8609</v>
      </c>
      <c r="G20" s="15">
        <f aca="true" t="shared" si="13" ref="G20:G31">+F20/$F$33</f>
        <v>0.12588833971865587</v>
      </c>
      <c r="H20" s="15"/>
      <c r="I20" s="10">
        <f>+'SECURED LOANS'!J79+'RETAIL CREDIT'!J21+'UCL LOANS'!J20+'UNSECURED LOANS'!J20+'CAR FINANCE'!I21</f>
        <v>24521693.200000003</v>
      </c>
      <c r="J20" s="15">
        <f aca="true" t="shared" si="14" ref="J20:J31">+I20/$I$33</f>
        <v>0.06914388956254242</v>
      </c>
      <c r="K20" s="11">
        <f>+'SECURED LOANS'!L79+'RETAIL CREDIT'!L21+'UCL LOANS'!L20+'UNSECURED LOANS'!L20+'CAR FINANCE'!K21</f>
        <v>7154</v>
      </c>
      <c r="L20" s="15">
        <f aca="true" t="shared" si="15" ref="L20:L31">+K20/$K$33</f>
        <v>0.11762964911703772</v>
      </c>
      <c r="M20" s="15"/>
      <c r="N20" s="11"/>
      <c r="O20" s="15"/>
      <c r="P20" s="15"/>
      <c r="Q20" s="10">
        <f>+'SECURED LOANS'!R79+'RETAIL CREDIT'!R21+'UCL LOANS'!R20+'UNSECURED LOANS'!R20+'CAR FINANCE'!Q21</f>
        <v>23660363.73000001</v>
      </c>
      <c r="R20" s="15">
        <f aca="true" t="shared" si="16" ref="R20:R30">+Q20/$Q$33</f>
        <v>0.06614400759763639</v>
      </c>
      <c r="S20" s="11">
        <f>+'SECURED LOANS'!T79+'RETAIL CREDIT'!T21+'UCL LOANS'!T20+'UNSECURED LOANS'!T20+'CAR FINANCE'!S21</f>
        <v>7126</v>
      </c>
      <c r="T20" s="15">
        <f aca="true" t="shared" si="17" ref="T20:T31">+S20/$S$33</f>
        <v>0.11450332615612045</v>
      </c>
      <c r="U20" s="15"/>
      <c r="V20" s="11"/>
      <c r="W20" s="15"/>
      <c r="X20" s="15"/>
      <c r="Y20" s="10">
        <f>+'SECURED LOANS'!Y79+'RETAIL CREDIT'!Z21+'UCL LOANS'!Z20+'UNSECURED LOANS'!Z20+'CAR FINANCE'!Y21</f>
        <v>24410662.049999997</v>
      </c>
      <c r="Z20" s="15">
        <f aca="true" t="shared" si="18" ref="Z20:Z31">+Y20/$Y$33</f>
        <v>0.06815345056093991</v>
      </c>
      <c r="AA20" s="11">
        <f>+'SECURED LOANS'!AA79+'RETAIL CREDIT'!AB21+'UCL LOANS'!AB20+'UNSECURED LOANS'!AB20+'CAR FINANCE'!AA21</f>
        <v>7430</v>
      </c>
      <c r="AB20" s="15">
        <f aca="true" t="shared" si="19" ref="AB20:AB31">+AA20/$AA$33</f>
        <v>0.12211156033264306</v>
      </c>
      <c r="AC20" s="15"/>
      <c r="AD20" s="11"/>
      <c r="AE20" s="15"/>
      <c r="AF20" s="15"/>
      <c r="AG20" s="10">
        <f>+'SECURED LOANS'!AG79+'RETAIL CREDIT'!AH21+'UCL LOANS'!AG20+'UNSECURED LOANS'!AH20+'CAR FINANCE'!AG21</f>
        <v>24356193.220000017</v>
      </c>
      <c r="AH20" s="15">
        <f aca="true" t="shared" si="20" ref="AH20:AH31">+AG20/$AG$33</f>
        <v>0.0639399906289426</v>
      </c>
      <c r="AI20" s="11">
        <f>+'SECURED LOANS'!AI79+'RETAIL CREDIT'!AJ21+'UCL LOANS'!AI20+'UNSECURED LOANS'!AJ20+'CAR FINANCE'!AI21</f>
        <v>7500</v>
      </c>
      <c r="AJ20" s="15">
        <f aca="true" t="shared" si="21" ref="AJ20:AJ31">+AI20/$AI$33</f>
        <v>0.11988107797065312</v>
      </c>
      <c r="AK20" s="15"/>
      <c r="AL20" s="11"/>
      <c r="AM20" s="15"/>
      <c r="AN20" s="10">
        <f>+'SECURED LOANS'!AN79+'RETAIL CREDIT'!AO21+'UCL LOANS'!AN20+'UNSECURED LOANS'!AO20+'CAR FINANCE'!AN21</f>
        <v>23644714.880000025</v>
      </c>
      <c r="AO20" s="15">
        <f t="shared" si="0"/>
        <v>0.062201718816701806</v>
      </c>
      <c r="AP20" s="11">
        <f>+'SECURED LOANS'!AP79+'RETAIL CREDIT'!AQ21+'UCL LOANS'!AP20+'UNSECURED LOANS'!AQ20+'CAR FINANCE'!AP21</f>
        <v>7542</v>
      </c>
      <c r="AQ20" s="15">
        <f t="shared" si="1"/>
        <v>0.12125791826103734</v>
      </c>
      <c r="AR20" s="15"/>
      <c r="AS20" s="11"/>
      <c r="AT20" s="15"/>
      <c r="AU20" s="10">
        <f>+'SECURED LOANS'!AU79+'RETAIL CREDIT'!AV21+'UCL LOANS'!AU20+'UNSECURED LOANS'!AV20+'CAR FINANCE'!AU21</f>
        <v>22840692.82999999</v>
      </c>
      <c r="AV20" s="15">
        <f t="shared" si="2"/>
        <v>0.05981516476683273</v>
      </c>
      <c r="AW20" s="11">
        <f>+'SECURED LOANS'!AW79+'RETAIL CREDIT'!AX21+'UCL LOANS'!AW20+'UNSECURED LOANS'!AX20+'CAR FINANCE'!AW21</f>
        <v>7560</v>
      </c>
      <c r="AX20" s="15">
        <f t="shared" si="3"/>
        <v>0.11964865078737041</v>
      </c>
      <c r="AY20" s="15"/>
      <c r="AZ20" s="11"/>
      <c r="BA20" s="15"/>
      <c r="BB20" s="10">
        <f>+'SECURED LOANS'!BB79+'RETAIL CREDIT'!BC21+'UCL LOANS'!BB20+'UNSECURED LOANS'!BC20+'CAR FINANCE'!BB21</f>
        <v>21755599.099999994</v>
      </c>
      <c r="BC20" s="15">
        <f t="shared" si="4"/>
        <v>0.0602866504273048</v>
      </c>
      <c r="BD20" s="11">
        <f>+'SECURED LOANS'!BD79+'RETAIL CREDIT'!BE21+'UCL LOANS'!BD20+'UNSECURED LOANS'!BE20+'CAR FINANCE'!BD21</f>
        <v>7727</v>
      </c>
      <c r="BE20" s="15">
        <f t="shared" si="5"/>
        <v>0.12939364000200948</v>
      </c>
      <c r="BF20" s="15"/>
      <c r="BG20" s="11"/>
      <c r="BH20" s="15"/>
      <c r="BI20" s="10">
        <f>+'SECURED LOANS'!BI79+'RETAIL CREDIT'!BJ21+'UCL LOANS'!BI20+'UNSECURED LOANS'!BJ20+'CAR FINANCE'!BI21</f>
        <v>18259768.520000003</v>
      </c>
      <c r="BJ20" s="15">
        <f t="shared" si="6"/>
        <v>0.050599400944501924</v>
      </c>
      <c r="BK20" s="11">
        <f>+'SECURED LOANS'!BK79+'RETAIL CREDIT'!BL21+'UCL LOANS'!BK20+'UNSECURED LOANS'!BL20+'CAR FINANCE'!BK21</f>
        <v>5764</v>
      </c>
      <c r="BL20" s="15">
        <f t="shared" si="7"/>
        <v>0.09652192842909055</v>
      </c>
      <c r="BM20" s="15"/>
      <c r="BN20" s="11"/>
      <c r="BO20" s="15"/>
      <c r="BP20" s="10">
        <f>+'SECURED LOANS'!BP79+'RETAIL CREDIT'!BQ21+'UCL LOANS'!BP20+'UNSECURED LOANS'!BQ20+'CAR FINANCE'!BP21</f>
        <v>17681713.200000003</v>
      </c>
      <c r="BQ20" s="15">
        <f aca="true" t="shared" si="22" ref="BQ20:BQ31">+BP20/$BP$33</f>
        <v>0.052017135806239255</v>
      </c>
      <c r="BR20" s="11">
        <f>+'SECURED LOANS'!BR79+'RETAIL CREDIT'!BS21+'UCL LOANS'!BR20+'UNSECURED LOANS'!BS20+'CAR FINANCE'!BR21</f>
        <v>5336</v>
      </c>
      <c r="BS20" s="15">
        <f aca="true" t="shared" si="23" ref="BS20:BS31">+BR20/$BR$33</f>
        <v>0.10712063116054042</v>
      </c>
      <c r="BT20" s="15"/>
      <c r="BU20" s="11"/>
      <c r="BV20" s="15"/>
      <c r="BW20" s="10">
        <f>+'SECURED LOANS'!BW79+'RETAIL CREDIT'!BX21+'UCL LOANS'!BW20+'UNSECURED LOANS'!BX20+'CAR FINANCE'!BW21</f>
        <v>17616776.00999999</v>
      </c>
      <c r="BX20" s="15">
        <f aca="true" t="shared" si="24" ref="BX20:BX31">+BW20/$BW$33</f>
        <v>0.05356975285548669</v>
      </c>
      <c r="BY20" s="11">
        <f>+'SECURED LOANS'!BY79+'RETAIL CREDIT'!BZ21+'UCL LOANS'!BY20+'UNSECURED LOANS'!BZ20+'CAR FINANCE'!BY21</f>
        <v>5063</v>
      </c>
      <c r="BZ20" s="15">
        <f aca="true" t="shared" si="25" ref="BZ20:BZ31">+BY20/$BY$33</f>
        <v>0.1113971397139714</v>
      </c>
      <c r="CA20" s="15"/>
      <c r="CB20" s="11"/>
      <c r="CC20" s="15"/>
      <c r="CD20" s="10">
        <f>+'SECURED LOANS'!CD79+'RETAIL CREDIT'!CE21+'UCL LOANS'!CD20+'UNSECURED LOANS'!CE20+'CAR FINANCE'!CD21</f>
        <v>20964150.19000002</v>
      </c>
      <c r="CE20" s="15">
        <f t="shared" si="8"/>
        <v>0.06328104267345648</v>
      </c>
      <c r="CF20" s="11">
        <f>+'SECURED LOANS'!CF79+'RETAIL CREDIT'!CG21+'UCL LOANS'!CF20+'UNSECURED LOANS'!CG20+'CAR FINANCE'!CF21</f>
        <v>7457</v>
      </c>
      <c r="CG20" s="15">
        <f t="shared" si="9"/>
        <v>0.1331868759934987</v>
      </c>
      <c r="CH20" s="15"/>
      <c r="CI20" s="11"/>
      <c r="CJ20" s="15"/>
      <c r="CK20" s="10">
        <f>+'SECURED LOANS'!CK79+'RETAIL CREDIT'!CL21+'UCL LOANS'!CK20+'UNSECURED LOANS'!CL20+'CAR FINANCE'!CK21</f>
        <v>24241003.140000023</v>
      </c>
      <c r="CL20" s="15">
        <f t="shared" si="10"/>
        <v>0.07317234136595033</v>
      </c>
      <c r="CM20" s="11">
        <f>+'SECURED LOANS'!CM79+'RETAIL CREDIT'!CN21+'UCL LOANS'!CM20+'UNSECURED LOANS'!CN20+'CAR FINANCE'!CM21</f>
        <v>7913</v>
      </c>
      <c r="CN20" s="15">
        <f t="shared" si="11"/>
        <v>0.141331332940399</v>
      </c>
      <c r="CO20" s="15"/>
      <c r="CP20" s="11"/>
      <c r="CQ20" s="15"/>
    </row>
    <row r="21" spans="1:95" ht="12.75">
      <c r="A21" s="9" t="s">
        <v>26</v>
      </c>
      <c r="B21" s="9"/>
      <c r="C21" s="9"/>
      <c r="D21" s="10">
        <f>+'SECURED LOANS'!D80+'RETAIL CREDIT'!D22+'UNSECURED LOANS'!D21+'CAR FINANCE'!D22+'UCL LOANS'!D21</f>
        <v>36296282.68999999</v>
      </c>
      <c r="E21" s="15">
        <f t="shared" si="12"/>
        <v>0.09493759795880385</v>
      </c>
      <c r="F21" s="11">
        <f>+'SECURED LOANS'!F80+'RETAIL CREDIT'!F22+'UNSECURED LOANS'!F21+'CAR FINANCE'!F22+'UCL LOANS'!F21</f>
        <v>9054</v>
      </c>
      <c r="G21" s="15">
        <f t="shared" si="13"/>
        <v>0.13239551955078524</v>
      </c>
      <c r="H21" s="15"/>
      <c r="I21" s="10">
        <f>+'SECURED LOANS'!J80+'RETAIL CREDIT'!J22+'UCL LOANS'!J21+'UNSECURED LOANS'!J21+'CAR FINANCE'!I22</f>
        <v>33443530.859999996</v>
      </c>
      <c r="J21" s="15">
        <f t="shared" si="14"/>
        <v>0.09430082113437903</v>
      </c>
      <c r="K21" s="11">
        <f>+'SECURED LOANS'!L80+'RETAIL CREDIT'!L22+'UCL LOANS'!L21+'UNSECURED LOANS'!L21+'CAR FINANCE'!K22</f>
        <v>7737</v>
      </c>
      <c r="L21" s="15">
        <f t="shared" si="15"/>
        <v>0.12721562695254696</v>
      </c>
      <c r="M21" s="15"/>
      <c r="N21" s="11"/>
      <c r="O21" s="15"/>
      <c r="P21" s="15"/>
      <c r="Q21" s="10">
        <f>+'SECURED LOANS'!R80+'RETAIL CREDIT'!R22+'UCL LOANS'!R21+'UNSECURED LOANS'!R21+'CAR FINANCE'!Q22</f>
        <v>31613538.84999997</v>
      </c>
      <c r="R21" s="15">
        <f t="shared" si="16"/>
        <v>0.08837759967448185</v>
      </c>
      <c r="S21" s="11">
        <f>+'SECURED LOANS'!T80+'RETAIL CREDIT'!T22+'UCL LOANS'!T21+'UNSECURED LOANS'!T21+'CAR FINANCE'!S22</f>
        <v>7291</v>
      </c>
      <c r="T21" s="15">
        <f t="shared" si="17"/>
        <v>0.11715461002024617</v>
      </c>
      <c r="U21" s="15"/>
      <c r="V21" s="11"/>
      <c r="W21" s="15"/>
      <c r="X21" s="15"/>
      <c r="Y21" s="10">
        <f>+'SECURED LOANS'!Y80+'RETAIL CREDIT'!Z22+'UCL LOANS'!Z21+'UNSECURED LOANS'!Z21+'CAR FINANCE'!Y22</f>
        <v>28292305.370000016</v>
      </c>
      <c r="Z21" s="15">
        <f t="shared" si="18"/>
        <v>0.07899082095109793</v>
      </c>
      <c r="AA21" s="11">
        <f>+'SECURED LOANS'!AA80+'RETAIL CREDIT'!AB22+'UCL LOANS'!AB21+'UNSECURED LOANS'!AB21+'CAR FINANCE'!AA22</f>
        <v>6642</v>
      </c>
      <c r="AB21" s="15">
        <f t="shared" si="19"/>
        <v>0.10916083226506262</v>
      </c>
      <c r="AC21" s="15"/>
      <c r="AD21" s="11"/>
      <c r="AE21" s="15"/>
      <c r="AF21" s="15"/>
      <c r="AG21" s="10">
        <f>+'SECURED LOANS'!AG80+'RETAIL CREDIT'!AH22+'UCL LOANS'!AG21+'UNSECURED LOANS'!AH21+'CAR FINANCE'!AG22</f>
        <v>30915665.280000016</v>
      </c>
      <c r="AH21" s="15">
        <f t="shared" si="20"/>
        <v>0.08115994689463732</v>
      </c>
      <c r="AI21" s="11">
        <f>+'SECURED LOANS'!AI80+'RETAIL CREDIT'!AJ22+'UCL LOANS'!AI21+'UNSECURED LOANS'!AJ21+'CAR FINANCE'!AI22</f>
        <v>6805</v>
      </c>
      <c r="AJ21" s="15">
        <f t="shared" si="21"/>
        <v>0.10877209807870593</v>
      </c>
      <c r="AK21" s="15"/>
      <c r="AL21" s="11"/>
      <c r="AM21" s="15"/>
      <c r="AN21" s="10">
        <f>+'SECURED LOANS'!AN80+'RETAIL CREDIT'!AO22+'UCL LOANS'!AN21+'UNSECURED LOANS'!AO21+'CAR FINANCE'!AN22</f>
        <v>34790741.62999997</v>
      </c>
      <c r="AO21" s="15">
        <f t="shared" si="0"/>
        <v>0.09152336745342805</v>
      </c>
      <c r="AP21" s="11">
        <f>+'SECURED LOANS'!AP80+'RETAIL CREDIT'!AQ22+'UCL LOANS'!AP21+'UNSECURED LOANS'!AQ21+'CAR FINANCE'!AP22</f>
        <v>7208</v>
      </c>
      <c r="AQ21" s="15">
        <f t="shared" si="1"/>
        <v>0.11588797067429821</v>
      </c>
      <c r="AR21" s="15"/>
      <c r="AS21" s="11"/>
      <c r="AT21" s="15"/>
      <c r="AU21" s="10">
        <f>+'SECURED LOANS'!AU80+'RETAIL CREDIT'!AV22+'UCL LOANS'!AU21+'UNSECURED LOANS'!AV21+'CAR FINANCE'!AU22</f>
        <v>33268660.170000017</v>
      </c>
      <c r="AV21" s="15">
        <f t="shared" si="2"/>
        <v>0.08712390663678118</v>
      </c>
      <c r="AW21" s="11">
        <f>+'SECURED LOANS'!AW80+'RETAIL CREDIT'!AX22+'UCL LOANS'!AW21+'UNSECURED LOANS'!AX21+'CAR FINANCE'!AW22</f>
        <v>7074</v>
      </c>
      <c r="AX21" s="15">
        <f t="shared" si="3"/>
        <v>0.11195695180818233</v>
      </c>
      <c r="AY21" s="15"/>
      <c r="AZ21" s="11"/>
      <c r="BA21" s="15"/>
      <c r="BB21" s="10">
        <f>+'SECURED LOANS'!BB80+'RETAIL CREDIT'!BC22+'UCL LOANS'!BB21+'UNSECURED LOANS'!BC21+'CAR FINANCE'!BB22</f>
        <v>30833040.000000004</v>
      </c>
      <c r="BC21" s="15">
        <f t="shared" si="4"/>
        <v>0.08544102580430003</v>
      </c>
      <c r="BD21" s="11">
        <f>+'SECURED LOANS'!BD80+'RETAIL CREDIT'!BE22+'UCL LOANS'!BD21+'UNSECURED LOANS'!BE21+'CAR FINANCE'!BD22</f>
        <v>6935</v>
      </c>
      <c r="BE21" s="15">
        <f t="shared" si="5"/>
        <v>0.11613108495068405</v>
      </c>
      <c r="BF21" s="15"/>
      <c r="BG21" s="11"/>
      <c r="BH21" s="15"/>
      <c r="BI21" s="10">
        <f>+'SECURED LOANS'!BI80+'RETAIL CREDIT'!BJ22+'UCL LOANS'!BI21+'UNSECURED LOANS'!BJ21+'CAR FINANCE'!BI22</f>
        <v>26489269.78999998</v>
      </c>
      <c r="BJ21" s="15">
        <f t="shared" si="6"/>
        <v>0.07340406212505979</v>
      </c>
      <c r="BK21" s="11">
        <f>+'SECURED LOANS'!BK80+'RETAIL CREDIT'!BL22+'UCL LOANS'!BK21+'UNSECURED LOANS'!BL21+'CAR FINANCE'!BK22</f>
        <v>6592</v>
      </c>
      <c r="BL21" s="15">
        <f t="shared" si="7"/>
        <v>0.11038732689183985</v>
      </c>
      <c r="BM21" s="15"/>
      <c r="BN21" s="11"/>
      <c r="BO21" s="15"/>
      <c r="BP21" s="10">
        <f>+'SECURED LOANS'!BP80+'RETAIL CREDIT'!BQ22+'UCL LOANS'!BP21+'UNSECURED LOANS'!BQ21+'CAR FINANCE'!BP22</f>
        <v>26378359.860000003</v>
      </c>
      <c r="BQ21" s="15">
        <f t="shared" si="22"/>
        <v>0.07760145816546048</v>
      </c>
      <c r="BR21" s="11">
        <f>+'SECURED LOANS'!BR80+'RETAIL CREDIT'!BS22+'UCL LOANS'!BR21+'UNSECURED LOANS'!BS21+'CAR FINANCE'!BR22</f>
        <v>6339</v>
      </c>
      <c r="BS21" s="15">
        <f t="shared" si="23"/>
        <v>0.12725593720514725</v>
      </c>
      <c r="BT21" s="15"/>
      <c r="BU21" s="11"/>
      <c r="BV21" s="15"/>
      <c r="BW21" s="10">
        <f>+'SECURED LOANS'!BW80+'RETAIL CREDIT'!BX22+'UCL LOANS'!BW21+'UNSECURED LOANS'!BX21+'CAR FINANCE'!BW22</f>
        <v>24713528.34000002</v>
      </c>
      <c r="BX21" s="15">
        <f t="shared" si="24"/>
        <v>0.07514982336208224</v>
      </c>
      <c r="BY21" s="11">
        <f>+'SECURED LOANS'!BY80+'RETAIL CREDIT'!BZ22+'UCL LOANS'!BY21+'UNSECURED LOANS'!BZ21+'CAR FINANCE'!BY22</f>
        <v>5697</v>
      </c>
      <c r="BZ21" s="15">
        <f t="shared" si="25"/>
        <v>0.12534653465346535</v>
      </c>
      <c r="CA21" s="15"/>
      <c r="CB21" s="11"/>
      <c r="CC21" s="15"/>
      <c r="CD21" s="10">
        <f>+'SECURED LOANS'!CD80+'RETAIL CREDIT'!CE22+'UCL LOANS'!CD21+'UNSECURED LOANS'!CE21+'CAR FINANCE'!CD22</f>
        <v>27264379.030000053</v>
      </c>
      <c r="CE21" s="15">
        <f t="shared" si="8"/>
        <v>0.08229851042021769</v>
      </c>
      <c r="CF21" s="11">
        <f>+'SECURED LOANS'!CF80+'RETAIL CREDIT'!CG22+'UCL LOANS'!CF21+'UNSECURED LOANS'!CG21+'CAR FINANCE'!CF22</f>
        <v>6426</v>
      </c>
      <c r="CG21" s="15">
        <f t="shared" si="9"/>
        <v>0.11477254460697638</v>
      </c>
      <c r="CH21" s="15"/>
      <c r="CI21" s="11"/>
      <c r="CJ21" s="15"/>
      <c r="CK21" s="10">
        <f>+'SECURED LOANS'!CK80+'RETAIL CREDIT'!CL22+'UCL LOANS'!CK21+'UNSECURED LOANS'!CL21+'CAR FINANCE'!CK22</f>
        <v>32284445.960000034</v>
      </c>
      <c r="CL21" s="15">
        <f t="shared" si="10"/>
        <v>0.09745176331822777</v>
      </c>
      <c r="CM21" s="11">
        <f>+'SECURED LOANS'!CM80+'RETAIL CREDIT'!CN22+'UCL LOANS'!CM21+'UNSECURED LOANS'!CN21+'CAR FINANCE'!CM22</f>
        <v>7021</v>
      </c>
      <c r="CN21" s="15">
        <f t="shared" si="11"/>
        <v>0.1253996320705853</v>
      </c>
      <c r="CO21" s="15"/>
      <c r="CP21" s="11"/>
      <c r="CQ21" s="15"/>
    </row>
    <row r="22" spans="1:95" ht="12.75">
      <c r="A22" s="9" t="s">
        <v>27</v>
      </c>
      <c r="B22" s="9"/>
      <c r="C22" s="9"/>
      <c r="D22" s="10">
        <f>+'SECURED LOANS'!D81+'RETAIL CREDIT'!D23+'UNSECURED LOANS'!D22+'CAR FINANCE'!D23+'UCL LOANS'!D22</f>
        <v>34828358.73999998</v>
      </c>
      <c r="E22" s="15">
        <f t="shared" si="12"/>
        <v>0.09109805397603682</v>
      </c>
      <c r="F22" s="11">
        <f>+'SECURED LOANS'!F81+'RETAIL CREDIT'!F23+'UNSECURED LOANS'!F22+'CAR FINANCE'!F23+'UCL LOANS'!F22</f>
        <v>6345</v>
      </c>
      <c r="G22" s="15">
        <f t="shared" si="13"/>
        <v>0.09278214839294592</v>
      </c>
      <c r="H22" s="15"/>
      <c r="I22" s="10">
        <f>+'SECURED LOANS'!J81+'RETAIL CREDIT'!J23+'UCL LOANS'!J22+'UNSECURED LOANS'!J22+'CAR FINANCE'!I23</f>
        <v>31133707.81</v>
      </c>
      <c r="J22" s="15">
        <f t="shared" si="14"/>
        <v>0.08778780636922347</v>
      </c>
      <c r="K22" s="11">
        <f>+'SECURED LOANS'!L81+'RETAIL CREDIT'!L23+'UCL LOANS'!L22+'UNSECURED LOANS'!L22+'CAR FINANCE'!K23</f>
        <v>5500</v>
      </c>
      <c r="L22" s="15">
        <f t="shared" si="15"/>
        <v>0.09043375316518136</v>
      </c>
      <c r="M22" s="15"/>
      <c r="N22" s="11"/>
      <c r="O22" s="15"/>
      <c r="P22" s="15"/>
      <c r="Q22" s="10">
        <f>+'SECURED LOANS'!R81+'RETAIL CREDIT'!R23+'UCL LOANS'!R22+'UNSECURED LOANS'!R22+'CAR FINANCE'!Q23</f>
        <v>33318489.450000025</v>
      </c>
      <c r="R22" s="15">
        <f t="shared" si="16"/>
        <v>0.09314389434040067</v>
      </c>
      <c r="S22" s="11">
        <f>+'SECURED LOANS'!T81+'RETAIL CREDIT'!T23+'UCL LOANS'!T22+'UNSECURED LOANS'!T22+'CAR FINANCE'!S23</f>
        <v>5790</v>
      </c>
      <c r="T22" s="15">
        <f t="shared" si="17"/>
        <v>0.09303596105022978</v>
      </c>
      <c r="U22" s="15"/>
      <c r="V22" s="11"/>
      <c r="W22" s="15"/>
      <c r="X22" s="15"/>
      <c r="Y22" s="10">
        <f>+'SECURED LOANS'!Y81+'RETAIL CREDIT'!Z23+'UCL LOANS'!Z22+'UNSECURED LOANS'!Z22+'CAR FINANCE'!Y23</f>
        <v>30611235.559999987</v>
      </c>
      <c r="Z22" s="15">
        <f t="shared" si="18"/>
        <v>0.08546516784651259</v>
      </c>
      <c r="AA22" s="11">
        <f>+'SECURED LOANS'!AA81+'RETAIL CREDIT'!AB23+'UCL LOANS'!AB22+'UNSECURED LOANS'!AB22+'CAR FINANCE'!AA23</f>
        <v>5514</v>
      </c>
      <c r="AB22" s="15">
        <f t="shared" si="19"/>
        <v>0.09062222660487132</v>
      </c>
      <c r="AC22" s="15"/>
      <c r="AD22" s="11"/>
      <c r="AE22" s="15"/>
      <c r="AF22" s="15"/>
      <c r="AG22" s="10">
        <f>+'SECURED LOANS'!AG81+'RETAIL CREDIT'!AH23+'UCL LOANS'!AG22+'UNSECURED LOANS'!AH22+'CAR FINANCE'!AG23</f>
        <v>34932338.74999998</v>
      </c>
      <c r="AH22" s="15">
        <f t="shared" si="20"/>
        <v>0.09170453658940242</v>
      </c>
      <c r="AI22" s="11">
        <f>+'SECURED LOANS'!AI81+'RETAIL CREDIT'!AJ23+'UCL LOANS'!AI22+'UNSECURED LOANS'!AJ22+'CAR FINANCE'!AI23</f>
        <v>6104</v>
      </c>
      <c r="AJ22" s="15">
        <f t="shared" si="21"/>
        <v>0.09756721332438222</v>
      </c>
      <c r="AK22" s="15"/>
      <c r="AL22" s="11"/>
      <c r="AM22" s="15"/>
      <c r="AN22" s="10">
        <f>+'SECURED LOANS'!AN81+'RETAIL CREDIT'!AO23+'UCL LOANS'!AN22+'UNSECURED LOANS'!AO22+'CAR FINANCE'!AN23</f>
        <v>35190036.71</v>
      </c>
      <c r="AO22" s="15">
        <f t="shared" si="0"/>
        <v>0.09257378571463798</v>
      </c>
      <c r="AP22" s="11">
        <f>+'SECURED LOANS'!AP81+'RETAIL CREDIT'!AQ23+'UCL LOANS'!AP22+'UNSECURED LOANS'!AQ22+'CAR FINANCE'!AP23</f>
        <v>6035</v>
      </c>
      <c r="AQ22" s="15">
        <f t="shared" si="1"/>
        <v>0.09702884337116949</v>
      </c>
      <c r="AR22" s="15"/>
      <c r="AS22" s="11"/>
      <c r="AT22" s="15"/>
      <c r="AU22" s="10">
        <f>+'SECURED LOANS'!AU81+'RETAIL CREDIT'!AV23+'UCL LOANS'!AU22+'UNSECURED LOANS'!AV22+'CAR FINANCE'!AU23</f>
        <v>32221114.609999977</v>
      </c>
      <c r="AV22" s="15">
        <f t="shared" si="2"/>
        <v>0.08438059623290993</v>
      </c>
      <c r="AW22" s="11">
        <f>+'SECURED LOANS'!AW81+'RETAIL CREDIT'!AX23+'UCL LOANS'!AW22+'UNSECURED LOANS'!AX22+'CAR FINANCE'!AW23</f>
        <v>5585</v>
      </c>
      <c r="AX22" s="15">
        <f t="shared" si="3"/>
        <v>0.08839123209622538</v>
      </c>
      <c r="AY22" s="15"/>
      <c r="AZ22" s="11"/>
      <c r="BA22" s="15"/>
      <c r="BB22" s="10">
        <f>+'SECURED LOANS'!BB81+'RETAIL CREDIT'!BC23+'UCL LOANS'!BB22+'UNSECURED LOANS'!BC22+'CAR FINANCE'!BB23</f>
        <v>37971537.730000004</v>
      </c>
      <c r="BC22" s="15">
        <f t="shared" si="4"/>
        <v>0.10522242163010466</v>
      </c>
      <c r="BD22" s="11">
        <f>+'SECURED LOANS'!BD81+'RETAIL CREDIT'!BE23+'UCL LOANS'!BD22+'UNSECURED LOANS'!BE22+'CAR FINANCE'!BD23</f>
        <v>6635</v>
      </c>
      <c r="BE22" s="15">
        <f t="shared" si="5"/>
        <v>0.11110738985548503</v>
      </c>
      <c r="BF22" s="15"/>
      <c r="BG22" s="11"/>
      <c r="BH22" s="15"/>
      <c r="BI22" s="10">
        <f>+'SECURED LOANS'!BI81+'RETAIL CREDIT'!BJ23+'UCL LOANS'!BI22+'UNSECURED LOANS'!BJ22+'CAR FINANCE'!BI23</f>
        <v>37652157.63000004</v>
      </c>
      <c r="BJ22" s="15">
        <f t="shared" si="6"/>
        <v>0.10433739169580442</v>
      </c>
      <c r="BK22" s="11">
        <f>+'SECURED LOANS'!BK81+'RETAIL CREDIT'!BL23+'UCL LOANS'!BK22+'UNSECURED LOANS'!BL22+'CAR FINANCE'!BK23</f>
        <v>6960</v>
      </c>
      <c r="BL22" s="15">
        <f t="shared" si="7"/>
        <v>0.11654972620861731</v>
      </c>
      <c r="BM22" s="15"/>
      <c r="BN22" s="11"/>
      <c r="BO22" s="15"/>
      <c r="BP22" s="10">
        <f>+'SECURED LOANS'!BP81+'RETAIL CREDIT'!BQ23+'UCL LOANS'!BP22+'UNSECURED LOANS'!BQ22+'CAR FINANCE'!BP23</f>
        <v>33267481.779999975</v>
      </c>
      <c r="BQ22" s="15">
        <f t="shared" si="22"/>
        <v>0.09786829466738825</v>
      </c>
      <c r="BR22" s="11">
        <f>+'SECURED LOANS'!BR81+'RETAIL CREDIT'!BS23+'UCL LOANS'!BR22+'UNSECURED LOANS'!BS22+'CAR FINANCE'!BR23</f>
        <v>6029</v>
      </c>
      <c r="BS22" s="15">
        <f t="shared" si="23"/>
        <v>0.12103266215646517</v>
      </c>
      <c r="BT22" s="15"/>
      <c r="BU22" s="11"/>
      <c r="BV22" s="15"/>
      <c r="BW22" s="10">
        <f>+'SECURED LOANS'!BW81+'RETAIL CREDIT'!BX23+'UCL LOANS'!BW22+'UNSECURED LOANS'!BX22+'CAR FINANCE'!BW23</f>
        <v>29312522.58999999</v>
      </c>
      <c r="BX22" s="15">
        <f t="shared" si="24"/>
        <v>0.0891346174706328</v>
      </c>
      <c r="BY22" s="11">
        <f>+'SECURED LOANS'!BY81+'RETAIL CREDIT'!BZ23+'UCL LOANS'!BY22+'UNSECURED LOANS'!BZ22+'CAR FINANCE'!BY23</f>
        <v>5372</v>
      </c>
      <c r="BZ22" s="15">
        <f t="shared" si="25"/>
        <v>0.1181958195819582</v>
      </c>
      <c r="CA22" s="15"/>
      <c r="CB22" s="11"/>
      <c r="CC22" s="15"/>
      <c r="CD22" s="10">
        <f>+'SECURED LOANS'!CD81+'RETAIL CREDIT'!CE23+'UCL LOANS'!CD22+'UNSECURED LOANS'!CE22+'CAR FINANCE'!CD23</f>
        <v>22801573.78999996</v>
      </c>
      <c r="CE22" s="15">
        <f t="shared" si="8"/>
        <v>0.06882737201125504</v>
      </c>
      <c r="CF22" s="11">
        <f>+'SECURED LOANS'!CF81+'RETAIL CREDIT'!CG23+'UCL LOANS'!CF22+'UNSECURED LOANS'!CG22+'CAR FINANCE'!CF23</f>
        <v>4317</v>
      </c>
      <c r="CG22" s="15">
        <f t="shared" si="9"/>
        <v>0.07710443122756255</v>
      </c>
      <c r="CH22" s="15"/>
      <c r="CI22" s="11"/>
      <c r="CJ22" s="15"/>
      <c r="CK22" s="10">
        <f>+'SECURED LOANS'!CK81+'RETAIL CREDIT'!CL23+'UCL LOANS'!CK22+'UNSECURED LOANS'!CL22+'CAR FINANCE'!CK23</f>
        <v>21790099.459999993</v>
      </c>
      <c r="CL22" s="15">
        <f t="shared" si="10"/>
        <v>0.06577420030337605</v>
      </c>
      <c r="CM22" s="11">
        <f>+'SECURED LOANS'!CM81+'RETAIL CREDIT'!CN23+'UCL LOANS'!CM22+'UNSECURED LOANS'!CN22+'CAR FINANCE'!CM23</f>
        <v>3809</v>
      </c>
      <c r="CN22" s="15">
        <f t="shared" si="11"/>
        <v>0.06803122041829646</v>
      </c>
      <c r="CO22" s="15"/>
      <c r="CP22" s="11"/>
      <c r="CQ22" s="15"/>
    </row>
    <row r="23" spans="1:95" ht="12.75">
      <c r="A23" s="9" t="s">
        <v>28</v>
      </c>
      <c r="B23" s="9"/>
      <c r="C23" s="9"/>
      <c r="D23" s="10">
        <f>+'SECURED LOANS'!D82+'RETAIL CREDIT'!D24+'UNSECURED LOANS'!D23+'CAR FINANCE'!D24+'UCL LOANS'!D23</f>
        <v>35265090.2</v>
      </c>
      <c r="E23" s="15">
        <f t="shared" si="12"/>
        <v>0.09224038130799986</v>
      </c>
      <c r="F23" s="11">
        <f>+'SECURED LOANS'!F82+'RETAIL CREDIT'!F24+'UNSECURED LOANS'!F23+'CAR FINANCE'!F24+'UCL LOANS'!F23</f>
        <v>5632</v>
      </c>
      <c r="G23" s="15">
        <f t="shared" si="13"/>
        <v>0.08235603778551165</v>
      </c>
      <c r="H23" s="15"/>
      <c r="I23" s="10">
        <f>+'SECURED LOANS'!J82+'RETAIL CREDIT'!J24+'UCL LOANS'!J23+'UNSECURED LOANS'!J23+'CAR FINANCE'!I24</f>
        <v>33754253.779999994</v>
      </c>
      <c r="J23" s="15">
        <f t="shared" si="14"/>
        <v>0.09517696745469229</v>
      </c>
      <c r="K23" s="11">
        <f>+'SECURED LOANS'!L82+'RETAIL CREDIT'!L24+'UCL LOANS'!L23+'UNSECURED LOANS'!L23+'CAR FINANCE'!K24</f>
        <v>5127</v>
      </c>
      <c r="L23" s="15">
        <f t="shared" si="15"/>
        <v>0.08430070045052451</v>
      </c>
      <c r="M23" s="15"/>
      <c r="N23" s="11"/>
      <c r="O23" s="15"/>
      <c r="P23" s="15"/>
      <c r="Q23" s="10">
        <f>+'SECURED LOANS'!R82+'RETAIL CREDIT'!R24+'UCL LOANS'!R23+'UNSECURED LOANS'!R23+'CAR FINANCE'!Q24</f>
        <v>32515569.669999987</v>
      </c>
      <c r="R23" s="15">
        <f t="shared" si="16"/>
        <v>0.09089928252315813</v>
      </c>
      <c r="S23" s="11">
        <f>+'SECURED LOANS'!T82+'RETAIL CREDIT'!T24+'UCL LOANS'!T23+'UNSECURED LOANS'!T23+'CAR FINANCE'!S24</f>
        <v>4872</v>
      </c>
      <c r="T23" s="15">
        <f t="shared" si="17"/>
        <v>0.0782851817334576</v>
      </c>
      <c r="U23" s="15"/>
      <c r="V23" s="11"/>
      <c r="W23" s="15"/>
      <c r="X23" s="15"/>
      <c r="Y23" s="10">
        <f>+'SECURED LOANS'!Y82+'RETAIL CREDIT'!Z24+'UCL LOANS'!Z23+'UNSECURED LOANS'!Z23+'CAR FINANCE'!Y24</f>
        <v>33866040.69000002</v>
      </c>
      <c r="Z23" s="15">
        <f t="shared" si="18"/>
        <v>0.09455243471615289</v>
      </c>
      <c r="AA23" s="11">
        <f>+'SECURED LOANS'!AA82+'RETAIL CREDIT'!AB24+'UCL LOANS'!AB23+'UNSECURED LOANS'!AB23+'CAR FINANCE'!AA24</f>
        <v>4990</v>
      </c>
      <c r="AB23" s="15">
        <f t="shared" si="19"/>
        <v>0.08201032113861223</v>
      </c>
      <c r="AC23" s="15"/>
      <c r="AD23" s="11"/>
      <c r="AE23" s="15"/>
      <c r="AF23" s="15"/>
      <c r="AG23" s="10">
        <f>+'SECURED LOANS'!AG82+'RETAIL CREDIT'!AH24+'UCL LOANS'!AG23+'UNSECURED LOANS'!AH23+'CAR FINANCE'!AG24</f>
        <v>45800774.76</v>
      </c>
      <c r="AH23" s="15">
        <f t="shared" si="20"/>
        <v>0.12023640486428643</v>
      </c>
      <c r="AI23" s="11">
        <f>+'SECURED LOANS'!AI82+'RETAIL CREDIT'!AJ24+'UCL LOANS'!AI23+'UNSECURED LOANS'!AJ23+'CAR FINANCE'!AI24</f>
        <v>6445</v>
      </c>
      <c r="AJ23" s="15">
        <f t="shared" si="21"/>
        <v>0.10301780633611457</v>
      </c>
      <c r="AK23" s="15"/>
      <c r="AL23" s="11"/>
      <c r="AM23" s="15"/>
      <c r="AN23" s="10">
        <f>+'SECURED LOANS'!AN82+'RETAIL CREDIT'!AO24+'UCL LOANS'!AN23+'UNSECURED LOANS'!AO23+'CAR FINANCE'!AN24</f>
        <v>47311869.80999998</v>
      </c>
      <c r="AO23" s="15">
        <f t="shared" si="0"/>
        <v>0.12446247026236161</v>
      </c>
      <c r="AP23" s="11">
        <f>+'SECURED LOANS'!AP82+'RETAIL CREDIT'!AQ24+'UCL LOANS'!AP23+'UNSECURED LOANS'!AQ23+'CAR FINANCE'!AP24</f>
        <v>6765</v>
      </c>
      <c r="AQ23" s="15">
        <f t="shared" si="1"/>
        <v>0.10876555516254542</v>
      </c>
      <c r="AR23" s="15"/>
      <c r="AS23" s="11"/>
      <c r="AT23" s="15"/>
      <c r="AU23" s="10">
        <f>+'SECURED LOANS'!AU82+'RETAIL CREDIT'!AV24+'UCL LOANS'!AU23+'UNSECURED LOANS'!AV23+'CAR FINANCE'!AU24</f>
        <v>43452414.17000002</v>
      </c>
      <c r="AV23" s="15">
        <f t="shared" si="2"/>
        <v>0.11379310305690099</v>
      </c>
      <c r="AW23" s="11">
        <f>+'SECURED LOANS'!AW82+'RETAIL CREDIT'!AX24+'UCL LOANS'!AW23+'UNSECURED LOANS'!AX23+'CAR FINANCE'!AW24</f>
        <v>6344</v>
      </c>
      <c r="AX23" s="15">
        <f t="shared" si="3"/>
        <v>0.10040357679829073</v>
      </c>
      <c r="AY23" s="15"/>
      <c r="AZ23" s="11"/>
      <c r="BA23" s="15"/>
      <c r="BB23" s="10">
        <f>+'SECURED LOANS'!BB82+'RETAIL CREDIT'!BC24+'UCL LOANS'!BB23+'UNSECURED LOANS'!BC23+'CAR FINANCE'!BB24</f>
        <v>33809022.33000002</v>
      </c>
      <c r="BC23" s="15">
        <f t="shared" si="4"/>
        <v>0.09368773073675796</v>
      </c>
      <c r="BD23" s="11">
        <f>+'SECURED LOANS'!BD82+'RETAIL CREDIT'!BE24+'UCL LOANS'!BD23+'UNSECURED LOANS'!BE23+'CAR FINANCE'!BD24</f>
        <v>4937</v>
      </c>
      <c r="BE23" s="15">
        <f t="shared" si="5"/>
        <v>0.08267327561665858</v>
      </c>
      <c r="BF23" s="15"/>
      <c r="BG23" s="11"/>
      <c r="BH23" s="15"/>
      <c r="BI23" s="10">
        <f>+'SECURED LOANS'!BI82+'RETAIL CREDIT'!BJ24+'UCL LOANS'!BI23+'UNSECURED LOANS'!BJ23+'CAR FINANCE'!BI24</f>
        <v>23429096.929999996</v>
      </c>
      <c r="BJ23" s="15">
        <f t="shared" si="6"/>
        <v>0.0649240579380942</v>
      </c>
      <c r="BK23" s="11">
        <f>+'SECURED LOANS'!BK82+'RETAIL CREDIT'!BL24+'UCL LOANS'!BK23+'UNSECURED LOANS'!BL23+'CAR FINANCE'!BK24</f>
        <v>3820</v>
      </c>
      <c r="BL23" s="15">
        <f t="shared" si="7"/>
        <v>0.06396838421220088</v>
      </c>
      <c r="BM23" s="15"/>
      <c r="BN23" s="11"/>
      <c r="BO23" s="15"/>
      <c r="BP23" s="10">
        <f>+'SECURED LOANS'!BP82+'RETAIL CREDIT'!BQ24+'UCL LOANS'!BP23+'UNSECURED LOANS'!BQ23+'CAR FINANCE'!BP24</f>
        <v>20724178.17000001</v>
      </c>
      <c r="BQ23" s="15">
        <f t="shared" si="22"/>
        <v>0.06096764369764742</v>
      </c>
      <c r="BR23" s="11">
        <f>+'SECURED LOANS'!BR82+'RETAIL CREDIT'!BS24+'UCL LOANS'!BR23+'UNSECURED LOANS'!BS23+'CAR FINANCE'!BR24</f>
        <v>3310</v>
      </c>
      <c r="BS23" s="15">
        <f t="shared" si="23"/>
        <v>0.06644851745528275</v>
      </c>
      <c r="BT23" s="15"/>
      <c r="BU23" s="11"/>
      <c r="BV23" s="15"/>
      <c r="BW23" s="10">
        <f>+'SECURED LOANS'!BW82+'RETAIL CREDIT'!BX24+'UCL LOANS'!BW23+'UNSECURED LOANS'!BX23+'CAR FINANCE'!BW24</f>
        <v>19379091.339999996</v>
      </c>
      <c r="BX23" s="15">
        <f t="shared" si="24"/>
        <v>0.05892866737128383</v>
      </c>
      <c r="BY23" s="11">
        <f>+'SECURED LOANS'!BY82+'RETAIL CREDIT'!BZ24+'UCL LOANS'!BY23+'UNSECURED LOANS'!BZ23+'CAR FINANCE'!BY24</f>
        <v>2862</v>
      </c>
      <c r="BZ23" s="15">
        <f t="shared" si="25"/>
        <v>0.06297029702970297</v>
      </c>
      <c r="CA23" s="15"/>
      <c r="CB23" s="11"/>
      <c r="CC23" s="15"/>
      <c r="CD23" s="10">
        <f>+'SECURED LOANS'!CD82+'RETAIL CREDIT'!CE24+'UCL LOANS'!CD23+'UNSECURED LOANS'!CE23+'CAR FINANCE'!CD24</f>
        <v>19884967.12</v>
      </c>
      <c r="CE23" s="15">
        <f t="shared" si="8"/>
        <v>0.06002348969438469</v>
      </c>
      <c r="CF23" s="11">
        <f>+'SECURED LOANS'!CF82+'RETAIL CREDIT'!CG24+'UCL LOANS'!CF23+'UNSECURED LOANS'!CG23+'CAR FINANCE'!CF24</f>
        <v>3165</v>
      </c>
      <c r="CG23" s="15">
        <f t="shared" si="9"/>
        <v>0.056528961045919736</v>
      </c>
      <c r="CH23" s="15"/>
      <c r="CI23" s="11"/>
      <c r="CJ23" s="15"/>
      <c r="CK23" s="10">
        <f>+'SECURED LOANS'!CK82+'RETAIL CREDIT'!CL24+'UCL LOANS'!CK23+'UNSECURED LOANS'!CL23+'CAR FINANCE'!CK24</f>
        <v>18985887.590000026</v>
      </c>
      <c r="CL23" s="15">
        <f t="shared" si="10"/>
        <v>0.05730958573981854</v>
      </c>
      <c r="CM23" s="11">
        <f>+'SECURED LOANS'!CM82+'RETAIL CREDIT'!CN24+'UCL LOANS'!CM23+'UNSECURED LOANS'!CN23+'CAR FINANCE'!CM24</f>
        <v>3021</v>
      </c>
      <c r="CN23" s="15">
        <f t="shared" si="11"/>
        <v>0.05395702727321438</v>
      </c>
      <c r="CO23" s="15"/>
      <c r="CP23" s="11"/>
      <c r="CQ23" s="15"/>
    </row>
    <row r="24" spans="1:95" ht="12.75">
      <c r="A24" s="9" t="s">
        <v>81</v>
      </c>
      <c r="B24" s="9"/>
      <c r="C24" s="9"/>
      <c r="D24" s="10">
        <f>+'SECURED LOANS'!D83+'RETAIL CREDIT'!D25+'UNSECURED LOANS'!D24+'UCL LOANS'!D24</f>
        <v>26386400.799999982</v>
      </c>
      <c r="E24" s="15">
        <f t="shared" si="12"/>
        <v>0.06901702667806335</v>
      </c>
      <c r="F24" s="11">
        <f>+'SECURED LOANS'!F83+'RETAIL CREDIT'!F25+'UNSECURED LOANS'!F24+'UCL LOANS'!F24</f>
        <v>3726</v>
      </c>
      <c r="G24" s="15">
        <f t="shared" si="13"/>
        <v>0.05448483607755973</v>
      </c>
      <c r="H24" s="15"/>
      <c r="I24" s="10">
        <f>+'SECURED LOANS'!J83+'RETAIL CREDIT'!J25+'UCL LOANS'!J24+'UNSECURED LOANS'!J24</f>
        <v>25675762.56</v>
      </c>
      <c r="J24" s="15">
        <f t="shared" si="14"/>
        <v>0.07239802229002282</v>
      </c>
      <c r="K24" s="11">
        <f>+'SECURED LOANS'!L83+'RETAIL CREDIT'!L25+'UCL LOANS'!L24+'UNSECURED LOANS'!L24</f>
        <v>3581</v>
      </c>
      <c r="L24" s="15">
        <f t="shared" si="15"/>
        <v>0.05888059456082081</v>
      </c>
      <c r="M24" s="15"/>
      <c r="N24" s="11"/>
      <c r="O24" s="15"/>
      <c r="P24" s="15"/>
      <c r="Q24" s="10">
        <f>+'SECURED LOANS'!R83+'RETAIL CREDIT'!R25+'UCL LOANS'!R24+'UNSECURED LOANS'!R24</f>
        <v>25657090.63000001</v>
      </c>
      <c r="R24" s="15">
        <f t="shared" si="16"/>
        <v>0.07172598092446844</v>
      </c>
      <c r="S24" s="11">
        <f>+'SECURED LOANS'!T83+'RETAIL CREDIT'!T25+'UCL LOANS'!T24+'UNSECURED LOANS'!T24</f>
        <v>3521</v>
      </c>
      <c r="T24" s="15">
        <f t="shared" si="17"/>
        <v>0.05657679082173731</v>
      </c>
      <c r="U24" s="15"/>
      <c r="V24" s="11"/>
      <c r="W24" s="15"/>
      <c r="X24" s="15"/>
      <c r="Y24" s="10">
        <f>+'SECURED LOANS'!Y83+'RETAIL CREDIT'!Z25+'UCL LOANS'!Z24+'UNSECURED LOANS'!Z24</f>
        <v>23834016.16999998</v>
      </c>
      <c r="Z24" s="15">
        <f t="shared" si="18"/>
        <v>0.06654348167139269</v>
      </c>
      <c r="AA24" s="11">
        <f>+'SECURED LOANS'!AA83+'RETAIL CREDIT'!AB25+'UCL LOANS'!AB24+'UNSECURED LOANS'!AB24</f>
        <v>3299</v>
      </c>
      <c r="AB24" s="15">
        <f t="shared" si="19"/>
        <v>0.054218847582421195</v>
      </c>
      <c r="AC24" s="15"/>
      <c r="AD24" s="11"/>
      <c r="AE24" s="15"/>
      <c r="AF24" s="15"/>
      <c r="AG24" s="10">
        <f>+'SECURED LOANS'!AG83+'RETAIL CREDIT'!AH25+'UCL LOANS'!AG24+'UNSECURED LOANS'!AH24</f>
        <v>22685986.250000022</v>
      </c>
      <c r="AH24" s="15">
        <f t="shared" si="20"/>
        <v>0.05955535559810774</v>
      </c>
      <c r="AI24" s="11">
        <f>+'SECURED LOANS'!AI83+'RETAIL CREDIT'!AJ25+'UCL LOANS'!AI24+'UNSECURED LOANS'!AJ24</f>
        <v>3190</v>
      </c>
      <c r="AJ24" s="15">
        <f t="shared" si="21"/>
        <v>0.050989418496851124</v>
      </c>
      <c r="AK24" s="15"/>
      <c r="AL24" s="11"/>
      <c r="AM24" s="15"/>
      <c r="AN24" s="10">
        <f>+'SECURED LOANS'!AN83+'RETAIL CREDIT'!AO25+'UCL LOANS'!AN24+'UNSECURED LOANS'!AO24</f>
        <v>25643865.85000001</v>
      </c>
      <c r="AO24" s="15">
        <f t="shared" si="0"/>
        <v>0.06746084869579619</v>
      </c>
      <c r="AP24" s="11">
        <f>+'SECURED LOANS'!AP83+'RETAIL CREDIT'!AQ25+'UCL LOANS'!AP24+'UNSECURED LOANS'!AQ24</f>
        <v>3569</v>
      </c>
      <c r="AQ24" s="15">
        <f t="shared" si="1"/>
        <v>0.05738126627865848</v>
      </c>
      <c r="AR24" s="15"/>
      <c r="AS24" s="11"/>
      <c r="AT24" s="15"/>
      <c r="AU24" s="10">
        <f>+'SECURED LOANS'!AU83+'RETAIL CREDIT'!AV25+'UCL LOANS'!AU24+'UNSECURED LOANS'!AV24</f>
        <v>29402160.980000004</v>
      </c>
      <c r="AV24" s="15">
        <f t="shared" si="2"/>
        <v>0.07699832560287713</v>
      </c>
      <c r="AW24" s="11">
        <f>+'SECURED LOANS'!AW83+'RETAIL CREDIT'!AX25+'UCL LOANS'!AW24+'UNSECURED LOANS'!AX24</f>
        <v>4393</v>
      </c>
      <c r="AX24" s="15">
        <f t="shared" si="3"/>
        <v>0.06952599509377226</v>
      </c>
      <c r="AY24" s="15"/>
      <c r="AZ24" s="11"/>
      <c r="BA24" s="15"/>
      <c r="BB24" s="10">
        <f>+'SECURED LOANS'!BB83+'RETAIL CREDIT'!BC25+'UCL LOANS'!BB24+'UNSECURED LOANS'!BC24</f>
        <v>19614196.680000026</v>
      </c>
      <c r="BC24" s="15">
        <f t="shared" si="4"/>
        <v>0.05435263874942264</v>
      </c>
      <c r="BD24" s="11">
        <f>+'SECURED LOANS'!BD83+'RETAIL CREDIT'!BE25+'UCL LOANS'!BD24+'UNSECURED LOANS'!BE24</f>
        <v>2689</v>
      </c>
      <c r="BE24" s="15">
        <f t="shared" si="5"/>
        <v>0.04502905370330057</v>
      </c>
      <c r="BF24" s="15"/>
      <c r="BG24" s="11"/>
      <c r="BH24" s="15"/>
      <c r="BI24" s="10">
        <f>+'SECURED LOANS'!BI83+'RETAIL CREDIT'!BJ25+'UCL LOANS'!BI24+'UNSECURED LOANS'!BJ24</f>
        <v>17401426.33000002</v>
      </c>
      <c r="BJ24" s="15">
        <f t="shared" si="6"/>
        <v>0.04822086035282793</v>
      </c>
      <c r="BK24" s="11">
        <f>+'SECURED LOANS'!BK83+'RETAIL CREDIT'!BL25+'UCL LOANS'!BK24+'UNSECURED LOANS'!BL24</f>
        <v>2630</v>
      </c>
      <c r="BL24" s="15">
        <f t="shared" si="7"/>
        <v>0.044041060334578094</v>
      </c>
      <c r="BM24" s="15"/>
      <c r="BN24" s="11"/>
      <c r="BO24" s="15"/>
      <c r="BP24" s="10">
        <f>+'SECURED LOANS'!BP83+'RETAIL CREDIT'!BQ25+'UCL LOANS'!BP24+'UNSECURED LOANS'!BQ24</f>
        <v>17618985.27000001</v>
      </c>
      <c r="BQ24" s="15">
        <f t="shared" si="22"/>
        <v>0.05183259897902424</v>
      </c>
      <c r="BR24" s="11">
        <f>+'SECURED LOANS'!BR83+'RETAIL CREDIT'!BS25+'UCL LOANS'!BR24+'UNSECURED LOANS'!BS24</f>
        <v>2542</v>
      </c>
      <c r="BS24" s="15">
        <f t="shared" si="23"/>
        <v>0.051030855399192984</v>
      </c>
      <c r="BT24" s="15"/>
      <c r="BU24" s="11"/>
      <c r="BV24" s="15"/>
      <c r="BW24" s="10">
        <f>+'SECURED LOANS'!BW83+'RETAIL CREDIT'!BX25+'UCL LOANS'!BW24+'UNSECURED LOANS'!BX24</f>
        <v>15932271.179999996</v>
      </c>
      <c r="BX24" s="15">
        <f t="shared" si="24"/>
        <v>0.048447447424813654</v>
      </c>
      <c r="BY24" s="11">
        <f>+'SECURED LOANS'!BY83+'RETAIL CREDIT'!BZ25+'UCL LOANS'!BY24+'UNSECURED LOANS'!BZ24</f>
        <v>2360</v>
      </c>
      <c r="BZ24" s="15">
        <f t="shared" si="25"/>
        <v>0.05192519251925193</v>
      </c>
      <c r="CA24" s="15"/>
      <c r="CB24" s="11"/>
      <c r="CC24" s="15"/>
      <c r="CD24" s="10">
        <f>+'SECURED LOANS'!CD83+'RETAIL CREDIT'!CE25+'UCL LOANS'!CD24+'UNSECURED LOANS'!CE24</f>
        <v>15330728.559999999</v>
      </c>
      <c r="CE24" s="15">
        <f t="shared" si="8"/>
        <v>0.04627635651471818</v>
      </c>
      <c r="CF24" s="11">
        <f>+'SECURED LOANS'!CF83+'RETAIL CREDIT'!CG25+'UCL LOANS'!CF24+'UNSECURED LOANS'!CG24</f>
        <v>2238</v>
      </c>
      <c r="CG24" s="15">
        <f t="shared" si="9"/>
        <v>0.039972137384129025</v>
      </c>
      <c r="CH24" s="15"/>
      <c r="CI24" s="11"/>
      <c r="CJ24" s="15"/>
      <c r="CK24" s="10">
        <f>+'SECURED LOANS'!CK83+'RETAIL CREDIT'!CL25+'UCL LOANS'!CK24+'UNSECURED LOANS'!CL24</f>
        <v>14308302.859999996</v>
      </c>
      <c r="CL24" s="15">
        <f t="shared" si="10"/>
        <v>0.04319012770192323</v>
      </c>
      <c r="CM24" s="11">
        <f>+'SECURED LOANS'!CM83+'RETAIL CREDIT'!CN25+'UCL LOANS'!CM24+'UNSECURED LOANS'!CN24</f>
        <v>2088</v>
      </c>
      <c r="CN24" s="15">
        <f t="shared" si="11"/>
        <v>0.037293039704227614</v>
      </c>
      <c r="CO24" s="15"/>
      <c r="CP24" s="11"/>
      <c r="CQ24" s="15"/>
    </row>
    <row r="25" spans="1:95" ht="12.75">
      <c r="A25" s="9" t="s">
        <v>82</v>
      </c>
      <c r="B25" s="9"/>
      <c r="C25" s="9"/>
      <c r="D25" s="10">
        <f>+'SECURED LOANS'!D84+'RETAIL CREDIT'!D26+'UNSECURED LOANS'!D25+'UCL LOANS'!D25</f>
        <v>26521084.259999983</v>
      </c>
      <c r="E25" s="15">
        <f t="shared" si="12"/>
        <v>0.06936930859867732</v>
      </c>
      <c r="F25" s="11">
        <f>+'SECURED LOANS'!F84+'RETAIL CREDIT'!F26+'UNSECURED LOANS'!F25+'UCL LOANS'!F25</f>
        <v>3596</v>
      </c>
      <c r="G25" s="15">
        <f t="shared" si="13"/>
        <v>0.05258386219401632</v>
      </c>
      <c r="H25" s="15"/>
      <c r="I25" s="10">
        <f>+'SECURED LOANS'!J84+'RETAIL CREDIT'!J26+'UCL LOANS'!J25+'UNSECURED LOANS'!J25</f>
        <v>23936384.259999998</v>
      </c>
      <c r="J25" s="15">
        <f t="shared" si="14"/>
        <v>0.06749349224383976</v>
      </c>
      <c r="K25" s="11">
        <f>+'SECURED LOANS'!L84+'RETAIL CREDIT'!L26+'UCL LOANS'!L25+'UNSECURED LOANS'!L25</f>
        <v>3283</v>
      </c>
      <c r="L25" s="15">
        <f t="shared" si="15"/>
        <v>0.05398072938932553</v>
      </c>
      <c r="M25" s="15"/>
      <c r="N25" s="11"/>
      <c r="O25" s="15"/>
      <c r="P25" s="15"/>
      <c r="Q25" s="10">
        <f>+'SECURED LOANS'!R84+'RETAIL CREDIT'!R26+'UCL LOANS'!R25+'UNSECURED LOANS'!R25</f>
        <v>23677671.34999999</v>
      </c>
      <c r="R25" s="15">
        <f t="shared" si="16"/>
        <v>0.06619239211791847</v>
      </c>
      <c r="S25" s="11">
        <f>+'SECURED LOANS'!T84+'RETAIL CREDIT'!T26+'UCL LOANS'!T25+'UNSECURED LOANS'!T25</f>
        <v>3351</v>
      </c>
      <c r="T25" s="15">
        <f t="shared" si="17"/>
        <v>0.05384516502233506</v>
      </c>
      <c r="U25" s="15"/>
      <c r="V25" s="11"/>
      <c r="W25" s="15"/>
      <c r="X25" s="15"/>
      <c r="Y25" s="10">
        <f>+'SECURED LOANS'!Y84+'RETAIL CREDIT'!Z26+'UCL LOANS'!Z25+'UNSECURED LOANS'!Z25</f>
        <v>26195973.62999991</v>
      </c>
      <c r="Z25" s="15">
        <f t="shared" si="18"/>
        <v>0.07313795873421977</v>
      </c>
      <c r="AA25" s="11">
        <f>+'SECURED LOANS'!AA84+'RETAIL CREDIT'!AB26+'UCL LOANS'!AB25+'UNSECURED LOANS'!AB25</f>
        <v>3677</v>
      </c>
      <c r="AB25" s="15">
        <f t="shared" si="19"/>
        <v>0.06043125267067679</v>
      </c>
      <c r="AC25" s="15"/>
      <c r="AD25" s="11"/>
      <c r="AE25" s="15"/>
      <c r="AF25" s="15"/>
      <c r="AG25" s="10">
        <f>+'SECURED LOANS'!AG84+'RETAIL CREDIT'!AH26+'UCL LOANS'!AG25+'UNSECURED LOANS'!AH25</f>
        <v>25930541.940000057</v>
      </c>
      <c r="AH25" s="15">
        <f t="shared" si="20"/>
        <v>0.06807297814034197</v>
      </c>
      <c r="AI25" s="11">
        <f>+'SECURED LOANS'!AI84+'RETAIL CREDIT'!AJ26+'UCL LOANS'!AI25+'UNSECURED LOANS'!AJ25</f>
        <v>3643</v>
      </c>
      <c r="AJ25" s="15">
        <f t="shared" si="21"/>
        <v>0.058230235606278574</v>
      </c>
      <c r="AK25" s="15"/>
      <c r="AL25" s="11"/>
      <c r="AM25" s="15"/>
      <c r="AN25" s="10">
        <f>+'SECURED LOANS'!AN84+'RETAIL CREDIT'!AO26+'UCL LOANS'!AN25+'UNSECURED LOANS'!AO25</f>
        <v>26657684.870000005</v>
      </c>
      <c r="AO25" s="15">
        <f t="shared" si="0"/>
        <v>0.0701278838422595</v>
      </c>
      <c r="AP25" s="11">
        <f>+'SECURED LOANS'!AP84+'RETAIL CREDIT'!AQ26+'UCL LOANS'!AP25+'UNSECURED LOANS'!AQ25</f>
        <v>3613</v>
      </c>
      <c r="AQ25" s="15">
        <f t="shared" si="1"/>
        <v>0.05808868452361812</v>
      </c>
      <c r="AR25" s="15"/>
      <c r="AS25" s="11"/>
      <c r="AT25" s="15"/>
      <c r="AU25" s="10">
        <f>+'SECURED LOANS'!AU84+'RETAIL CREDIT'!AV26+'UCL LOANS'!AU25+'UNSECURED LOANS'!AV25</f>
        <v>26848383.13000003</v>
      </c>
      <c r="AV25" s="15">
        <f t="shared" si="2"/>
        <v>0.07031049682235076</v>
      </c>
      <c r="AW25" s="11">
        <f>+'SECURED LOANS'!AW84+'RETAIL CREDIT'!AX26+'UCL LOANS'!AW25+'UNSECURED LOANS'!AX25</f>
        <v>3472</v>
      </c>
      <c r="AX25" s="15">
        <f t="shared" si="3"/>
        <v>0.054949750731977526</v>
      </c>
      <c r="AY25" s="15"/>
      <c r="AZ25" s="11"/>
      <c r="BA25" s="15"/>
      <c r="BB25" s="10">
        <f>+'SECURED LOANS'!BB84+'RETAIL CREDIT'!BC26+'UCL LOANS'!BB25+'UNSECURED LOANS'!BC25</f>
        <v>20919598.139999963</v>
      </c>
      <c r="BC25" s="15">
        <f t="shared" si="4"/>
        <v>0.05797001932003214</v>
      </c>
      <c r="BD25" s="11">
        <f>+'SECURED LOANS'!BD84+'RETAIL CREDIT'!BE26+'UCL LOANS'!BD25+'UNSECURED LOANS'!BE25</f>
        <v>3043</v>
      </c>
      <c r="BE25" s="15">
        <f t="shared" si="5"/>
        <v>0.05095701391563542</v>
      </c>
      <c r="BF25" s="15"/>
      <c r="BG25" s="11"/>
      <c r="BH25" s="15"/>
      <c r="BI25" s="10">
        <f>+'SECURED LOANS'!BI84+'RETAIL CREDIT'!BJ26+'UCL LOANS'!BI25+'UNSECURED LOANS'!BJ25</f>
        <v>17063617.319999997</v>
      </c>
      <c r="BJ25" s="15">
        <f t="shared" si="6"/>
        <v>0.04728476231188428</v>
      </c>
      <c r="BK25" s="11">
        <f>+'SECURED LOANS'!BK84+'RETAIL CREDIT'!BL26+'UCL LOANS'!BK25+'UNSECURED LOANS'!BL25</f>
        <v>2429</v>
      </c>
      <c r="BL25" s="15">
        <f t="shared" si="7"/>
        <v>0.040675184620794745</v>
      </c>
      <c r="BM25" s="15"/>
      <c r="BN25" s="11"/>
      <c r="BO25" s="15"/>
      <c r="BP25" s="10">
        <f>+'SECURED LOANS'!BP84+'RETAIL CREDIT'!BQ26+'UCL LOANS'!BP25+'UNSECURED LOANS'!BQ25</f>
        <v>16522643.260000002</v>
      </c>
      <c r="BQ25" s="15">
        <f t="shared" si="22"/>
        <v>0.048607313590713803</v>
      </c>
      <c r="BR25" s="11">
        <f>+'SECURED LOANS'!BR84+'RETAIL CREDIT'!BS26+'UCL LOANS'!BR25+'UNSECURED LOANS'!BS25</f>
        <v>2462</v>
      </c>
      <c r="BS25" s="15">
        <f t="shared" si="23"/>
        <v>0.04942484893501696</v>
      </c>
      <c r="BT25" s="15"/>
      <c r="BU25" s="11"/>
      <c r="BV25" s="15"/>
      <c r="BW25" s="10">
        <f>+'SECURED LOANS'!BW84+'RETAIL CREDIT'!BX26+'UCL LOANS'!BW25+'UNSECURED LOANS'!BX25</f>
        <v>18833714.87</v>
      </c>
      <c r="BX25" s="15">
        <f t="shared" si="24"/>
        <v>0.057270266157888515</v>
      </c>
      <c r="BY25" s="11">
        <f>+'SECURED LOANS'!BY84+'RETAIL CREDIT'!BZ26+'UCL LOANS'!BY25+'UNSECURED LOANS'!BZ25</f>
        <v>2721</v>
      </c>
      <c r="BZ25" s="15">
        <f t="shared" si="25"/>
        <v>0.05986798679867987</v>
      </c>
      <c r="CA25" s="15"/>
      <c r="CB25" s="11"/>
      <c r="CC25" s="15"/>
      <c r="CD25" s="10">
        <f>+'SECURED LOANS'!CD84+'RETAIL CREDIT'!CE26+'UCL LOANS'!CD25+'UNSECURED LOANS'!CE25</f>
        <v>19332277.219999984</v>
      </c>
      <c r="CE25" s="15">
        <f t="shared" si="8"/>
        <v>0.05835517531817055</v>
      </c>
      <c r="CF25" s="11">
        <f>+'SECURED LOANS'!CF84+'RETAIL CREDIT'!CG26+'UCL LOANS'!CF25+'UNSECURED LOANS'!CG25</f>
        <v>2730</v>
      </c>
      <c r="CG25" s="15">
        <f t="shared" si="9"/>
        <v>0.04875957777420565</v>
      </c>
      <c r="CH25" s="15"/>
      <c r="CI25" s="11"/>
      <c r="CJ25" s="15"/>
      <c r="CK25" s="10">
        <f>+'SECURED LOANS'!CK84+'RETAIL CREDIT'!CL26+'UCL LOANS'!CK25+'UNSECURED LOANS'!CL25</f>
        <v>18875383.400000006</v>
      </c>
      <c r="CL25" s="15">
        <f t="shared" si="10"/>
        <v>0.056976024860908095</v>
      </c>
      <c r="CM25" s="11">
        <f>+'SECURED LOANS'!CM84+'RETAIL CREDIT'!CN26+'UCL LOANS'!CM25+'UNSECURED LOANS'!CN25</f>
        <v>2669</v>
      </c>
      <c r="CN25" s="15">
        <f t="shared" si="11"/>
        <v>0.04767007805104574</v>
      </c>
      <c r="CO25" s="15"/>
      <c r="CP25" s="11"/>
      <c r="CQ25" s="15"/>
    </row>
    <row r="26" spans="1:95" ht="12.75">
      <c r="A26" s="9" t="s">
        <v>83</v>
      </c>
      <c r="B26" s="9"/>
      <c r="C26" s="9"/>
      <c r="D26" s="10">
        <f>+'SECURED LOANS'!D85+'RETAIL CREDIT'!D27+'UNSECURED LOANS'!D26+'UCL LOANS'!D26</f>
        <v>30646505.23999998</v>
      </c>
      <c r="E26" s="15">
        <f t="shared" si="12"/>
        <v>0.08015987802847627</v>
      </c>
      <c r="F26" s="11">
        <f>+'SECURED LOANS'!F85+'RETAIL CREDIT'!F27+'UNSECURED LOANS'!F26+'UCL LOANS'!F26</f>
        <v>4214</v>
      </c>
      <c r="G26" s="15">
        <f t="shared" si="13"/>
        <v>0.06162079957886117</v>
      </c>
      <c r="H26" s="15"/>
      <c r="I26" s="10">
        <f>+'SECURED LOANS'!J85+'RETAIL CREDIT'!J27+'UCL LOANS'!J26+'UNSECURED LOANS'!J26</f>
        <v>33261076.150000006</v>
      </c>
      <c r="J26" s="15">
        <f t="shared" si="14"/>
        <v>0.0937863530584794</v>
      </c>
      <c r="K26" s="11">
        <f>+'SECURED LOANS'!L85+'RETAIL CREDIT'!L27+'UCL LOANS'!L26+'UNSECURED LOANS'!L26</f>
        <v>4321</v>
      </c>
      <c r="L26" s="15">
        <f t="shared" si="15"/>
        <v>0.07104804498668157</v>
      </c>
      <c r="M26" s="15"/>
      <c r="N26" s="11"/>
      <c r="O26" s="15"/>
      <c r="P26" s="15"/>
      <c r="Q26" s="10">
        <f>+'SECURED LOANS'!R85+'RETAIL CREDIT'!R27+'UCL LOANS'!R26+'UNSECURED LOANS'!R26</f>
        <v>33398244.040000007</v>
      </c>
      <c r="R26" s="15">
        <f t="shared" si="16"/>
        <v>0.09336685322079254</v>
      </c>
      <c r="S26" s="11">
        <f>+'SECURED LOANS'!T85+'RETAIL CREDIT'!T27+'UCL LOANS'!T26+'UNSECURED LOANS'!T26</f>
        <v>4190</v>
      </c>
      <c r="T26" s="15">
        <f t="shared" si="17"/>
        <v>0.06732654176173795</v>
      </c>
      <c r="U26" s="15"/>
      <c r="V26" s="11"/>
      <c r="W26" s="15"/>
      <c r="X26" s="15"/>
      <c r="Y26" s="10">
        <f>+'SECURED LOANS'!Y85+'RETAIL CREDIT'!Z27+'UCL LOANS'!Z26+'UNSECURED LOANS'!Z26</f>
        <v>33965117.16000004</v>
      </c>
      <c r="Z26" s="15">
        <f t="shared" si="18"/>
        <v>0.09482905168320066</v>
      </c>
      <c r="AA26" s="11">
        <f>+'SECURED LOANS'!AA85+'RETAIL CREDIT'!AB27+'UCL LOANS'!AB26+'UNSECURED LOANS'!AB26</f>
        <v>4067</v>
      </c>
      <c r="AB26" s="15">
        <f t="shared" si="19"/>
        <v>0.06684087696808336</v>
      </c>
      <c r="AC26" s="15"/>
      <c r="AD26" s="11"/>
      <c r="AE26" s="15"/>
      <c r="AF26" s="15"/>
      <c r="AG26" s="10">
        <f>+'SECURED LOANS'!AG85+'RETAIL CREDIT'!AH27+'UCL LOANS'!AG26+'UNSECURED LOANS'!AH26</f>
        <v>32027549.870000035</v>
      </c>
      <c r="AH26" s="15">
        <f t="shared" si="20"/>
        <v>0.08407887144179062</v>
      </c>
      <c r="AI26" s="11">
        <f>+'SECURED LOANS'!AI85+'RETAIL CREDIT'!AJ27+'UCL LOANS'!AI26+'UNSECURED LOANS'!AJ26</f>
        <v>3858</v>
      </c>
      <c r="AJ26" s="15">
        <f t="shared" si="21"/>
        <v>0.06166682650810396</v>
      </c>
      <c r="AK26" s="15"/>
      <c r="AL26" s="11"/>
      <c r="AM26" s="15"/>
      <c r="AN26" s="10">
        <f>+'SECURED LOANS'!AN85+'RETAIL CREDIT'!AO27+'UCL LOANS'!AN26+'UNSECURED LOANS'!AO26</f>
        <v>35556910.440000035</v>
      </c>
      <c r="AO26" s="15">
        <f t="shared" si="0"/>
        <v>0.0935389137236037</v>
      </c>
      <c r="AP26" s="11">
        <f>+'SECURED LOANS'!AP85+'RETAIL CREDIT'!AQ27+'UCL LOANS'!AP26+'UNSECURED LOANS'!AQ26</f>
        <v>4061</v>
      </c>
      <c r="AQ26" s="15">
        <f t="shared" si="1"/>
        <v>0.06529148847229814</v>
      </c>
      <c r="AR26" s="15"/>
      <c r="AS26" s="11"/>
      <c r="AT26" s="15"/>
      <c r="AU26" s="10">
        <f>+'SECURED LOANS'!AU85+'RETAIL CREDIT'!AV27+'UCL LOANS'!AU26+'UNSECURED LOANS'!AV26</f>
        <v>35638905.29000004</v>
      </c>
      <c r="AV26" s="15">
        <f t="shared" si="2"/>
        <v>0.09333110023838535</v>
      </c>
      <c r="AW26" s="11">
        <f>+'SECURED LOANS'!AW85+'RETAIL CREDIT'!AX27+'UCL LOANS'!AW26+'UNSECURED LOANS'!AX26</f>
        <v>3985</v>
      </c>
      <c r="AX26" s="15">
        <f t="shared" si="3"/>
        <v>0.06306876632112052</v>
      </c>
      <c r="AY26" s="15"/>
      <c r="AZ26" s="11"/>
      <c r="BA26" s="15"/>
      <c r="BB26" s="10">
        <f>+'SECURED LOANS'!BB85+'RETAIL CREDIT'!BC27+'UCL LOANS'!BB26+'UNSECURED LOANS'!BC26</f>
        <v>35616509.55999998</v>
      </c>
      <c r="BC26" s="15">
        <f t="shared" si="4"/>
        <v>0.09869643448635156</v>
      </c>
      <c r="BD26" s="11">
        <f>+'SECURED LOANS'!BD85+'RETAIL CREDIT'!BE27+'UCL LOANS'!BD26+'UNSECURED LOANS'!BE26</f>
        <v>3839</v>
      </c>
      <c r="BE26" s="15">
        <f t="shared" si="5"/>
        <v>0.06428655156823015</v>
      </c>
      <c r="BF26" s="15"/>
      <c r="BG26" s="11"/>
      <c r="BH26" s="15"/>
      <c r="BI26" s="10">
        <f>+'SECURED LOANS'!BI85+'RETAIL CREDIT'!BJ27+'UCL LOANS'!BI26+'UNSECURED LOANS'!BJ26</f>
        <v>26381101.650000013</v>
      </c>
      <c r="BJ26" s="15">
        <f t="shared" si="6"/>
        <v>0.0731043188353634</v>
      </c>
      <c r="BK26" s="11">
        <f>+'SECURED LOANS'!BK85+'RETAIL CREDIT'!BL27+'UCL LOANS'!BK26+'UNSECURED LOANS'!BL26</f>
        <v>3306</v>
      </c>
      <c r="BL26" s="15">
        <f t="shared" si="7"/>
        <v>0.05536111994909322</v>
      </c>
      <c r="BM26" s="15"/>
      <c r="BN26" s="11"/>
      <c r="BO26" s="15"/>
      <c r="BP26" s="10">
        <f>+'SECURED LOANS'!BP85+'RETAIL CREDIT'!BQ27+'UCL LOANS'!BP26+'UNSECURED LOANS'!BQ26</f>
        <v>29985065.99999998</v>
      </c>
      <c r="BQ26" s="15">
        <f t="shared" si="22"/>
        <v>0.08821188493663872</v>
      </c>
      <c r="BR26" s="11">
        <f>+'SECURED LOANS'!BR85+'RETAIL CREDIT'!BS27+'UCL LOANS'!BR26+'UNSECURED LOANS'!BS26</f>
        <v>3366</v>
      </c>
      <c r="BS26" s="15">
        <f t="shared" si="23"/>
        <v>0.06757272198020597</v>
      </c>
      <c r="BT26" s="15"/>
      <c r="BU26" s="11"/>
      <c r="BV26" s="15"/>
      <c r="BW26" s="10">
        <f>+'SECURED LOANS'!BW85+'RETAIL CREDIT'!BX27+'UCL LOANS'!BW26+'UNSECURED LOANS'!BX26</f>
        <v>29030019.330000017</v>
      </c>
      <c r="BX26" s="15">
        <f t="shared" si="24"/>
        <v>0.08827557096799933</v>
      </c>
      <c r="BY26" s="11">
        <f>+'SECURED LOANS'!BY85+'RETAIL CREDIT'!BZ27+'UCL LOANS'!BY26+'UNSECURED LOANS'!BZ26</f>
        <v>3163</v>
      </c>
      <c r="BZ26" s="15">
        <f t="shared" si="25"/>
        <v>0.0695929592959296</v>
      </c>
      <c r="CA26" s="15"/>
      <c r="CB26" s="11"/>
      <c r="CC26" s="15"/>
      <c r="CD26" s="10">
        <f>+'SECURED LOANS'!CD85+'RETAIL CREDIT'!CE27+'UCL LOANS'!CD26+'UNSECURED LOANS'!CE26</f>
        <v>30466995.410000045</v>
      </c>
      <c r="CE26" s="15">
        <f t="shared" si="8"/>
        <v>0.0919657233514703</v>
      </c>
      <c r="CF26" s="11">
        <f>+'SECURED LOANS'!CF85+'RETAIL CREDIT'!CG27+'UCL LOANS'!CF26+'UNSECURED LOANS'!CG26</f>
        <v>3171</v>
      </c>
      <c r="CG26" s="15">
        <f t="shared" si="9"/>
        <v>0.05663612495311579</v>
      </c>
      <c r="CH26" s="15"/>
      <c r="CI26" s="11"/>
      <c r="CJ26" s="15"/>
      <c r="CK26" s="10">
        <f>+'SECURED LOANS'!CK85+'RETAIL CREDIT'!CL27+'UCL LOANS'!CK26+'UNSECURED LOANS'!CL26</f>
        <v>31205159.049999982</v>
      </c>
      <c r="CL26" s="15">
        <f t="shared" si="10"/>
        <v>0.09419389689437459</v>
      </c>
      <c r="CM26" s="11">
        <f>+'SECURED LOANS'!CM85+'RETAIL CREDIT'!CN27+'UCL LOANS'!CM26+'UNSECURED LOANS'!CN26</f>
        <v>3188</v>
      </c>
      <c r="CN26" s="15">
        <f t="shared" si="11"/>
        <v>0.056939756023504616</v>
      </c>
      <c r="CO26" s="15"/>
      <c r="CP26" s="11"/>
      <c r="CQ26" s="15"/>
    </row>
    <row r="27" spans="1:95" ht="12.75">
      <c r="A27" s="9" t="s">
        <v>84</v>
      </c>
      <c r="B27" s="9"/>
      <c r="C27" s="9"/>
      <c r="D27" s="10">
        <f>+'SECURED LOANS'!D86+'RETAIL CREDIT'!D28+'UNSECURED LOANS'!D27+'UCL LOANS'!D27</f>
        <v>42500697.179999895</v>
      </c>
      <c r="E27" s="15">
        <f t="shared" si="12"/>
        <v>0.11116604243760092</v>
      </c>
      <c r="F27" s="11">
        <f>+'SECURED LOANS'!F86+'RETAIL CREDIT'!F28+'UNSECURED LOANS'!F27+'UCL LOANS'!F27</f>
        <v>4827</v>
      </c>
      <c r="G27" s="15">
        <f t="shared" si="13"/>
        <v>0.07058462258356973</v>
      </c>
      <c r="H27" s="15"/>
      <c r="I27" s="10">
        <f>+'SECURED LOANS'!J86+'RETAIL CREDIT'!J28+'UCL LOANS'!J27+'UNSECURED LOANS'!J27</f>
        <v>41709886.64000015</v>
      </c>
      <c r="J27" s="15">
        <f t="shared" si="14"/>
        <v>0.11760948854471164</v>
      </c>
      <c r="K27" s="11">
        <f>+'SECURED LOANS'!L86+'RETAIL CREDIT'!L28+'UCL LOANS'!L27+'UNSECURED LOANS'!L27</f>
        <v>4730</v>
      </c>
      <c r="L27" s="15">
        <f t="shared" si="15"/>
        <v>0.07777302772205597</v>
      </c>
      <c r="M27" s="15"/>
      <c r="N27" s="11"/>
      <c r="O27" s="15"/>
      <c r="P27" s="15"/>
      <c r="Q27" s="10">
        <f>+'SECURED LOANS'!R86+'RETAIL CREDIT'!R28+'UCL LOANS'!R27+'UNSECURED LOANS'!R27</f>
        <v>39234908.380000025</v>
      </c>
      <c r="R27" s="15">
        <f t="shared" si="16"/>
        <v>0.10968360873881156</v>
      </c>
      <c r="S27" s="11">
        <f>+'SECURED LOANS'!T86+'RETAIL CREDIT'!T28+'UCL LOANS'!T27+'UNSECURED LOANS'!T27</f>
        <v>4530</v>
      </c>
      <c r="T27" s="15">
        <f t="shared" si="17"/>
        <v>0.07278979336054246</v>
      </c>
      <c r="U27" s="15"/>
      <c r="V27" s="11"/>
      <c r="W27" s="15"/>
      <c r="X27" s="15"/>
      <c r="Y27" s="10">
        <f>+'SECURED LOANS'!Y86+'RETAIL CREDIT'!Z28+'UCL LOANS'!Z27+'UNSECURED LOANS'!Z27</f>
        <v>37412735.44000005</v>
      </c>
      <c r="Z27" s="15">
        <f t="shared" si="18"/>
        <v>0.10445464403779119</v>
      </c>
      <c r="AA27" s="11">
        <f>+'SECURED LOANS'!AA86+'RETAIL CREDIT'!AB28+'UCL LOANS'!AB27+'UNSECURED LOANS'!AB27</f>
        <v>4370</v>
      </c>
      <c r="AB27" s="15">
        <f t="shared" si="19"/>
        <v>0.07182066199914539</v>
      </c>
      <c r="AC27" s="15"/>
      <c r="AD27" s="11"/>
      <c r="AE27" s="15"/>
      <c r="AF27" s="15"/>
      <c r="AG27" s="10">
        <f>+'SECURED LOANS'!AG86+'RETAIL CREDIT'!AH28+'UCL LOANS'!AG27+'UNSECURED LOANS'!AH27</f>
        <v>36758817.14000003</v>
      </c>
      <c r="AH27" s="15">
        <f t="shared" si="20"/>
        <v>0.09649941607182794</v>
      </c>
      <c r="AI27" s="11">
        <f>+'SECURED LOANS'!AI86+'RETAIL CREDIT'!AJ28+'UCL LOANS'!AI27+'UNSECURED LOANS'!AJ27</f>
        <v>4261</v>
      </c>
      <c r="AJ27" s="15">
        <f t="shared" si="21"/>
        <v>0.06810843643106039</v>
      </c>
      <c r="AK27" s="15"/>
      <c r="AL27" s="11"/>
      <c r="AM27" s="15"/>
      <c r="AN27" s="10">
        <f>+'SECURED LOANS'!AN86+'RETAIL CREDIT'!AO28+'UCL LOANS'!AN27+'UNSECURED LOANS'!AO27</f>
        <v>31950521.15</v>
      </c>
      <c r="AO27" s="15">
        <f t="shared" si="0"/>
        <v>0.08405165140309706</v>
      </c>
      <c r="AP27" s="11">
        <f>+'SECURED LOANS'!AP86+'RETAIL CREDIT'!AQ28+'UCL LOANS'!AP27+'UNSECURED LOANS'!AQ27</f>
        <v>2982</v>
      </c>
      <c r="AQ27" s="15">
        <f t="shared" si="1"/>
        <v>0.0479436637834014</v>
      </c>
      <c r="AR27" s="15"/>
      <c r="AS27" s="11"/>
      <c r="AT27" s="15"/>
      <c r="AU27" s="10">
        <f>+'SECURED LOANS'!AU86+'RETAIL CREDIT'!AV28+'UCL LOANS'!AU27+'UNSECURED LOANS'!AV27</f>
        <v>28094755.30999998</v>
      </c>
      <c r="AV27" s="15">
        <f t="shared" si="2"/>
        <v>0.0735744940164102</v>
      </c>
      <c r="AW27" s="11">
        <f>+'SECURED LOANS'!AW86+'RETAIL CREDIT'!AX28+'UCL LOANS'!AW27+'UNSECURED LOANS'!AX27</f>
        <v>2596</v>
      </c>
      <c r="AX27" s="15">
        <f t="shared" si="3"/>
        <v>0.04108570072010762</v>
      </c>
      <c r="AY27" s="15"/>
      <c r="AZ27" s="11"/>
      <c r="BA27" s="15"/>
      <c r="BB27" s="10">
        <f>+'SECURED LOANS'!BB86+'RETAIL CREDIT'!BC28+'UCL LOANS'!BB27+'UNSECURED LOANS'!BC27</f>
        <v>49964770.91000007</v>
      </c>
      <c r="BC27" s="15">
        <f t="shared" si="4"/>
        <v>0.1384567100949908</v>
      </c>
      <c r="BD27" s="11">
        <f>+'SECURED LOANS'!BD86+'RETAIL CREDIT'!BE28+'UCL LOANS'!BD27+'UNSECURED LOANS'!BE27</f>
        <v>5704</v>
      </c>
      <c r="BE27" s="15">
        <f t="shared" si="5"/>
        <v>0.09551718941005075</v>
      </c>
      <c r="BF27" s="15"/>
      <c r="BG27" s="11"/>
      <c r="BH27" s="15"/>
      <c r="BI27" s="10">
        <f>+'SECURED LOANS'!BI86+'RETAIL CREDIT'!BJ28+'UCL LOANS'!BI27+'UNSECURED LOANS'!BJ27</f>
        <v>40045032.85000003</v>
      </c>
      <c r="BJ27" s="15">
        <f t="shared" si="6"/>
        <v>0.11096825629489972</v>
      </c>
      <c r="BK27" s="11">
        <f>+'SECURED LOANS'!BK86+'RETAIL CREDIT'!BL28+'UCL LOANS'!BK27+'UNSECURED LOANS'!BL27</f>
        <v>3926</v>
      </c>
      <c r="BL27" s="15">
        <f t="shared" si="7"/>
        <v>0.06574342314583786</v>
      </c>
      <c r="BM27" s="15"/>
      <c r="BN27" s="11"/>
      <c r="BO27" s="15"/>
      <c r="BP27" s="10">
        <f>+'SECURED LOANS'!BP86+'RETAIL CREDIT'!BQ28+'UCL LOANS'!BP27+'UNSECURED LOANS'!BQ27</f>
        <v>37838555.49000007</v>
      </c>
      <c r="BQ27" s="15">
        <f t="shared" si="22"/>
        <v>0.11131575641862877</v>
      </c>
      <c r="BR27" s="11">
        <f>+'SECURED LOANS'!BR86+'RETAIL CREDIT'!BS28+'UCL LOANS'!BR27+'UNSECURED LOANS'!BS27</f>
        <v>3703</v>
      </c>
      <c r="BS27" s="15">
        <f t="shared" si="23"/>
        <v>0.07433802421054744</v>
      </c>
      <c r="BT27" s="15"/>
      <c r="BU27" s="11"/>
      <c r="BV27" s="15"/>
      <c r="BW27" s="10">
        <f>+'SECURED LOANS'!BW86+'RETAIL CREDIT'!BX28+'UCL LOANS'!BW27+'UNSECURED LOANS'!BX27</f>
        <v>35522710.14</v>
      </c>
      <c r="BX27" s="15">
        <f t="shared" si="24"/>
        <v>0.1080187885613522</v>
      </c>
      <c r="BY27" s="11">
        <f>+'SECURED LOANS'!BY86+'RETAIL CREDIT'!BZ28+'UCL LOANS'!BY27+'UNSECURED LOANS'!BZ27</f>
        <v>3537</v>
      </c>
      <c r="BZ27" s="15">
        <f t="shared" si="25"/>
        <v>0.07782178217821782</v>
      </c>
      <c r="CA27" s="15"/>
      <c r="CB27" s="11"/>
      <c r="CC27" s="15"/>
      <c r="CD27" s="10">
        <f>+'SECURED LOANS'!CD86+'RETAIL CREDIT'!CE28+'UCL LOANS'!CD27+'UNSECURED LOANS'!CE27</f>
        <v>42787054.54999998</v>
      </c>
      <c r="CE27" s="15">
        <f t="shared" si="8"/>
        <v>0.12915426574942204</v>
      </c>
      <c r="CF27" s="11">
        <f>+'SECURED LOANS'!CF86+'RETAIL CREDIT'!CG28+'UCL LOANS'!CF27+'UNSECURED LOANS'!CG27</f>
        <v>5150</v>
      </c>
      <c r="CG27" s="15">
        <f t="shared" si="9"/>
        <v>0.09198235367661504</v>
      </c>
      <c r="CH27" s="15"/>
      <c r="CI27" s="11"/>
      <c r="CJ27" s="15"/>
      <c r="CK27" s="10">
        <f>+'SECURED LOANS'!CK86+'RETAIL CREDIT'!CL28+'UCL LOANS'!CK27+'UNSECURED LOANS'!CL27</f>
        <v>34545726.16999998</v>
      </c>
      <c r="CL27" s="15">
        <f t="shared" si="10"/>
        <v>0.10427751910459428</v>
      </c>
      <c r="CM27" s="11">
        <f>+'SECURED LOANS'!CM86+'RETAIL CREDIT'!CN28+'UCL LOANS'!CM27+'UNSECURED LOANS'!CN27</f>
        <v>4206</v>
      </c>
      <c r="CN27" s="15">
        <f t="shared" si="11"/>
        <v>0.07512189894443551</v>
      </c>
      <c r="CO27" s="15"/>
      <c r="CP27" s="11"/>
      <c r="CQ27" s="15"/>
    </row>
    <row r="28" spans="1:95" ht="12.75">
      <c r="A28" s="9" t="s">
        <v>85</v>
      </c>
      <c r="B28" s="9"/>
      <c r="C28" s="9"/>
      <c r="D28" s="10">
        <f>+'SECURED LOANS'!D87+'RETAIL CREDIT'!D29+'UNSECURED LOANS'!D28+'UCL LOANS'!D28</f>
        <v>61716772.510000125</v>
      </c>
      <c r="E28" s="15">
        <f t="shared" si="12"/>
        <v>0.16142816017585274</v>
      </c>
      <c r="F28" s="11">
        <f>+'SECURED LOANS'!F87+'RETAIL CREDIT'!F29+'UNSECURED LOANS'!F28+'UCL LOANS'!F28</f>
        <v>7598</v>
      </c>
      <c r="G28" s="15">
        <f t="shared" si="13"/>
        <v>0.111104612055099</v>
      </c>
      <c r="H28" s="15"/>
      <c r="I28" s="10">
        <f>+'SECURED LOANS'!J87+'RETAIL CREDIT'!J29+'UCL LOANS'!J28+'UNSECURED LOANS'!J28</f>
        <v>45918445.94999995</v>
      </c>
      <c r="J28" s="15">
        <f t="shared" si="14"/>
        <v>0.12947637545886795</v>
      </c>
      <c r="K28" s="11">
        <f>+'SECURED LOANS'!L87+'RETAIL CREDIT'!L29+'UCL LOANS'!L28+'UNSECURED LOANS'!L28</f>
        <v>5926</v>
      </c>
      <c r="L28" s="15">
        <f t="shared" si="15"/>
        <v>0.09743825841033904</v>
      </c>
      <c r="M28" s="15"/>
      <c r="N28" s="11"/>
      <c r="O28" s="15"/>
      <c r="P28" s="15"/>
      <c r="Q28" s="10">
        <f>+'SECURED LOANS'!R87+'RETAIL CREDIT'!R29+'UCL LOANS'!R28+'UNSECURED LOANS'!R28</f>
        <v>42362835.87</v>
      </c>
      <c r="R28" s="15">
        <f t="shared" si="16"/>
        <v>0.11842792315529216</v>
      </c>
      <c r="S28" s="11">
        <f>+'SECURED LOANS'!T87+'RETAIL CREDIT'!T29+'UCL LOANS'!T28+'UNSECURED LOANS'!T28</f>
        <v>5308</v>
      </c>
      <c r="T28" s="15">
        <f t="shared" si="17"/>
        <v>0.08529099848957161</v>
      </c>
      <c r="U28" s="15"/>
      <c r="V28" s="11"/>
      <c r="W28" s="15"/>
      <c r="X28" s="15"/>
      <c r="Y28" s="10">
        <f>+'SECURED LOANS'!Y87+'RETAIL CREDIT'!Z29+'UCL LOANS'!Z28+'UNSECURED LOANS'!Z28</f>
        <v>35167844.37999999</v>
      </c>
      <c r="Z28" s="15">
        <f t="shared" si="18"/>
        <v>0.09818701100272526</v>
      </c>
      <c r="AA28" s="11">
        <f>+'SECURED LOANS'!AA87+'RETAIL CREDIT'!AB29+'UCL LOANS'!AB28+'UNSECURED LOANS'!AB28</f>
        <v>4232</v>
      </c>
      <c r="AB28" s="15">
        <f t="shared" si="19"/>
        <v>0.06955264109390921</v>
      </c>
      <c r="AC28" s="15"/>
      <c r="AD28" s="11"/>
      <c r="AE28" s="15"/>
      <c r="AF28" s="15"/>
      <c r="AG28" s="10">
        <f>+'SECURED LOANS'!AG87+'RETAIL CREDIT'!AH29+'UCL LOANS'!AG28+'UNSECURED LOANS'!AH28</f>
        <v>34198204.75999998</v>
      </c>
      <c r="AH28" s="15">
        <f t="shared" si="20"/>
        <v>0.08977728465733766</v>
      </c>
      <c r="AI28" s="11">
        <f>+'SECURED LOANS'!AI87+'RETAIL CREDIT'!AJ29+'UCL LOANS'!AI28+'UNSECURED LOANS'!AJ28</f>
        <v>3962</v>
      </c>
      <c r="AJ28" s="15">
        <f t="shared" si="21"/>
        <v>0.06332917745596368</v>
      </c>
      <c r="AK28" s="15"/>
      <c r="AL28" s="11"/>
      <c r="AM28" s="15"/>
      <c r="AN28" s="10">
        <f>+'SECURED LOANS'!AN87+'RETAIL CREDIT'!AO29+'UCL LOANS'!AN28+'UNSECURED LOANS'!AO28</f>
        <v>23691360.349999998</v>
      </c>
      <c r="AO28" s="15">
        <f t="shared" si="0"/>
        <v>0.06232442820117679</v>
      </c>
      <c r="AP28" s="11">
        <f>+'SECURED LOANS'!AP87+'RETAIL CREDIT'!AQ29+'UCL LOANS'!AP28+'UNSECURED LOANS'!AQ28</f>
        <v>3403</v>
      </c>
      <c r="AQ28" s="15">
        <f t="shared" si="1"/>
        <v>0.054712370172674364</v>
      </c>
      <c r="AR28" s="15"/>
      <c r="AS28" s="11"/>
      <c r="AT28" s="15"/>
      <c r="AU28" s="10">
        <f>+'SECURED LOANS'!AU87+'RETAIL CREDIT'!AV29+'UCL LOANS'!AU28+'UNSECURED LOANS'!AV28</f>
        <v>22799259.610000003</v>
      </c>
      <c r="AV28" s="15">
        <f t="shared" si="2"/>
        <v>0.059706659525789234</v>
      </c>
      <c r="AW28" s="11">
        <f>+'SECURED LOANS'!AW87+'RETAIL CREDIT'!AX29+'UCL LOANS'!AW28+'UNSECURED LOANS'!AX28</f>
        <v>3245</v>
      </c>
      <c r="AX28" s="15">
        <f t="shared" si="3"/>
        <v>0.051357125900134526</v>
      </c>
      <c r="AY28" s="15"/>
      <c r="AZ28" s="11"/>
      <c r="BA28" s="15"/>
      <c r="BB28" s="10">
        <f>+'SECURED LOANS'!BB87+'RETAIL CREDIT'!BC29+'UCL LOANS'!BB28+'UNSECURED LOANS'!BC28</f>
        <v>3032973.65</v>
      </c>
      <c r="BC28" s="15">
        <f t="shared" si="4"/>
        <v>0.008404632818995858</v>
      </c>
      <c r="BD28" s="11">
        <f>+'SECURED LOANS'!BD87+'RETAIL CREDIT'!BE29+'UCL LOANS'!BD28+'UNSECURED LOANS'!BE28</f>
        <v>124</v>
      </c>
      <c r="BE28" s="15">
        <f t="shared" si="5"/>
        <v>0.0020764606393489293</v>
      </c>
      <c r="BF28" s="15"/>
      <c r="BG28" s="11"/>
      <c r="BH28" s="15"/>
      <c r="BI28" s="10">
        <f>+'SECURED LOANS'!BI87+'RETAIL CREDIT'!BJ29+'UCL LOANS'!BI28+'UNSECURED LOANS'!BJ28</f>
        <v>37193067.17999997</v>
      </c>
      <c r="BJ28" s="15">
        <f t="shared" si="6"/>
        <v>0.10306521227447704</v>
      </c>
      <c r="BK28" s="11">
        <f>+'SECURED LOANS'!BK87+'RETAIL CREDIT'!BL29+'UCL LOANS'!BK28+'UNSECURED LOANS'!BL28</f>
        <v>4814</v>
      </c>
      <c r="BL28" s="15">
        <f t="shared" si="7"/>
        <v>0.08061356062762698</v>
      </c>
      <c r="BM28" s="15"/>
      <c r="BN28" s="11"/>
      <c r="BO28" s="15"/>
      <c r="BP28" s="10">
        <f>+'SECURED LOANS'!BP87+'RETAIL CREDIT'!BQ29+'UCL LOANS'!BP28+'UNSECURED LOANS'!BQ28</f>
        <v>29680499.33999999</v>
      </c>
      <c r="BQ28" s="15">
        <f t="shared" si="22"/>
        <v>0.08731589227257536</v>
      </c>
      <c r="BR28" s="11">
        <f>+'SECURED LOANS'!BR87+'RETAIL CREDIT'!BS29+'UCL LOANS'!BR28+'UNSECURED LOANS'!BS28</f>
        <v>3799</v>
      </c>
      <c r="BS28" s="15">
        <f t="shared" si="23"/>
        <v>0.07626523196755867</v>
      </c>
      <c r="BT28" s="15"/>
      <c r="BU28" s="11"/>
      <c r="BV28" s="15"/>
      <c r="BW28" s="10">
        <f>+'SECURED LOANS'!BW87+'RETAIL CREDIT'!BX29+'UCL LOANS'!BW28+'UNSECURED LOANS'!BX28</f>
        <v>22058304.36999998</v>
      </c>
      <c r="BX28" s="15">
        <f t="shared" si="24"/>
        <v>0.06707571878312152</v>
      </c>
      <c r="BY28" s="11">
        <f>+'SECURED LOANS'!BY87+'RETAIL CREDIT'!BZ29+'UCL LOANS'!BY28+'UNSECURED LOANS'!BZ28</f>
        <v>2892</v>
      </c>
      <c r="BZ28" s="15">
        <f t="shared" si="25"/>
        <v>0.06363036303630364</v>
      </c>
      <c r="CA28" s="15"/>
      <c r="CB28" s="11"/>
      <c r="CC28" s="15"/>
      <c r="CD28" s="10">
        <f>+'SECURED LOANS'!CD87+'RETAIL CREDIT'!CE29+'UCL LOANS'!CD28+'UNSECURED LOANS'!CE28</f>
        <v>3585826.5100000002</v>
      </c>
      <c r="CE28" s="15">
        <f t="shared" si="8"/>
        <v>0.010823946515473866</v>
      </c>
      <c r="CF28" s="11">
        <f>+'SECURED LOANS'!CF87+'RETAIL CREDIT'!CG29+'UCL LOANS'!CF28+'UNSECURED LOANS'!CG28</f>
        <v>136</v>
      </c>
      <c r="CG28" s="15">
        <f t="shared" si="9"/>
        <v>0.002429048563110611</v>
      </c>
      <c r="CH28" s="15"/>
      <c r="CI28" s="11"/>
      <c r="CJ28" s="15"/>
      <c r="CK28" s="10">
        <f>+'SECURED LOANS'!CK87+'RETAIL CREDIT'!CL29+'UCL LOANS'!CK28+'UNSECURED LOANS'!CL28</f>
        <v>3721617.04</v>
      </c>
      <c r="CL28" s="15">
        <f t="shared" si="10"/>
        <v>0.011233835122724932</v>
      </c>
      <c r="CM28" s="11">
        <f>+'SECURED LOANS'!CM87+'RETAIL CREDIT'!CN29+'UCL LOANS'!CM28+'UNSECURED LOANS'!CN28</f>
        <v>146</v>
      </c>
      <c r="CN28" s="15">
        <f t="shared" si="11"/>
        <v>0.0026076550751040384</v>
      </c>
      <c r="CO28" s="15"/>
      <c r="CP28" s="11"/>
      <c r="CQ28" s="15"/>
    </row>
    <row r="29" spans="1:95" ht="12.75">
      <c r="A29" s="9" t="s">
        <v>6</v>
      </c>
      <c r="B29" s="9"/>
      <c r="C29" s="9"/>
      <c r="D29" s="10">
        <f>+'SECURED LOANS'!D88+'UCL LOANS'!D29+'UNSECURED LOANS'!D29</f>
        <v>4340633.859999999</v>
      </c>
      <c r="E29" s="15">
        <f t="shared" si="12"/>
        <v>0.011353486410898651</v>
      </c>
      <c r="F29" s="11">
        <f>+'SECURED LOANS'!F88+'UCL LOANS'!F29+'UNSECURED LOANS'!F29</f>
        <v>232</v>
      </c>
      <c r="G29" s="15">
        <f t="shared" si="13"/>
        <v>0.0033925072383236333</v>
      </c>
      <c r="H29" s="15"/>
      <c r="I29" s="10">
        <f>+'SECURED LOANS'!J88+'UCL LOANS'!J29+'UNSECURED LOANS'!J29</f>
        <v>4289066.4399999995</v>
      </c>
      <c r="J29" s="15">
        <f t="shared" si="14"/>
        <v>0.012093893102527148</v>
      </c>
      <c r="K29" s="11">
        <f>+'SECURED LOANS'!L88+'UCL LOANS'!L29+'UNSECURED LOANS'!L29</f>
        <v>232</v>
      </c>
      <c r="L29" s="15">
        <f t="shared" si="15"/>
        <v>0.0038146601335131048</v>
      </c>
      <c r="M29" s="15"/>
      <c r="N29" s="11"/>
      <c r="O29" s="15"/>
      <c r="P29" s="15"/>
      <c r="Q29" s="10">
        <f>+'SECURED LOANS'!R88+'UCL LOANS'!R29+'UNSECURED LOANS'!R29</f>
        <v>8032751.480000005</v>
      </c>
      <c r="R29" s="15">
        <f t="shared" si="16"/>
        <v>0.022456052704268592</v>
      </c>
      <c r="S29" s="11">
        <f>+'SECURED LOANS'!T88+'UCL LOANS'!T29+'UNSECURED LOANS'!T29</f>
        <v>403</v>
      </c>
      <c r="T29" s="15">
        <f t="shared" si="17"/>
        <v>0.006475559983288877</v>
      </c>
      <c r="U29" s="15"/>
      <c r="V29" s="11"/>
      <c r="W29" s="15"/>
      <c r="X29" s="15"/>
      <c r="Y29" s="10">
        <f>+'SECURED LOANS'!Y88+'UCL LOANS'!Z29+'UNSECURED LOANS'!Z29</f>
        <v>12542290.44</v>
      </c>
      <c r="Z29" s="15">
        <f t="shared" si="18"/>
        <v>0.03501750053614336</v>
      </c>
      <c r="AA29" s="11">
        <f>+'SECURED LOANS'!AA88+'UCL LOANS'!AB29+'UNSECURED LOANS'!AB29</f>
        <v>591</v>
      </c>
      <c r="AB29" s="15">
        <f t="shared" si="19"/>
        <v>0.009713046050685337</v>
      </c>
      <c r="AC29" s="15"/>
      <c r="AD29" s="11"/>
      <c r="AE29" s="15"/>
      <c r="AF29" s="15"/>
      <c r="AG29" s="10">
        <f>+'SECURED LOANS'!AG88+'UCL LOANS'!AG29+'UNSECURED LOANS'!AH29</f>
        <v>17023073.640000008</v>
      </c>
      <c r="AH29" s="15">
        <f t="shared" si="20"/>
        <v>0.044689051330222586</v>
      </c>
      <c r="AI29" s="11">
        <f>+'SECURED LOANS'!AI88+'UCL LOANS'!AI29+'UNSECURED LOANS'!AJ29</f>
        <v>782</v>
      </c>
      <c r="AJ29" s="15">
        <f t="shared" si="21"/>
        <v>0.012499600396406765</v>
      </c>
      <c r="AK29" s="15"/>
      <c r="AL29" s="11"/>
      <c r="AM29" s="15"/>
      <c r="AN29" s="10">
        <f>+'SECURED LOANS'!AN88+'UCL LOANS'!AN29+'UNSECURED LOANS'!AO29</f>
        <v>15948749.819999997</v>
      </c>
      <c r="AO29" s="15">
        <f t="shared" si="0"/>
        <v>0.04195608434342695</v>
      </c>
      <c r="AP29" s="11">
        <f>+'SECURED LOANS'!AP88+'UCL LOANS'!AP29+'UNSECURED LOANS'!AQ29</f>
        <v>676</v>
      </c>
      <c r="AQ29" s="15">
        <f t="shared" si="1"/>
        <v>0.010868516672561819</v>
      </c>
      <c r="AR29" s="15"/>
      <c r="AS29" s="11"/>
      <c r="AT29" s="15"/>
      <c r="AU29" s="10">
        <f>+'SECURED LOANS'!AU88+'UCL LOANS'!AU29+'UNSECURED LOANS'!AV29</f>
        <v>19680499.150000002</v>
      </c>
      <c r="AV29" s="15">
        <f t="shared" si="2"/>
        <v>0.05153925531560866</v>
      </c>
      <c r="AW29" s="11">
        <f>+'SECURED LOANS'!AW88+'UCL LOANS'!AW29+'UNSECURED LOANS'!AX29</f>
        <v>815</v>
      </c>
      <c r="AX29" s="15">
        <f t="shared" si="3"/>
        <v>0.012898631004194033</v>
      </c>
      <c r="AY29" s="15"/>
      <c r="AZ29" s="11"/>
      <c r="BA29" s="15"/>
      <c r="BB29" s="10">
        <f>+'SECURED LOANS'!BB88+'UCL LOANS'!BB29+'UNSECURED LOANS'!BC29</f>
        <v>21030530.45000004</v>
      </c>
      <c r="BC29" s="15">
        <f t="shared" si="4"/>
        <v>0.05827742236433939</v>
      </c>
      <c r="BD29" s="11">
        <f>+'SECURED LOANS'!BD88+'UCL LOANS'!BD29+'UNSECURED LOANS'!BE29</f>
        <v>847</v>
      </c>
      <c r="BE29" s="15">
        <f t="shared" si="5"/>
        <v>0.014183565818778573</v>
      </c>
      <c r="BF29" s="15"/>
      <c r="BG29" s="11"/>
      <c r="BH29" s="15"/>
      <c r="BI29" s="10">
        <f>+'SECURED LOANS'!BI88+'UCL LOANS'!BI29+'UNSECURED LOANS'!BJ29</f>
        <v>21942551.980000027</v>
      </c>
      <c r="BJ29" s="15">
        <f t="shared" si="6"/>
        <v>0.06080471305895808</v>
      </c>
      <c r="BK29" s="11">
        <f>+'SECURED LOANS'!BK88+'UCL LOANS'!BK29+'UNSECURED LOANS'!BL29</f>
        <v>867</v>
      </c>
      <c r="BL29" s="15">
        <f t="shared" si="7"/>
        <v>0.014518478825125174</v>
      </c>
      <c r="BM29" s="15"/>
      <c r="BN29" s="11"/>
      <c r="BO29" s="15"/>
      <c r="BP29" s="10">
        <f>+'SECURED LOANS'!BP88+'UCL LOANS'!BP29+'UNSECURED LOANS'!BQ29</f>
        <v>25532268.670000017</v>
      </c>
      <c r="BQ29" s="15">
        <f t="shared" si="22"/>
        <v>0.07511237581032466</v>
      </c>
      <c r="BR29" s="11">
        <f>+'SECURED LOANS'!BR88+'UCL LOANS'!BR29+'UNSECURED LOANS'!BS29</f>
        <v>999</v>
      </c>
      <c r="BS29" s="15">
        <f t="shared" si="23"/>
        <v>0.02005500572139803</v>
      </c>
      <c r="BT29" s="15"/>
      <c r="BU29" s="11"/>
      <c r="BV29" s="15"/>
      <c r="BW29" s="10">
        <f>+'SECURED LOANS'!BW88+'UCL LOANS'!BW29+'UNSECURED LOANS'!BX29</f>
        <v>27650212.470000032</v>
      </c>
      <c r="BX29" s="15">
        <f t="shared" si="24"/>
        <v>0.08407980254609587</v>
      </c>
      <c r="BY29" s="11">
        <f>+'SECURED LOANS'!BY88+'UCL LOANS'!BY29+'UNSECURED LOANS'!BZ29</f>
        <v>1066</v>
      </c>
      <c r="BZ29" s="15">
        <f t="shared" si="25"/>
        <v>0.023454345434543455</v>
      </c>
      <c r="CA29" s="15"/>
      <c r="CB29" s="11"/>
      <c r="CC29" s="15"/>
      <c r="CD29" s="10">
        <f>+'SECURED LOANS'!CD88+'UCL LOANS'!CD29+'UNSECURED LOANS'!CE29</f>
        <v>29198990.399999995</v>
      </c>
      <c r="CE29" s="15">
        <f t="shared" si="8"/>
        <v>0.08813820454337452</v>
      </c>
      <c r="CF29" s="11">
        <f>+'SECURED LOANS'!CF88+'UCL LOANS'!CF29+'UNSECURED LOANS'!CG29</f>
        <v>1117</v>
      </c>
      <c r="CG29" s="15">
        <f t="shared" si="9"/>
        <v>0.019950347389665828</v>
      </c>
      <c r="CH29" s="15"/>
      <c r="CI29" s="11"/>
      <c r="CJ29" s="15"/>
      <c r="CK29" s="10">
        <f>+'SECURED LOANS'!CK88+'UCL LOANS'!CK29+'UNSECURED LOANS'!CL29</f>
        <v>28914445.959999986</v>
      </c>
      <c r="CL29" s="15">
        <f t="shared" si="10"/>
        <v>0.08727929689928006</v>
      </c>
      <c r="CM29" s="11">
        <f>+'SECURED LOANS'!CM88+'UCL LOANS'!CM29+'UNSECURED LOANS'!CN29</f>
        <v>1090</v>
      </c>
      <c r="CN29" s="15">
        <f t="shared" si="11"/>
        <v>0.019468109807283574</v>
      </c>
      <c r="CO29" s="15"/>
      <c r="CP29" s="11"/>
      <c r="CQ29" s="15"/>
    </row>
    <row r="30" spans="1:95" ht="12.75">
      <c r="A30" s="9" t="s">
        <v>7</v>
      </c>
      <c r="B30" s="9"/>
      <c r="C30" s="9"/>
      <c r="D30" s="10">
        <f>+'SECURED LOANS'!D89+'UCL LOANS'!D30+'UNSECURED LOANS'!D30</f>
        <v>32802813.990000065</v>
      </c>
      <c r="E30" s="15">
        <f t="shared" si="12"/>
        <v>0.08579998103657191</v>
      </c>
      <c r="F30" s="11">
        <f>+'SECURED LOANS'!F89+'UCL LOANS'!F30+'UNSECURED LOANS'!F30</f>
        <v>2692</v>
      </c>
      <c r="G30" s="15">
        <f t="shared" si="13"/>
        <v>0.03936478226537595</v>
      </c>
      <c r="H30" s="15"/>
      <c r="I30" s="10">
        <f>+'SECURED LOANS'!J89+'UNSECURED LOANS'!J30+'UCL LOANS'!J30</f>
        <v>32263687.910000026</v>
      </c>
      <c r="J30" s="15">
        <f t="shared" si="14"/>
        <v>0.09097401454029187</v>
      </c>
      <c r="K30" s="11">
        <f>+'SECURED LOANS'!L89+'UNSECURED LOANS'!L30+'UCL LOANS'!L30</f>
        <v>1684</v>
      </c>
      <c r="L30" s="15">
        <f t="shared" si="15"/>
        <v>0.027689170969120984</v>
      </c>
      <c r="M30" s="15"/>
      <c r="N30" s="11"/>
      <c r="O30" s="15"/>
      <c r="P30" s="15"/>
      <c r="Q30" s="10">
        <f>+'SECURED LOANS'!R89+'UNSECURED LOANS'!R30+'UCL LOANS'!R30</f>
        <v>34311479.930000015</v>
      </c>
      <c r="R30" s="15">
        <f t="shared" si="16"/>
        <v>0.0959198605344546</v>
      </c>
      <c r="S30" s="11">
        <f>+'SECURED LOANS'!T89+'UNSECURED LOANS'!T30+'UCL LOANS'!T30</f>
        <v>1760</v>
      </c>
      <c r="T30" s="15">
        <f t="shared" si="17"/>
        <v>0.028280361217341003</v>
      </c>
      <c r="U30" s="15"/>
      <c r="V30" s="11"/>
      <c r="W30" s="15"/>
      <c r="X30" s="15"/>
      <c r="Y30" s="10">
        <f>+'SECURED LOANS'!Y89+'UNSECURED LOANS'!Z30+'UCL LOANS'!Z30</f>
        <v>36236547.30000003</v>
      </c>
      <c r="Z30" s="15">
        <f t="shared" si="18"/>
        <v>0.10117078061427313</v>
      </c>
      <c r="AA30" s="11">
        <f>+'SECURED LOANS'!AA89+'UNSECURED LOANS'!AB30+'UCL LOANS'!AB30</f>
        <v>1826</v>
      </c>
      <c r="AB30" s="15">
        <f t="shared" si="19"/>
        <v>0.03001018965913947</v>
      </c>
      <c r="AC30" s="15"/>
      <c r="AD30" s="11"/>
      <c r="AE30" s="15"/>
      <c r="AF30" s="15"/>
      <c r="AG30" s="10">
        <f>+'SECURED LOANS'!AG89+'UNSECURED LOANS'!AH30+'UCL LOANS'!AG30</f>
        <v>37986243.48000007</v>
      </c>
      <c r="AH30" s="15">
        <f t="shared" si="20"/>
        <v>0.09972166135328164</v>
      </c>
      <c r="AI30" s="11">
        <f>+'SECURED LOANS'!AI89+'UNSECURED LOANS'!AJ30+'UCL LOANS'!AI30</f>
        <v>1878</v>
      </c>
      <c r="AJ30" s="15">
        <f t="shared" si="21"/>
        <v>0.030018221923851538</v>
      </c>
      <c r="AK30" s="15"/>
      <c r="AL30" s="11"/>
      <c r="AM30" s="15"/>
      <c r="AN30" s="10">
        <f>+'SECURED LOANS'!AN89+'UNSECURED LOANS'!AO30+'UCL LOANS'!AN30</f>
        <v>38575036.28</v>
      </c>
      <c r="AO30" s="15">
        <f t="shared" si="0"/>
        <v>0.10147864214942179</v>
      </c>
      <c r="AP30" s="11">
        <f>+'SECURED LOANS'!AP89+'UNSECURED LOANS'!AQ30+'UCL LOANS'!AP30</f>
        <v>1856</v>
      </c>
      <c r="AQ30" s="15">
        <f t="shared" si="1"/>
        <v>0.029840187787388662</v>
      </c>
      <c r="AR30" s="15"/>
      <c r="AS30" s="11"/>
      <c r="AT30" s="15"/>
      <c r="AU30" s="10">
        <f>+'SECURED LOANS'!AU89+'UNSECURED LOANS'!AV30+'UCL LOANS'!AU30</f>
        <v>41089700.69</v>
      </c>
      <c r="AV30" s="15">
        <f t="shared" si="2"/>
        <v>0.10760563330040596</v>
      </c>
      <c r="AW30" s="11">
        <f>+'SECURED LOANS'!AW89+'UNSECURED LOANS'!AX30+'UCL LOANS'!AW30</f>
        <v>1935</v>
      </c>
      <c r="AX30" s="15">
        <f t="shared" si="3"/>
        <v>0.030624357046767428</v>
      </c>
      <c r="AY30" s="15"/>
      <c r="AZ30" s="11"/>
      <c r="BA30" s="15"/>
      <c r="BB30" s="10">
        <f>+'SECURED LOANS'!BB89+'UNSECURED LOANS'!BC30+'UCL LOANS'!BB30</f>
        <v>39182002.989999995</v>
      </c>
      <c r="BC30" s="15">
        <f t="shared" si="4"/>
        <v>0.1085767257634262</v>
      </c>
      <c r="BD30" s="11">
        <f>+'SECURED LOANS'!BD89+'UNSECURED LOANS'!BE30+'UCL LOANS'!BD30</f>
        <v>1801</v>
      </c>
      <c r="BE30" s="15">
        <f t="shared" si="5"/>
        <v>0.030158916221511463</v>
      </c>
      <c r="BF30" s="15"/>
      <c r="BG30" s="11"/>
      <c r="BH30" s="15"/>
      <c r="BI30" s="10">
        <f>+'SECURED LOANS'!BI89+'UNSECURED LOANS'!BJ30+'UCL LOANS'!BI30</f>
        <v>39425401.539999984</v>
      </c>
      <c r="BJ30" s="15">
        <f t="shared" si="6"/>
        <v>0.10925120423818178</v>
      </c>
      <c r="BK30" s="11">
        <f>+'SECURED LOANS'!BK89+'UNSECURED LOANS'!BL30+'UCL LOANS'!BK30</f>
        <v>1814</v>
      </c>
      <c r="BL30" s="15">
        <f t="shared" si="7"/>
        <v>0.030376609675636754</v>
      </c>
      <c r="BM30" s="15"/>
      <c r="BN30" s="11"/>
      <c r="BO30" s="15"/>
      <c r="BP30" s="10">
        <f>+'SECURED LOANS'!BP89+'UNSECURED LOANS'!BQ30+'UCL LOANS'!BP30</f>
        <v>41609466.30999998</v>
      </c>
      <c r="BQ30" s="15">
        <f t="shared" si="22"/>
        <v>0.1224092504719738</v>
      </c>
      <c r="BR30" s="11">
        <f>+'SECURED LOANS'!BR89+'UNSECURED LOANS'!BS30+'UCL LOANS'!BR30</f>
        <v>1845</v>
      </c>
      <c r="BS30" s="15">
        <f t="shared" si="23"/>
        <v>0.03703852408005942</v>
      </c>
      <c r="BT30" s="15"/>
      <c r="BU30" s="11"/>
      <c r="BV30" s="15"/>
      <c r="BW30" s="10">
        <f>+'SECURED LOANS'!BW89+'UNSECURED LOANS'!BX30+'UCL LOANS'!BW30</f>
        <v>42423070.649999976</v>
      </c>
      <c r="BX30" s="15">
        <f t="shared" si="24"/>
        <v>0.12900166345995057</v>
      </c>
      <c r="BY30" s="11">
        <f>+'SECURED LOANS'!BY89+'UNSECURED LOANS'!BZ30+'UCL LOANS'!BY30</f>
        <v>1854</v>
      </c>
      <c r="BZ30" s="15">
        <f t="shared" si="25"/>
        <v>0.040792079207920794</v>
      </c>
      <c r="CA30" s="15"/>
      <c r="CB30" s="11"/>
      <c r="CC30" s="15"/>
      <c r="CD30" s="10">
        <f>+'SECURED LOANS'!CD89+'UNSECURED LOANS'!CE30+'UCL LOANS'!CD30</f>
        <v>41820673.919999935</v>
      </c>
      <c r="CE30" s="15">
        <f t="shared" si="8"/>
        <v>0.12623721099969</v>
      </c>
      <c r="CF30" s="11">
        <f>+'SECURED LOANS'!CF89+'UNSECURED LOANS'!CG30+'UCL LOANS'!CF30</f>
        <v>1768</v>
      </c>
      <c r="CG30" s="15">
        <f t="shared" si="9"/>
        <v>0.03157763132043794</v>
      </c>
      <c r="CH30" s="15"/>
      <c r="CI30" s="11"/>
      <c r="CJ30" s="15"/>
      <c r="CK30" s="10">
        <f>+'SECURED LOANS'!CK89+'UNSECURED LOANS'!CL30+'UCL LOANS'!CK30</f>
        <v>40093013.71999996</v>
      </c>
      <c r="CL30" s="15">
        <f t="shared" si="10"/>
        <v>0.12102220643949656</v>
      </c>
      <c r="CM30" s="11">
        <f>+'SECURED LOANS'!CM89+'UNSECURED LOANS'!CN30+'UCL LOANS'!CM30</f>
        <v>1682</v>
      </c>
      <c r="CN30" s="15">
        <f t="shared" si="11"/>
        <v>0.03004161531729447</v>
      </c>
      <c r="CO30" s="15"/>
      <c r="CP30" s="11"/>
      <c r="CQ30" s="15"/>
    </row>
    <row r="31" spans="1:95" ht="12.75">
      <c r="A31" s="9" t="s">
        <v>8</v>
      </c>
      <c r="B31" s="9"/>
      <c r="C31" s="9"/>
      <c r="D31" s="10">
        <f>+'SECURED LOANS'!D90</f>
        <v>1421310.43</v>
      </c>
      <c r="E31" s="15">
        <f t="shared" si="12"/>
        <v>0.0037176203230081975</v>
      </c>
      <c r="F31" s="11">
        <f>+'SECURED LOANS'!F90</f>
        <v>50</v>
      </c>
      <c r="G31" s="15">
        <f t="shared" si="13"/>
        <v>0.000731143801362852</v>
      </c>
      <c r="H31" s="15"/>
      <c r="I31" s="10">
        <f>+'SECURED LOANS'!J90</f>
        <v>1407188.03</v>
      </c>
      <c r="J31" s="15">
        <f t="shared" si="14"/>
        <v>0.003967852176702529</v>
      </c>
      <c r="K31" s="11">
        <f>+'SECURED LOANS'!L90</f>
        <v>49</v>
      </c>
      <c r="L31" s="15">
        <f t="shared" si="15"/>
        <v>0.0008056825281988884</v>
      </c>
      <c r="M31" s="15"/>
      <c r="N31" s="11"/>
      <c r="O31" s="15"/>
      <c r="P31" s="15"/>
      <c r="Q31" s="10">
        <f>+'SECURED LOANS'!R90</f>
        <v>3321954.34</v>
      </c>
      <c r="R31" s="15">
        <f>+Q31/$Q$33</f>
        <v>0.009286728454869829</v>
      </c>
      <c r="S31" s="11">
        <f>+'SECURED LOANS'!T90</f>
        <v>120</v>
      </c>
      <c r="T31" s="15">
        <f t="shared" si="17"/>
        <v>0.0019282064466368866</v>
      </c>
      <c r="U31" s="15"/>
      <c r="V31" s="11"/>
      <c r="W31" s="15"/>
      <c r="X31" s="15"/>
      <c r="Y31" s="10">
        <f>+'SECURED LOANS'!Y90</f>
        <v>6606983.370000005</v>
      </c>
      <c r="Z31" s="15">
        <f t="shared" si="18"/>
        <v>0.01844639500321326</v>
      </c>
      <c r="AA31" s="11">
        <f>+'SECURED LOANS'!AA90</f>
        <v>231</v>
      </c>
      <c r="AB31" s="15">
        <f t="shared" si="19"/>
        <v>0.0037964697761561977</v>
      </c>
      <c r="AC31" s="15"/>
      <c r="AD31" s="11"/>
      <c r="AE31" s="15"/>
      <c r="AF31" s="15"/>
      <c r="AG31" s="10">
        <f>+'SECURED LOANS'!AG90</f>
        <v>9356070.190000005</v>
      </c>
      <c r="AH31" s="15">
        <f t="shared" si="20"/>
        <v>0.024561598558066007</v>
      </c>
      <c r="AI31" s="11">
        <f>+'SECURED LOANS'!AI90</f>
        <v>334</v>
      </c>
      <c r="AJ31" s="15">
        <f t="shared" si="21"/>
        <v>0.005338704005626418</v>
      </c>
      <c r="AK31" s="15"/>
      <c r="AL31" s="11"/>
      <c r="AM31" s="15"/>
      <c r="AN31" s="10">
        <f>+'SECURED LOANS'!AN90</f>
        <v>10689499.619999986</v>
      </c>
      <c r="AO31" s="15">
        <f t="shared" si="0"/>
        <v>0.028120671068733956</v>
      </c>
      <c r="AP31" s="11">
        <f>+'SECURED LOANS'!AP90</f>
        <v>360</v>
      </c>
      <c r="AQ31" s="15">
        <f t="shared" si="1"/>
        <v>0.005787967458760731</v>
      </c>
      <c r="AR31" s="15"/>
      <c r="AS31" s="11"/>
      <c r="AT31" s="15"/>
      <c r="AU31" s="10">
        <f>+'SECURED LOANS'!AU90</f>
        <v>15810594.299999997</v>
      </c>
      <c r="AV31" s="15">
        <f t="shared" si="2"/>
        <v>0.04140475554550184</v>
      </c>
      <c r="AW31" s="11">
        <f>+'SECURED LOANS'!AW90</f>
        <v>502</v>
      </c>
      <c r="AX31" s="15">
        <f t="shared" si="3"/>
        <v>0.007944923636939147</v>
      </c>
      <c r="AY31" s="15"/>
      <c r="AZ31" s="11"/>
      <c r="BA31" s="15"/>
      <c r="BB31" s="10">
        <f>+'SECURED LOANS'!BB90</f>
        <v>17539491.910000015</v>
      </c>
      <c r="BC31" s="15">
        <f t="shared" si="4"/>
        <v>0.04860345203965041</v>
      </c>
      <c r="BD31" s="11">
        <f>+'SECURED LOANS'!BD90</f>
        <v>543</v>
      </c>
      <c r="BE31" s="15">
        <f t="shared" si="5"/>
        <v>0.00909288812231023</v>
      </c>
      <c r="BF31" s="15"/>
      <c r="BG31" s="11"/>
      <c r="BH31" s="15"/>
      <c r="BI31" s="10">
        <f>+'SECURED LOANS'!BI90</f>
        <v>19137514.310000002</v>
      </c>
      <c r="BJ31" s="15">
        <f t="shared" si="6"/>
        <v>0.05303171059327498</v>
      </c>
      <c r="BK31" s="11">
        <f>+'SECURED LOANS'!BK90</f>
        <v>595</v>
      </c>
      <c r="BL31" s="15">
        <f t="shared" si="7"/>
        <v>0.009963661938811394</v>
      </c>
      <c r="BM31" s="15"/>
      <c r="BN31" s="11"/>
      <c r="BO31" s="15"/>
      <c r="BP31" s="10">
        <f>+'SECURED LOANS'!BP90</f>
        <v>23801887.559999987</v>
      </c>
      <c r="BQ31" s="15">
        <f t="shared" si="22"/>
        <v>0.07002183576042596</v>
      </c>
      <c r="BR31" s="11">
        <f>+'SECURED LOANS'!BR90</f>
        <v>733</v>
      </c>
      <c r="BS31" s="15">
        <f t="shared" si="23"/>
        <v>0.014715034228012768</v>
      </c>
      <c r="BT31" s="15"/>
      <c r="BU31" s="11"/>
      <c r="BV31" s="15"/>
      <c r="BW31" s="10">
        <f>+'SECURED LOANS'!BW90</f>
        <v>26341834.919999976</v>
      </c>
      <c r="BX31" s="15">
        <f t="shared" si="24"/>
        <v>0.08010123904756557</v>
      </c>
      <c r="BY31" s="11">
        <f>+'SECURED LOANS'!BY90</f>
        <v>808</v>
      </c>
      <c r="BZ31" s="15">
        <f t="shared" si="25"/>
        <v>0.017777777777777778</v>
      </c>
      <c r="CA31" s="15"/>
      <c r="CB31" s="11"/>
      <c r="CC31" s="15"/>
      <c r="CD31" s="10">
        <f>+'SECURED LOANS'!CD90</f>
        <v>30788118.73000001</v>
      </c>
      <c r="CE31" s="15">
        <f t="shared" si="8"/>
        <v>0.09293504566275831</v>
      </c>
      <c r="CF31" s="11">
        <f>+'SECURED LOANS'!CF90</f>
        <v>929</v>
      </c>
      <c r="CG31" s="15">
        <f t="shared" si="9"/>
        <v>0.016592544964189396</v>
      </c>
      <c r="CH31" s="15"/>
      <c r="CI31" s="11"/>
      <c r="CJ31" s="15"/>
      <c r="CK31" s="10">
        <f>+'SECURED LOANS'!CK90</f>
        <v>31870893.879999995</v>
      </c>
      <c r="CL31" s="15">
        <f t="shared" si="10"/>
        <v>0.09620344146473035</v>
      </c>
      <c r="CM31" s="11">
        <f>+'SECURED LOANS'!CM90</f>
        <v>947</v>
      </c>
      <c r="CN31" s="15">
        <f t="shared" si="11"/>
        <v>0.016914036685777564</v>
      </c>
      <c r="CO31" s="15"/>
      <c r="CP31" s="11"/>
      <c r="CQ31" s="15"/>
    </row>
    <row r="32" spans="1:95" ht="12.75">
      <c r="A32" s="9"/>
      <c r="B32" s="13"/>
      <c r="C32" s="13"/>
      <c r="D32" s="10"/>
      <c r="E32" s="9"/>
      <c r="F32" s="11"/>
      <c r="G32" s="9"/>
      <c r="H32" s="9"/>
      <c r="I32" s="10"/>
      <c r="J32" s="9"/>
      <c r="K32" s="11"/>
      <c r="L32" s="9"/>
      <c r="M32" s="9"/>
      <c r="N32" s="11"/>
      <c r="O32" s="9"/>
      <c r="P32" s="9"/>
      <c r="Q32" s="10"/>
      <c r="R32" s="9"/>
      <c r="S32" s="11"/>
      <c r="T32" s="9"/>
      <c r="U32" s="9"/>
      <c r="V32" s="11"/>
      <c r="W32" s="9"/>
      <c r="X32" s="9"/>
      <c r="Y32" s="10"/>
      <c r="Z32" s="9"/>
      <c r="AA32" s="11"/>
      <c r="AB32" s="9"/>
      <c r="AC32" s="9"/>
      <c r="AD32" s="11"/>
      <c r="AE32" s="9"/>
      <c r="AF32" s="9"/>
      <c r="AG32" s="10"/>
      <c r="AH32" s="9"/>
      <c r="AI32" s="11"/>
      <c r="AJ32" s="9"/>
      <c r="AK32" s="9"/>
      <c r="AL32" s="11"/>
      <c r="AM32" s="9"/>
      <c r="AN32" s="10"/>
      <c r="AO32" s="15"/>
      <c r="AP32" s="11"/>
      <c r="AQ32" s="15"/>
      <c r="AR32" s="9"/>
      <c r="AS32" s="11"/>
      <c r="AT32" s="9"/>
      <c r="AU32" s="10"/>
      <c r="AV32" s="15"/>
      <c r="AW32" s="11"/>
      <c r="AX32" s="15"/>
      <c r="AY32" s="9"/>
      <c r="AZ32" s="11"/>
      <c r="BA32" s="9"/>
      <c r="BB32" s="10"/>
      <c r="BC32" s="15"/>
      <c r="BD32" s="11"/>
      <c r="BE32" s="15"/>
      <c r="BF32" s="9"/>
      <c r="BG32" s="11"/>
      <c r="BH32" s="9"/>
      <c r="BI32" s="10"/>
      <c r="BJ32" s="15"/>
      <c r="BK32" s="11"/>
      <c r="BL32" s="15"/>
      <c r="BM32" s="9"/>
      <c r="BN32" s="11"/>
      <c r="BO32" s="9"/>
      <c r="BP32" s="10"/>
      <c r="BQ32" s="15"/>
      <c r="BR32" s="11"/>
      <c r="BS32" s="15"/>
      <c r="BT32" s="9"/>
      <c r="BU32" s="11"/>
      <c r="BV32" s="9"/>
      <c r="BW32" s="10"/>
      <c r="BX32" s="15"/>
      <c r="BY32" s="11"/>
      <c r="BZ32" s="15"/>
      <c r="CA32" s="9"/>
      <c r="CB32" s="11"/>
      <c r="CC32" s="9"/>
      <c r="CD32" s="10"/>
      <c r="CE32" s="15"/>
      <c r="CF32" s="11"/>
      <c r="CG32" s="15"/>
      <c r="CH32" s="9"/>
      <c r="CI32" s="11"/>
      <c r="CJ32" s="9"/>
      <c r="CK32" s="10"/>
      <c r="CL32" s="15"/>
      <c r="CM32" s="11"/>
      <c r="CN32" s="15"/>
      <c r="CO32" s="9"/>
      <c r="CP32" s="11"/>
      <c r="CQ32" s="9"/>
    </row>
    <row r="33" spans="1:95" ht="13.5" thickBot="1">
      <c r="A33" s="9"/>
      <c r="B33" s="9"/>
      <c r="C33" s="9"/>
      <c r="D33" s="22">
        <f>SUM(D19:D32)</f>
        <v>382317263.87000006</v>
      </c>
      <c r="E33" s="13"/>
      <c r="F33" s="23">
        <f>SUM(F19:F32)</f>
        <v>68386</v>
      </c>
      <c r="G33" s="24"/>
      <c r="H33" s="24"/>
      <c r="I33" s="22">
        <f>SUM(I19:I32)</f>
        <v>354647292.12000006</v>
      </c>
      <c r="J33" s="13"/>
      <c r="K33" s="23">
        <f>SUM(K19:K32)</f>
        <v>60818</v>
      </c>
      <c r="L33" s="24"/>
      <c r="M33" s="13"/>
      <c r="N33" s="32"/>
      <c r="O33" s="24"/>
      <c r="P33" s="24"/>
      <c r="Q33" s="22">
        <f>SUM(Q19:Q32)</f>
        <v>357709860.49</v>
      </c>
      <c r="R33" s="13"/>
      <c r="S33" s="23">
        <f>SUM(S19:S32)</f>
        <v>62234</v>
      </c>
      <c r="T33" s="24"/>
      <c r="U33" s="13"/>
      <c r="V33" s="32"/>
      <c r="W33" s="24"/>
      <c r="X33" s="24"/>
      <c r="Y33" s="22">
        <f>SUM(Y19:Y32)</f>
        <v>358172063.91</v>
      </c>
      <c r="Z33" s="13"/>
      <c r="AA33" s="23">
        <f>SUM(AA19:AA32)</f>
        <v>60846</v>
      </c>
      <c r="AB33" s="24"/>
      <c r="AC33" s="13"/>
      <c r="AD33" s="32"/>
      <c r="AE33" s="24"/>
      <c r="AF33" s="24"/>
      <c r="AG33" s="22">
        <f>SUM(AG19:AG32)</f>
        <v>380922689.8600002</v>
      </c>
      <c r="AH33" s="13"/>
      <c r="AI33" s="23">
        <f>SUM(AI19:AI32)</f>
        <v>62562</v>
      </c>
      <c r="AJ33" s="24"/>
      <c r="AK33" s="13"/>
      <c r="AL33" s="32"/>
      <c r="AM33" s="24"/>
      <c r="AN33" s="22">
        <f>SUM(AN19:AN32)</f>
        <v>380129606.22</v>
      </c>
      <c r="AO33" s="101"/>
      <c r="AP33" s="23">
        <f>SUM(AP19:AP32)</f>
        <v>62198</v>
      </c>
      <c r="AQ33" s="101"/>
      <c r="AR33" s="13"/>
      <c r="AS33" s="32"/>
      <c r="AT33" s="24"/>
      <c r="AU33" s="22">
        <f>SUM(AU19:AU32)</f>
        <v>381854550.08000016</v>
      </c>
      <c r="AV33" s="101"/>
      <c r="AW33" s="23">
        <f>SUM(AW19:AW32)</f>
        <v>63185</v>
      </c>
      <c r="AX33" s="101"/>
      <c r="AY33" s="13"/>
      <c r="AZ33" s="32"/>
      <c r="BA33" s="24"/>
      <c r="BB33" s="22">
        <f>SUM(BB19:BB32)</f>
        <v>360869262.86000013</v>
      </c>
      <c r="BC33" s="101"/>
      <c r="BD33" s="23">
        <f>SUM(BD19:BD32)</f>
        <v>59717</v>
      </c>
      <c r="BE33" s="101"/>
      <c r="BF33" s="13"/>
      <c r="BG33" s="32"/>
      <c r="BH33" s="24"/>
      <c r="BI33" s="22">
        <f>SUM(BI19:BI32)</f>
        <v>343991119.43</v>
      </c>
      <c r="BJ33" s="101"/>
      <c r="BK33" s="23">
        <f>SUM(BK19:BK32)</f>
        <v>55288</v>
      </c>
      <c r="BL33" s="101"/>
      <c r="BM33" s="13"/>
      <c r="BN33" s="32"/>
      <c r="BO33" s="24"/>
      <c r="BP33" s="22">
        <f>SUM(BP19:BP32)</f>
        <v>339920930.40000004</v>
      </c>
      <c r="BQ33" s="101"/>
      <c r="BR33" s="23">
        <f>SUM(BR19:BR32)</f>
        <v>49813</v>
      </c>
      <c r="BS33" s="101"/>
      <c r="BT33" s="13"/>
      <c r="BU33" s="32"/>
      <c r="BV33" s="24"/>
      <c r="BW33" s="22">
        <f>SUM(BW19:BW32)</f>
        <v>328856772.16999996</v>
      </c>
      <c r="BX33" s="101"/>
      <c r="BY33" s="23">
        <f>SUM(BY19:BY32)</f>
        <v>45450</v>
      </c>
      <c r="BZ33" s="101"/>
      <c r="CA33" s="13"/>
      <c r="CB33" s="32"/>
      <c r="CC33" s="24"/>
      <c r="CD33" s="22">
        <f>SUM(CD19:CD32)</f>
        <v>331286421.72</v>
      </c>
      <c r="CE33" s="101"/>
      <c r="CF33" s="23">
        <f>SUM(CF19:CF32)</f>
        <v>55989</v>
      </c>
      <c r="CG33" s="101"/>
      <c r="CH33" s="13"/>
      <c r="CI33" s="32"/>
      <c r="CJ33" s="24"/>
      <c r="CK33" s="22">
        <f>SUM(CK19:CK32)</f>
        <v>330666497.96000004</v>
      </c>
      <c r="CL33" s="101"/>
      <c r="CM33" s="23">
        <f>SUM(CM19:CM32)</f>
        <v>55375</v>
      </c>
      <c r="CN33" s="101"/>
      <c r="CO33" s="13"/>
      <c r="CP33" s="32"/>
      <c r="CQ33" s="24"/>
    </row>
    <row r="34" spans="1:95" ht="13.5" thickTop="1">
      <c r="A34" s="20"/>
      <c r="B34" s="9"/>
      <c r="C34" s="9"/>
      <c r="D34" s="10"/>
      <c r="E34" s="9"/>
      <c r="F34" s="11"/>
      <c r="G34" s="9"/>
      <c r="H34" s="9"/>
      <c r="I34" s="10"/>
      <c r="J34" s="9"/>
      <c r="K34" s="11"/>
      <c r="L34" s="9"/>
      <c r="M34" s="9"/>
      <c r="N34" s="11"/>
      <c r="O34" s="9"/>
      <c r="P34" s="9"/>
      <c r="Q34" s="10"/>
      <c r="R34" s="9"/>
      <c r="S34" s="11"/>
      <c r="T34" s="9"/>
      <c r="U34" s="9"/>
      <c r="V34" s="11"/>
      <c r="W34" s="9"/>
      <c r="X34" s="9"/>
      <c r="Y34" s="10"/>
      <c r="Z34" s="9"/>
      <c r="AA34" s="11"/>
      <c r="AB34" s="9"/>
      <c r="AC34" s="9"/>
      <c r="AD34" s="11"/>
      <c r="AE34" s="9"/>
      <c r="AF34" s="9"/>
      <c r="AG34" s="10"/>
      <c r="AH34" s="9"/>
      <c r="AI34" s="11"/>
      <c r="AJ34" s="9"/>
      <c r="AK34" s="9"/>
      <c r="AL34" s="11"/>
      <c r="AM34" s="9"/>
      <c r="AN34" s="10"/>
      <c r="AO34" s="15"/>
      <c r="AP34" s="11"/>
      <c r="AQ34" s="15"/>
      <c r="AR34" s="9"/>
      <c r="AS34" s="11"/>
      <c r="AT34" s="9"/>
      <c r="AU34" s="10"/>
      <c r="AV34" s="15"/>
      <c r="AW34" s="11"/>
      <c r="AX34" s="15"/>
      <c r="AY34" s="9"/>
      <c r="AZ34" s="11"/>
      <c r="BA34" s="9"/>
      <c r="BB34" s="10"/>
      <c r="BC34" s="15"/>
      <c r="BD34" s="11"/>
      <c r="BE34" s="15"/>
      <c r="BF34" s="9"/>
      <c r="BG34" s="11"/>
      <c r="BH34" s="9"/>
      <c r="BI34" s="10"/>
      <c r="BJ34" s="15"/>
      <c r="BK34" s="11"/>
      <c r="BL34" s="15"/>
      <c r="BM34" s="9"/>
      <c r="BN34" s="11"/>
      <c r="BO34" s="9"/>
      <c r="BP34" s="10"/>
      <c r="BQ34" s="15"/>
      <c r="BR34" s="11"/>
      <c r="BS34" s="15"/>
      <c r="BT34" s="9"/>
      <c r="BU34" s="11"/>
      <c r="BV34" s="9"/>
      <c r="BW34" s="10"/>
      <c r="BX34" s="15"/>
      <c r="BY34" s="11"/>
      <c r="BZ34" s="15"/>
      <c r="CA34" s="9"/>
      <c r="CB34" s="11"/>
      <c r="CC34" s="9"/>
      <c r="CD34" s="10"/>
      <c r="CE34" s="15"/>
      <c r="CF34" s="11"/>
      <c r="CG34" s="15"/>
      <c r="CH34" s="9"/>
      <c r="CI34" s="11"/>
      <c r="CJ34" s="9"/>
      <c r="CK34" s="10"/>
      <c r="CL34" s="15"/>
      <c r="CM34" s="11"/>
      <c r="CN34" s="15"/>
      <c r="CO34" s="9"/>
      <c r="CP34" s="11"/>
      <c r="CQ34" s="9"/>
    </row>
    <row r="35" spans="1:95" ht="12.75">
      <c r="A35" s="20"/>
      <c r="B35" s="9"/>
      <c r="C35" s="9"/>
      <c r="D35" s="10"/>
      <c r="E35" s="9"/>
      <c r="F35" s="11"/>
      <c r="G35" s="9"/>
      <c r="H35" s="9"/>
      <c r="I35" s="20"/>
      <c r="J35" s="9"/>
      <c r="K35" s="9"/>
      <c r="L35" s="10"/>
      <c r="M35" s="9"/>
      <c r="N35" s="11"/>
      <c r="O35" s="9"/>
      <c r="P35" s="9"/>
      <c r="Q35" s="20"/>
      <c r="R35" s="9"/>
      <c r="S35" s="9"/>
      <c r="T35" s="10"/>
      <c r="U35" s="9"/>
      <c r="V35" s="11"/>
      <c r="W35" s="9"/>
      <c r="X35" s="9"/>
      <c r="Y35" s="20"/>
      <c r="Z35" s="9"/>
      <c r="AA35" s="9"/>
      <c r="AB35" s="10"/>
      <c r="AC35" s="9"/>
      <c r="AD35" s="11"/>
      <c r="AE35" s="9"/>
      <c r="AF35" s="9"/>
      <c r="AG35" s="20"/>
      <c r="AH35" s="9"/>
      <c r="AI35" s="9"/>
      <c r="AJ35" s="10"/>
      <c r="AK35" s="9"/>
      <c r="AL35" s="11"/>
      <c r="AM35" s="9"/>
      <c r="AN35" s="20"/>
      <c r="AO35" s="15"/>
      <c r="AP35" s="9"/>
      <c r="AQ35" s="15"/>
      <c r="AR35" s="9"/>
      <c r="AS35" s="11"/>
      <c r="AT35" s="9"/>
      <c r="AU35" s="20"/>
      <c r="AV35" s="15"/>
      <c r="AW35" s="9"/>
      <c r="AX35" s="15"/>
      <c r="AY35" s="9"/>
      <c r="AZ35" s="11"/>
      <c r="BA35" s="9"/>
      <c r="BB35" s="20"/>
      <c r="BC35" s="15"/>
      <c r="BD35" s="9"/>
      <c r="BE35" s="15"/>
      <c r="BF35" s="9"/>
      <c r="BG35" s="11"/>
      <c r="BH35" s="9"/>
      <c r="BI35" s="20"/>
      <c r="BJ35" s="15"/>
      <c r="BK35" s="9"/>
      <c r="BL35" s="15"/>
      <c r="BM35" s="9"/>
      <c r="BN35" s="11"/>
      <c r="BO35" s="9"/>
      <c r="BP35" s="20"/>
      <c r="BQ35" s="15"/>
      <c r="BR35" s="9"/>
      <c r="BS35" s="15"/>
      <c r="BT35" s="9"/>
      <c r="BU35" s="11"/>
      <c r="BV35" s="9"/>
      <c r="BW35" s="20"/>
      <c r="BX35" s="15"/>
      <c r="BY35" s="9"/>
      <c r="BZ35" s="15"/>
      <c r="CA35" s="9"/>
      <c r="CB35" s="11"/>
      <c r="CC35" s="9"/>
      <c r="CD35" s="20"/>
      <c r="CE35" s="15"/>
      <c r="CF35" s="9"/>
      <c r="CG35" s="15"/>
      <c r="CH35" s="9"/>
      <c r="CI35" s="11"/>
      <c r="CJ35" s="9"/>
      <c r="CK35" s="20"/>
      <c r="CL35" s="15"/>
      <c r="CM35" s="9"/>
      <c r="CN35" s="15"/>
      <c r="CO35" s="9"/>
      <c r="CP35" s="11"/>
      <c r="CQ35" s="9"/>
    </row>
    <row r="36" spans="1:95" ht="12.75">
      <c r="A36" s="20" t="s">
        <v>98</v>
      </c>
      <c r="B36" s="9"/>
      <c r="C36" s="9"/>
      <c r="D36" s="10"/>
      <c r="E36" s="9"/>
      <c r="F36" s="11"/>
      <c r="G36" s="9"/>
      <c r="H36" s="9"/>
      <c r="I36" s="20" t="s">
        <v>98</v>
      </c>
      <c r="J36" s="9"/>
      <c r="K36" s="9"/>
      <c r="L36" s="10"/>
      <c r="M36" s="9"/>
      <c r="N36" s="11"/>
      <c r="O36" s="9"/>
      <c r="P36" s="9"/>
      <c r="Q36" s="20" t="s">
        <v>98</v>
      </c>
      <c r="R36" s="9"/>
      <c r="S36" s="9"/>
      <c r="T36" s="10"/>
      <c r="U36" s="9"/>
      <c r="V36" s="11"/>
      <c r="W36" s="9"/>
      <c r="X36" s="9"/>
      <c r="Y36" s="20" t="s">
        <v>98</v>
      </c>
      <c r="Z36" s="9"/>
      <c r="AA36" s="9"/>
      <c r="AB36" s="10"/>
      <c r="AC36" s="9"/>
      <c r="AD36" s="11"/>
      <c r="AE36" s="9"/>
      <c r="AF36" s="9"/>
      <c r="AG36" s="20" t="s">
        <v>98</v>
      </c>
      <c r="AH36" s="9"/>
      <c r="AI36" s="9"/>
      <c r="AJ36" s="10"/>
      <c r="AK36" s="9"/>
      <c r="AL36" s="11"/>
      <c r="AM36" s="9"/>
      <c r="AN36" s="20" t="s">
        <v>98</v>
      </c>
      <c r="AO36" s="15"/>
      <c r="AP36" s="9"/>
      <c r="AQ36" s="15"/>
      <c r="AR36" s="9"/>
      <c r="AS36" s="11"/>
      <c r="AT36" s="9"/>
      <c r="AU36" s="20" t="s">
        <v>98</v>
      </c>
      <c r="AV36" s="15"/>
      <c r="AW36" s="9"/>
      <c r="AX36" s="15"/>
      <c r="AY36" s="9"/>
      <c r="AZ36" s="11"/>
      <c r="BA36" s="9"/>
      <c r="BB36" s="20" t="s">
        <v>98</v>
      </c>
      <c r="BC36" s="15"/>
      <c r="BD36" s="9"/>
      <c r="BE36" s="15"/>
      <c r="BF36" s="9"/>
      <c r="BG36" s="11"/>
      <c r="BH36" s="9"/>
      <c r="BI36" s="20" t="s">
        <v>98</v>
      </c>
      <c r="BJ36" s="15"/>
      <c r="BK36" s="9"/>
      <c r="BL36" s="15"/>
      <c r="BM36" s="9"/>
      <c r="BN36" s="11"/>
      <c r="BO36" s="9"/>
      <c r="BP36" s="20" t="s">
        <v>98</v>
      </c>
      <c r="BQ36" s="15"/>
      <c r="BR36" s="9"/>
      <c r="BS36" s="15"/>
      <c r="BT36" s="9"/>
      <c r="BU36" s="11"/>
      <c r="BV36" s="9"/>
      <c r="BW36" s="20" t="s">
        <v>98</v>
      </c>
      <c r="BX36" s="15"/>
      <c r="BY36" s="9"/>
      <c r="BZ36" s="15"/>
      <c r="CA36" s="9"/>
      <c r="CB36" s="11"/>
      <c r="CC36" s="9"/>
      <c r="CD36" s="20" t="s">
        <v>98</v>
      </c>
      <c r="CE36" s="15"/>
      <c r="CF36" s="9"/>
      <c r="CG36" s="15"/>
      <c r="CH36" s="9"/>
      <c r="CI36" s="11"/>
      <c r="CJ36" s="9"/>
      <c r="CK36" s="20" t="s">
        <v>98</v>
      </c>
      <c r="CL36" s="15"/>
      <c r="CM36" s="9"/>
      <c r="CN36" s="15"/>
      <c r="CO36" s="9"/>
      <c r="CP36" s="11"/>
      <c r="CQ36" s="9"/>
    </row>
    <row r="37" spans="1:95" ht="12.75">
      <c r="A37" s="20"/>
      <c r="B37" s="9"/>
      <c r="C37" s="9"/>
      <c r="D37" s="10"/>
      <c r="E37" s="9"/>
      <c r="F37" s="11"/>
      <c r="G37" s="9"/>
      <c r="H37" s="9"/>
      <c r="I37" s="20"/>
      <c r="J37" s="9"/>
      <c r="K37" s="9"/>
      <c r="L37" s="10"/>
      <c r="M37" s="9"/>
      <c r="N37" s="11"/>
      <c r="O37" s="9"/>
      <c r="P37" s="9"/>
      <c r="Q37" s="20"/>
      <c r="R37" s="9"/>
      <c r="S37" s="9"/>
      <c r="T37" s="10"/>
      <c r="U37" s="9"/>
      <c r="V37" s="11"/>
      <c r="W37" s="9"/>
      <c r="X37" s="9"/>
      <c r="Y37" s="20"/>
      <c r="Z37" s="9"/>
      <c r="AA37" s="9"/>
      <c r="AB37" s="10"/>
      <c r="AC37" s="9"/>
      <c r="AD37" s="11"/>
      <c r="AE37" s="9"/>
      <c r="AF37" s="9"/>
      <c r="AG37" s="20"/>
      <c r="AH37" s="9"/>
      <c r="AI37" s="9"/>
      <c r="AJ37" s="10"/>
      <c r="AK37" s="9"/>
      <c r="AL37" s="11"/>
      <c r="AM37" s="9"/>
      <c r="AN37" s="20"/>
      <c r="AO37" s="15"/>
      <c r="AP37" s="9"/>
      <c r="AQ37" s="15"/>
      <c r="AR37" s="9"/>
      <c r="AS37" s="11"/>
      <c r="AT37" s="9"/>
      <c r="AU37" s="20"/>
      <c r="AV37" s="15"/>
      <c r="AW37" s="9"/>
      <c r="AX37" s="15"/>
      <c r="AY37" s="9"/>
      <c r="AZ37" s="11"/>
      <c r="BA37" s="9"/>
      <c r="BB37" s="20"/>
      <c r="BC37" s="15"/>
      <c r="BD37" s="9"/>
      <c r="BE37" s="15"/>
      <c r="BF37" s="9"/>
      <c r="BG37" s="11"/>
      <c r="BH37" s="9"/>
      <c r="BI37" s="20"/>
      <c r="BJ37" s="15"/>
      <c r="BK37" s="9"/>
      <c r="BL37" s="15"/>
      <c r="BM37" s="9"/>
      <c r="BN37" s="11"/>
      <c r="BO37" s="9"/>
      <c r="BP37" s="20"/>
      <c r="BQ37" s="15"/>
      <c r="BR37" s="9"/>
      <c r="BS37" s="15"/>
      <c r="BT37" s="9"/>
      <c r="BU37" s="11"/>
      <c r="BV37" s="9"/>
      <c r="BW37" s="20"/>
      <c r="BX37" s="15"/>
      <c r="BY37" s="9"/>
      <c r="BZ37" s="15"/>
      <c r="CA37" s="9"/>
      <c r="CB37" s="11"/>
      <c r="CC37" s="9"/>
      <c r="CD37" s="20"/>
      <c r="CE37" s="15"/>
      <c r="CF37" s="9"/>
      <c r="CG37" s="15"/>
      <c r="CH37" s="9"/>
      <c r="CI37" s="11"/>
      <c r="CJ37" s="9"/>
      <c r="CK37" s="20"/>
      <c r="CL37" s="15"/>
      <c r="CM37" s="9"/>
      <c r="CN37" s="15"/>
      <c r="CO37" s="9"/>
      <c r="CP37" s="11"/>
      <c r="CQ37" s="9"/>
    </row>
    <row r="38" spans="1:95" s="30" customFormat="1" ht="12.75">
      <c r="A38" s="26"/>
      <c r="B38" s="27"/>
      <c r="C38" s="27"/>
      <c r="D38" s="28" t="s">
        <v>143</v>
      </c>
      <c r="E38" s="27" t="s">
        <v>96</v>
      </c>
      <c r="F38" s="29" t="s">
        <v>97</v>
      </c>
      <c r="G38" s="27" t="s">
        <v>96</v>
      </c>
      <c r="H38" s="27"/>
      <c r="I38" s="28" t="s">
        <v>143</v>
      </c>
      <c r="J38" s="27" t="s">
        <v>96</v>
      </c>
      <c r="K38" s="29" t="s">
        <v>97</v>
      </c>
      <c r="L38" s="27" t="s">
        <v>96</v>
      </c>
      <c r="M38" s="54"/>
      <c r="N38" s="32"/>
      <c r="O38" s="54"/>
      <c r="P38" s="27"/>
      <c r="Q38" s="28" t="s">
        <v>143</v>
      </c>
      <c r="R38" s="27" t="s">
        <v>96</v>
      </c>
      <c r="S38" s="29" t="s">
        <v>97</v>
      </c>
      <c r="T38" s="27" t="s">
        <v>96</v>
      </c>
      <c r="U38" s="54"/>
      <c r="V38" s="32"/>
      <c r="W38" s="54"/>
      <c r="X38" s="27"/>
      <c r="Y38" s="28" t="s">
        <v>143</v>
      </c>
      <c r="Z38" s="27" t="s">
        <v>96</v>
      </c>
      <c r="AA38" s="29" t="s">
        <v>97</v>
      </c>
      <c r="AB38" s="27" t="s">
        <v>96</v>
      </c>
      <c r="AC38" s="54"/>
      <c r="AD38" s="32"/>
      <c r="AE38" s="54"/>
      <c r="AF38" s="27"/>
      <c r="AG38" s="28" t="s">
        <v>143</v>
      </c>
      <c r="AH38" s="27" t="s">
        <v>96</v>
      </c>
      <c r="AI38" s="29" t="s">
        <v>97</v>
      </c>
      <c r="AJ38" s="27" t="s">
        <v>96</v>
      </c>
      <c r="AK38" s="54"/>
      <c r="AL38" s="32"/>
      <c r="AM38" s="54"/>
      <c r="AN38" s="28" t="s">
        <v>143</v>
      </c>
      <c r="AO38" s="102" t="s">
        <v>96</v>
      </c>
      <c r="AP38" s="93" t="s">
        <v>97</v>
      </c>
      <c r="AQ38" s="102" t="s">
        <v>96</v>
      </c>
      <c r="AR38" s="54"/>
      <c r="AS38" s="32"/>
      <c r="AT38" s="54"/>
      <c r="AU38" s="28" t="s">
        <v>143</v>
      </c>
      <c r="AV38" s="104" t="s">
        <v>96</v>
      </c>
      <c r="AW38" s="29" t="s">
        <v>97</v>
      </c>
      <c r="AX38" s="104" t="s">
        <v>96</v>
      </c>
      <c r="AY38" s="54"/>
      <c r="AZ38" s="32"/>
      <c r="BA38" s="54"/>
      <c r="BB38" s="28" t="s">
        <v>143</v>
      </c>
      <c r="BC38" s="104" t="s">
        <v>96</v>
      </c>
      <c r="BD38" s="29" t="s">
        <v>97</v>
      </c>
      <c r="BE38" s="104" t="s">
        <v>96</v>
      </c>
      <c r="BF38" s="54"/>
      <c r="BG38" s="32"/>
      <c r="BH38" s="54"/>
      <c r="BI38" s="28" t="s">
        <v>143</v>
      </c>
      <c r="BJ38" s="104" t="s">
        <v>96</v>
      </c>
      <c r="BK38" s="29" t="s">
        <v>97</v>
      </c>
      <c r="BL38" s="104" t="s">
        <v>96</v>
      </c>
      <c r="BM38" s="54"/>
      <c r="BN38" s="32"/>
      <c r="BO38" s="54"/>
      <c r="BP38" s="28" t="s">
        <v>143</v>
      </c>
      <c r="BQ38" s="104" t="s">
        <v>96</v>
      </c>
      <c r="BR38" s="29" t="s">
        <v>97</v>
      </c>
      <c r="BS38" s="104" t="s">
        <v>96</v>
      </c>
      <c r="BT38" s="54"/>
      <c r="BU38" s="32"/>
      <c r="BV38" s="54"/>
      <c r="BW38" s="28" t="s">
        <v>143</v>
      </c>
      <c r="BX38" s="104" t="s">
        <v>96</v>
      </c>
      <c r="BY38" s="29" t="s">
        <v>97</v>
      </c>
      <c r="BZ38" s="104" t="s">
        <v>96</v>
      </c>
      <c r="CA38" s="54"/>
      <c r="CB38" s="32"/>
      <c r="CC38" s="54"/>
      <c r="CD38" s="28" t="s">
        <v>143</v>
      </c>
      <c r="CE38" s="104" t="s">
        <v>96</v>
      </c>
      <c r="CF38" s="29" t="s">
        <v>97</v>
      </c>
      <c r="CG38" s="104" t="s">
        <v>96</v>
      </c>
      <c r="CH38" s="54"/>
      <c r="CI38" s="32"/>
      <c r="CJ38" s="54"/>
      <c r="CK38" s="28" t="s">
        <v>143</v>
      </c>
      <c r="CL38" s="104" t="s">
        <v>96</v>
      </c>
      <c r="CM38" s="29" t="s">
        <v>97</v>
      </c>
      <c r="CN38" s="104" t="s">
        <v>96</v>
      </c>
      <c r="CO38" s="54"/>
      <c r="CP38" s="32"/>
      <c r="CQ38" s="54"/>
    </row>
    <row r="39" spans="1:95" ht="12.75">
      <c r="A39" s="13"/>
      <c r="B39" s="9"/>
      <c r="C39" s="9"/>
      <c r="D39" s="10"/>
      <c r="E39" s="9"/>
      <c r="F39" s="11"/>
      <c r="G39" s="9"/>
      <c r="H39" s="9"/>
      <c r="I39" s="10"/>
      <c r="J39" s="9"/>
      <c r="K39" s="11"/>
      <c r="L39" s="9"/>
      <c r="M39" s="55"/>
      <c r="N39" s="56"/>
      <c r="O39" s="55"/>
      <c r="P39" s="9"/>
      <c r="Q39" s="10"/>
      <c r="R39" s="9"/>
      <c r="S39" s="11"/>
      <c r="T39" s="9"/>
      <c r="U39" s="55"/>
      <c r="V39" s="56"/>
      <c r="W39" s="55"/>
      <c r="X39" s="9"/>
      <c r="Y39" s="10"/>
      <c r="Z39" s="9"/>
      <c r="AA39" s="11"/>
      <c r="AB39" s="9"/>
      <c r="AC39" s="55"/>
      <c r="AD39" s="56"/>
      <c r="AE39" s="55"/>
      <c r="AF39" s="9"/>
      <c r="AG39" s="10"/>
      <c r="AH39" s="9"/>
      <c r="AI39" s="11"/>
      <c r="AJ39" s="9"/>
      <c r="AK39" s="55"/>
      <c r="AL39" s="56"/>
      <c r="AM39" s="55"/>
      <c r="AN39" s="10"/>
      <c r="AO39" s="15"/>
      <c r="AP39" s="11"/>
      <c r="AQ39" s="15"/>
      <c r="AR39" s="55"/>
      <c r="AS39" s="56"/>
      <c r="AT39" s="55"/>
      <c r="AU39" s="10"/>
      <c r="AV39" s="15"/>
      <c r="AW39" s="11"/>
      <c r="AX39" s="15"/>
      <c r="AY39" s="55"/>
      <c r="AZ39" s="56"/>
      <c r="BA39" s="55"/>
      <c r="BB39" s="10"/>
      <c r="BC39" s="15"/>
      <c r="BD39" s="11"/>
      <c r="BE39" s="15"/>
      <c r="BF39" s="55"/>
      <c r="BG39" s="56"/>
      <c r="BH39" s="55"/>
      <c r="BI39" s="10"/>
      <c r="BJ39" s="15"/>
      <c r="BK39" s="11"/>
      <c r="BL39" s="15"/>
      <c r="BM39" s="55"/>
      <c r="BN39" s="56"/>
      <c r="BO39" s="55"/>
      <c r="BP39" s="10"/>
      <c r="BQ39" s="15"/>
      <c r="BR39" s="11"/>
      <c r="BS39" s="15"/>
      <c r="BT39" s="55"/>
      <c r="BU39" s="56"/>
      <c r="BV39" s="55"/>
      <c r="BW39" s="10"/>
      <c r="BX39" s="15"/>
      <c r="BY39" s="11"/>
      <c r="BZ39" s="15"/>
      <c r="CA39" s="55"/>
      <c r="CB39" s="56"/>
      <c r="CC39" s="55"/>
      <c r="CD39" s="10"/>
      <c r="CE39" s="15"/>
      <c r="CF39" s="11"/>
      <c r="CG39" s="15"/>
      <c r="CH39" s="55"/>
      <c r="CI39" s="56"/>
      <c r="CJ39" s="55"/>
      <c r="CK39" s="10"/>
      <c r="CL39" s="15"/>
      <c r="CM39" s="11"/>
      <c r="CN39" s="15"/>
      <c r="CO39" s="55"/>
      <c r="CP39" s="56"/>
      <c r="CQ39" s="55"/>
    </row>
    <row r="40" spans="1:95" ht="12.75">
      <c r="A40" s="9" t="s">
        <v>29</v>
      </c>
      <c r="B40" s="9"/>
      <c r="C40" s="9"/>
      <c r="D40" s="10">
        <f>+'SECURED LOANS'!D100+'RETAIL CREDIT'!D38+'UNSECURED LOANS'!D39+'CAR FINANCE'!D35+'UCL LOANS'!D39</f>
        <v>30235929.040000007</v>
      </c>
      <c r="E40" s="15">
        <v>0.0815</v>
      </c>
      <c r="F40" s="11">
        <f>+'SECURED LOANS'!F100+'RETAIL CREDIT'!F38+'UNSECURED LOANS'!F39+'CAR FINANCE'!F35+'UCL LOANS'!F39</f>
        <v>5380</v>
      </c>
      <c r="G40" s="15">
        <v>0.0918</v>
      </c>
      <c r="H40" s="15"/>
      <c r="I40" s="10">
        <f>+'SECURED LOANS'!J100+'RETAIL CREDIT'!J38+'UCL LOANS'!J39+'UNSECURED LOANS'!J39+'CAR FINANCE'!I35</f>
        <v>28133350.980000008</v>
      </c>
      <c r="J40" s="15">
        <f>+I40/$I$54</f>
        <v>0.07932769149829201</v>
      </c>
      <c r="K40" s="11">
        <f>+'SECURED LOANS'!L100+'RETAIL CREDIT'!L38+'UCL LOANS'!L39+'UNSECURED LOANS'!L39+'CAR FINANCE'!K35</f>
        <v>4891</v>
      </c>
      <c r="L40" s="15">
        <v>0.0862</v>
      </c>
      <c r="M40" s="57"/>
      <c r="N40" s="56"/>
      <c r="O40" s="57"/>
      <c r="P40" s="15"/>
      <c r="Q40" s="10">
        <f>+'SECURED LOANS'!R100+'RETAIL CREDIT'!R38+'UCL LOANS'!R39+'UNSECURED LOANS'!R39+'CAR FINANCE'!Q35</f>
        <v>28255629.769999996</v>
      </c>
      <c r="R40" s="15">
        <f>+Q40/$Q$54</f>
        <v>0.07899035752409712</v>
      </c>
      <c r="S40" s="11">
        <f>+'SECURED LOANS'!T100+'RETAIL CREDIT'!T38+'UCL LOANS'!T39+'UNSECURED LOANS'!T39+'CAR FINANCE'!S35</f>
        <v>5322</v>
      </c>
      <c r="T40" s="15">
        <f>+S40/$S$54</f>
        <v>0.08551595590834592</v>
      </c>
      <c r="U40" s="57"/>
      <c r="V40" s="56"/>
      <c r="W40" s="57"/>
      <c r="X40" s="15"/>
      <c r="Y40" s="10">
        <f>+'SECURED LOANS'!Y100+'RETAIL CREDIT'!Z38+'UCL LOANS'!Z39+'UNSECURED LOANS'!Z39+'CAR FINANCE'!Y35</f>
        <v>28222171.260000013</v>
      </c>
      <c r="Z40" s="15">
        <f>+Y40/$Y$54</f>
        <v>0.07879500972775912</v>
      </c>
      <c r="AA40" s="11">
        <f>+'SECURED LOANS'!AA100+'RETAIL CREDIT'!AB38+'UCL LOANS'!AB39+'UNSECURED LOANS'!AB39+'CAR FINANCE'!AA35</f>
        <v>5103</v>
      </c>
      <c r="AB40" s="15">
        <f>+AA40/$AA$54</f>
        <v>0.08386746869145055</v>
      </c>
      <c r="AC40" s="57"/>
      <c r="AD40" s="56"/>
      <c r="AE40" s="57"/>
      <c r="AF40" s="15"/>
      <c r="AG40" s="10">
        <f>+'SECURED LOANS'!AG100+'RETAIL CREDIT'!AH38+'UCL LOANS'!AG39+'UNSECURED LOANS'!AH39+'CAR FINANCE'!AG35</f>
        <v>32093382.929999992</v>
      </c>
      <c r="AH40" s="15">
        <f>+AG40/$AG$54</f>
        <v>0.08425169669413819</v>
      </c>
      <c r="AI40" s="11">
        <f>+'SECURED LOANS'!AI100+'RETAIL CREDIT'!AJ38+'UCL LOANS'!AI39+'UNSECURED LOANS'!AJ39+'CAR FINANCE'!AI35</f>
        <v>5445</v>
      </c>
      <c r="AJ40" s="15">
        <f>+AI40/$AI$54</f>
        <v>0.08703366260669416</v>
      </c>
      <c r="AK40" s="57"/>
      <c r="AL40" s="56"/>
      <c r="AM40" s="57"/>
      <c r="AN40" s="10">
        <f>+'SECURED LOANS'!AN100+'RETAIL CREDIT'!AO38+'UCL LOANS'!AN39+'UNSECURED LOANS'!AO39+'CAR FINANCE'!AN35</f>
        <v>31214407.05000002</v>
      </c>
      <c r="AO40" s="15">
        <f aca="true" t="shared" si="26" ref="AO40:AO52">+AN40/$AN$33</f>
        <v>0.08211516950861933</v>
      </c>
      <c r="AP40" s="11">
        <f>+'SECURED LOANS'!AP100+'RETAIL CREDIT'!AQ38+'UCL LOANS'!AP39+'UNSECURED LOANS'!AQ39+'CAR FINANCE'!AP35</f>
        <v>5963</v>
      </c>
      <c r="AQ40" s="15">
        <f aca="true" t="shared" si="27" ref="AQ40:AQ52">+AP40/$AP$33</f>
        <v>0.09587124987941735</v>
      </c>
      <c r="AR40" s="57"/>
      <c r="AS40" s="56"/>
      <c r="AT40" s="57"/>
      <c r="AU40" s="10">
        <f>+'SECURED LOANS'!AU100+'RETAIL CREDIT'!AV38+'UCL LOANS'!AU39+'UNSECURED LOANS'!AV39+'CAR FINANCE'!AU35</f>
        <v>31011475.430000015</v>
      </c>
      <c r="AV40" s="15">
        <f aca="true" t="shared" si="28" ref="AV40:AV52">+AU40/$AU$33</f>
        <v>0.08121279535232191</v>
      </c>
      <c r="AW40" s="11">
        <f>+'SECURED LOANS'!AW100+'RETAIL CREDIT'!AX38+'UCL LOANS'!AW39+'UNSECURED LOANS'!AX39+'CAR FINANCE'!AW35</f>
        <v>6304</v>
      </c>
      <c r="AX40" s="15">
        <f aca="true" t="shared" si="29" ref="AX40:AX52">+AW40/$AW$33</f>
        <v>0.09977051515391311</v>
      </c>
      <c r="AY40" s="57"/>
      <c r="AZ40" s="56"/>
      <c r="BA40" s="57"/>
      <c r="BB40" s="10">
        <f>+'SECURED LOANS'!BB100+'RETAIL CREDIT'!BC38+'UCL LOANS'!BB39+'UNSECURED LOANS'!BC39+'CAR FINANCE'!BB35</f>
        <v>29601293.209999986</v>
      </c>
      <c r="BC40" s="15">
        <f aca="true" t="shared" si="30" ref="BC40:BC52">+BB40/$BB$33</f>
        <v>0.08202774870710965</v>
      </c>
      <c r="BD40" s="11">
        <f>+'SECURED LOANS'!BD100+'RETAIL CREDIT'!BE38+'UCL LOANS'!BD39+'UNSECURED LOANS'!BE39+'CAR FINANCE'!BD35</f>
        <v>6098</v>
      </c>
      <c r="BE40" s="15">
        <f aca="true" t="shared" si="31" ref="BE40:BE52">+BD40/$BD$33</f>
        <v>0.10211497563507879</v>
      </c>
      <c r="BF40" s="57"/>
      <c r="BG40" s="56"/>
      <c r="BH40" s="57"/>
      <c r="BI40" s="10">
        <f>+'SECURED LOANS'!BI100+'RETAIL CREDIT'!BJ38+'UCL LOANS'!BI39+'UNSECURED LOANS'!BJ39+'CAR FINANCE'!BI35</f>
        <v>27874801.429999992</v>
      </c>
      <c r="BJ40" s="15">
        <f aca="true" t="shared" si="32" ref="BJ40:BJ52">+BI40/$BB$33</f>
        <v>0.07724349036846087</v>
      </c>
      <c r="BK40" s="11">
        <f>+'SECURED LOANS'!BK100+'RETAIL CREDIT'!BL38+'UCL LOANS'!BK39+'UNSECURED LOANS'!BL39+'CAR FINANCE'!BK35</f>
        <v>5527</v>
      </c>
      <c r="BL40" s="15">
        <f aca="true" t="shared" si="33" ref="BL40:BL52">+BK40/$BD$33</f>
        <v>0.09255320930388332</v>
      </c>
      <c r="BM40" s="57"/>
      <c r="BN40" s="56"/>
      <c r="BO40" s="57"/>
      <c r="BP40" s="10">
        <f>+'SECURED LOANS'!BP100+'RETAIL CREDIT'!BQ38+'UCL LOANS'!BP39+'UNSECURED LOANS'!BQ39+'CAR FINANCE'!BP35</f>
        <v>26494119.740000002</v>
      </c>
      <c r="BQ40" s="15">
        <f aca="true" t="shared" si="34" ref="BQ40:BQ52">+BP40/$BP$33</f>
        <v>0.07794200759812936</v>
      </c>
      <c r="BR40" s="11">
        <f>+'SECURED LOANS'!BR100+'RETAIL CREDIT'!BS38+'UCL LOANS'!BR39+'UNSECURED LOANS'!BS39+'CAR FINANCE'!BR35</f>
        <v>4584</v>
      </c>
      <c r="BS40" s="15">
        <f aca="true" t="shared" si="35" ref="BS40:BS52">+BR40/$BR$33</f>
        <v>0.09202417039728585</v>
      </c>
      <c r="BT40" s="57"/>
      <c r="BU40" s="56"/>
      <c r="BV40" s="57"/>
      <c r="BW40" s="10">
        <f>+'SECURED LOANS'!BW100+'RETAIL CREDIT'!BX38+'UCL LOANS'!BW39+'UNSECURED LOANS'!BX39+'CAR FINANCE'!BW35</f>
        <v>25033010.8</v>
      </c>
      <c r="BX40" s="15">
        <f>+BW40/$BW$33</f>
        <v>0.07612131760223986</v>
      </c>
      <c r="BY40" s="11">
        <f>+'SECURED LOANS'!BY100+'RETAIL CREDIT'!BZ38+'UCL LOANS'!BY39+'UNSECURED LOANS'!BZ39+'CAR FINANCE'!BY35</f>
        <v>3965</v>
      </c>
      <c r="BZ40" s="15">
        <f>+BY40/$BY$33</f>
        <v>0.08723872387238724</v>
      </c>
      <c r="CA40" s="57"/>
      <c r="CB40" s="56"/>
      <c r="CC40" s="57"/>
      <c r="CD40" s="10">
        <f>+'SECURED LOANS'!CD100+'RETAIL CREDIT'!CE38+'UCL LOANS'!CD39+'UNSECURED LOANS'!CE39+'CAR FINANCE'!CD35</f>
        <v>25443130.05000001</v>
      </c>
      <c r="CE40" s="15">
        <f aca="true" t="shared" si="36" ref="CE40:CE52">+CD40/$CD$33</f>
        <v>0.07680100475565005</v>
      </c>
      <c r="CF40" s="11">
        <f>+'SECURED LOANS'!CF100+'RETAIL CREDIT'!CG38+'UCL LOANS'!CF39+'UNSECURED LOANS'!CG39+'CAR FINANCE'!CF35</f>
        <v>6353</v>
      </c>
      <c r="CG40" s="15">
        <f aca="true" t="shared" si="37" ref="CG40:CG52">+CF40/$CF$33</f>
        <v>0.11346871706942435</v>
      </c>
      <c r="CH40" s="57"/>
      <c r="CI40" s="56"/>
      <c r="CJ40" s="57"/>
      <c r="CK40" s="10">
        <f>+'SECURED LOANS'!CK100+'RETAIL CREDIT'!CL38+'UCL LOANS'!CK39+'UNSECURED LOANS'!CL39+'CAR FINANCE'!CK35</f>
        <v>24499944.659999996</v>
      </c>
      <c r="CL40" s="15">
        <f aca="true" t="shared" si="38" ref="CL40:CL52">+CK40/$CD$33</f>
        <v>0.07395396567356782</v>
      </c>
      <c r="CM40" s="11">
        <f>+'SECURED LOANS'!CM100+'RETAIL CREDIT'!CN38+'UCL LOANS'!CM39+'UNSECURED LOANS'!CN39+'CAR FINANCE'!CM35</f>
        <v>5868</v>
      </c>
      <c r="CN40" s="15">
        <f aca="true" t="shared" si="39" ref="CN40:CN52">+CM40/$CF$33</f>
        <v>0.10480630123774312</v>
      </c>
      <c r="CO40" s="57"/>
      <c r="CP40" s="56"/>
      <c r="CQ40" s="57"/>
    </row>
    <row r="41" spans="1:95" ht="12.75">
      <c r="A41" s="9" t="s">
        <v>30</v>
      </c>
      <c r="B41" s="9"/>
      <c r="C41" s="9"/>
      <c r="D41" s="10">
        <f>+'SECURED LOANS'!D101+'RETAIL CREDIT'!D39+'UNSECURED LOANS'!D40+'CAR FINANCE'!D36+'UCL LOANS'!D40</f>
        <v>44949820.92999994</v>
      </c>
      <c r="E41" s="15">
        <v>0.1064</v>
      </c>
      <c r="F41" s="11">
        <f>+'SECURED LOANS'!F101+'RETAIL CREDIT'!F39+'UNSECURED LOANS'!F40+'CAR FINANCE'!F36+'UCL LOANS'!F40</f>
        <v>7432</v>
      </c>
      <c r="G41" s="15">
        <v>0.0786</v>
      </c>
      <c r="H41" s="15"/>
      <c r="I41" s="10">
        <f>+'SECURED LOANS'!J101+'RETAIL CREDIT'!J39+'UCL LOANS'!J40+'UNSECURED LOANS'!J40+'CAR FINANCE'!I36</f>
        <v>41962139.63000004</v>
      </c>
      <c r="J41" s="15">
        <f aca="true" t="shared" si="40" ref="J41:J52">+I41/$I$54</f>
        <v>0.11832076703352228</v>
      </c>
      <c r="K41" s="11">
        <f>+'SECURED LOANS'!L101+'RETAIL CREDIT'!L39+'UCL LOANS'!L40+'UNSECURED LOANS'!L40+'CAR FINANCE'!K36</f>
        <v>6672</v>
      </c>
      <c r="L41" s="15">
        <v>0.0818</v>
      </c>
      <c r="M41" s="57"/>
      <c r="N41" s="56"/>
      <c r="O41" s="57"/>
      <c r="P41" s="15"/>
      <c r="Q41" s="10">
        <f>+'SECURED LOANS'!R101+'RETAIL CREDIT'!R39+'UCL LOANS'!R40+'UNSECURED LOANS'!R40+'CAR FINANCE'!Q36</f>
        <v>42128016.91999999</v>
      </c>
      <c r="R41" s="15">
        <f aca="true" t="shared" si="41" ref="R41:R52">+Q41/$Q$54</f>
        <v>0.11777147228284951</v>
      </c>
      <c r="S41" s="11">
        <f>+'SECURED LOANS'!T101+'RETAIL CREDIT'!T39+'UCL LOANS'!T40+'UNSECURED LOANS'!T40+'CAR FINANCE'!S36</f>
        <v>6639</v>
      </c>
      <c r="T41" s="15">
        <f aca="true" t="shared" si="42" ref="T41:T52">+S41/$S$54</f>
        <v>0.10667802166018575</v>
      </c>
      <c r="U41" s="57"/>
      <c r="V41" s="56"/>
      <c r="W41" s="57"/>
      <c r="X41" s="15"/>
      <c r="Y41" s="10">
        <f>+'SECURED LOANS'!Y101+'RETAIL CREDIT'!Z39+'UCL LOANS'!Z40+'UNSECURED LOANS'!Z40+'CAR FINANCE'!Y36</f>
        <v>42043244.29000007</v>
      </c>
      <c r="Z41" s="15">
        <f aca="true" t="shared" si="43" ref="Z41:Z52">+Y41/$Y$54</f>
        <v>0.11738281269352298</v>
      </c>
      <c r="AA41" s="11">
        <f>+'SECURED LOANS'!AA101+'RETAIL CREDIT'!AB39+'UCL LOANS'!AB40+'UNSECURED LOANS'!AB40+'CAR FINANCE'!AA36</f>
        <v>6427</v>
      </c>
      <c r="AB41" s="15">
        <f aca="true" t="shared" si="44" ref="AB41:AB52">+AA41/$AA$54</f>
        <v>0.10562732143444105</v>
      </c>
      <c r="AC41" s="57"/>
      <c r="AD41" s="56"/>
      <c r="AE41" s="57"/>
      <c r="AF41" s="15"/>
      <c r="AG41" s="10">
        <f>+'SECURED LOANS'!AG101+'RETAIL CREDIT'!AH39+'UCL LOANS'!AG40+'UNSECURED LOANS'!AH40+'CAR FINANCE'!AG36</f>
        <v>45492101.51000001</v>
      </c>
      <c r="AH41" s="15">
        <f aca="true" t="shared" si="45" ref="AH41:AH52">+AG41/$AG$54</f>
        <v>0.11942607442659733</v>
      </c>
      <c r="AI41" s="11">
        <f>+'SECURED LOANS'!AI101+'RETAIL CREDIT'!AJ39+'UCL LOANS'!AI40+'UNSECURED LOANS'!AJ40+'CAR FINANCE'!AI36</f>
        <v>6596</v>
      </c>
      <c r="AJ41" s="15">
        <f aca="true" t="shared" si="46" ref="AJ41:AJ52">+AI41/$AI$54</f>
        <v>0.10543141203925706</v>
      </c>
      <c r="AK41" s="57"/>
      <c r="AL41" s="56"/>
      <c r="AM41" s="57"/>
      <c r="AN41" s="10">
        <f>+'SECURED LOANS'!AN101+'RETAIL CREDIT'!AO39+'UCL LOANS'!AN40+'UNSECURED LOANS'!AO40+'CAR FINANCE'!AN36</f>
        <v>43676910.62000009</v>
      </c>
      <c r="AO41" s="15">
        <f t="shared" si="26"/>
        <v>0.11490004962865763</v>
      </c>
      <c r="AP41" s="11">
        <f>+'SECURED LOANS'!AP101+'RETAIL CREDIT'!AQ39+'UCL LOANS'!AP40+'UNSECURED LOANS'!AQ40+'CAR FINANCE'!AP36</f>
        <v>6372</v>
      </c>
      <c r="AQ41" s="15">
        <f t="shared" si="27"/>
        <v>0.10244702402006495</v>
      </c>
      <c r="AR41" s="57"/>
      <c r="AS41" s="56"/>
      <c r="AT41" s="57"/>
      <c r="AU41" s="10">
        <f>+'SECURED LOANS'!AU101+'RETAIL CREDIT'!AV39+'UCL LOANS'!AU40+'UNSECURED LOANS'!AV40+'CAR FINANCE'!AU36</f>
        <v>43548121.770000026</v>
      </c>
      <c r="AV41" s="15">
        <f t="shared" si="28"/>
        <v>0.11404374194539912</v>
      </c>
      <c r="AW41" s="11">
        <f>+'SECURED LOANS'!AW101+'RETAIL CREDIT'!AX39+'UCL LOANS'!AW40+'UNSECURED LOANS'!AX40+'CAR FINANCE'!AW36</f>
        <v>6270</v>
      </c>
      <c r="AX41" s="15">
        <f t="shared" si="29"/>
        <v>0.09923241275619213</v>
      </c>
      <c r="AY41" s="57"/>
      <c r="AZ41" s="56"/>
      <c r="BA41" s="57"/>
      <c r="BB41" s="10">
        <f>+'SECURED LOANS'!BB101+'RETAIL CREDIT'!BC39+'UCL LOANS'!BB40+'UNSECURED LOANS'!BC40+'CAR FINANCE'!BB36</f>
        <v>40847291.610000014</v>
      </c>
      <c r="BC41" s="15">
        <f t="shared" si="30"/>
        <v>0.11319138484190268</v>
      </c>
      <c r="BD41" s="11">
        <f>+'SECURED LOANS'!BD101+'RETAIL CREDIT'!BE39+'UCL LOANS'!BD40+'UNSECURED LOANS'!BE40+'CAR FINANCE'!BD36</f>
        <v>5793</v>
      </c>
      <c r="BE41" s="15">
        <f t="shared" si="31"/>
        <v>0.09700755228829312</v>
      </c>
      <c r="BF41" s="57"/>
      <c r="BG41" s="56"/>
      <c r="BH41" s="57"/>
      <c r="BI41" s="10">
        <f>+'SECURED LOANS'!BI101+'RETAIL CREDIT'!BJ39+'UCL LOANS'!BI40+'UNSECURED LOANS'!BJ40+'CAR FINANCE'!BI36</f>
        <v>38912353.70000001</v>
      </c>
      <c r="BJ41" s="15">
        <f t="shared" si="32"/>
        <v>0.10782950421326443</v>
      </c>
      <c r="BK41" s="11">
        <f>+'SECURED LOANS'!BK101+'RETAIL CREDIT'!BL39+'UCL LOANS'!BK40+'UNSECURED LOANS'!BL40+'CAR FINANCE'!BK36</f>
        <v>5414</v>
      </c>
      <c r="BL41" s="15">
        <f t="shared" si="33"/>
        <v>0.09066095081802501</v>
      </c>
      <c r="BM41" s="57"/>
      <c r="BN41" s="56"/>
      <c r="BO41" s="57"/>
      <c r="BP41" s="10">
        <f>+'SECURED LOANS'!BP101+'RETAIL CREDIT'!BQ39+'UCL LOANS'!BP40+'UNSECURED LOANS'!BQ40+'CAR FINANCE'!BP36</f>
        <v>38762945.64000002</v>
      </c>
      <c r="BQ41" s="15">
        <f t="shared" si="34"/>
        <v>0.11403518340099253</v>
      </c>
      <c r="BR41" s="11">
        <f>+'SECURED LOANS'!BR101+'RETAIL CREDIT'!BS39+'UCL LOANS'!BR40+'UNSECURED LOANS'!BS40+'CAR FINANCE'!BR36</f>
        <v>5107</v>
      </c>
      <c r="BS41" s="15">
        <f t="shared" si="35"/>
        <v>0.10252343765683657</v>
      </c>
      <c r="BT41" s="57"/>
      <c r="BU41" s="56"/>
      <c r="BV41" s="57"/>
      <c r="BW41" s="10">
        <f>+'SECURED LOANS'!BW101+'RETAIL CREDIT'!BX39+'UCL LOANS'!BW40+'UNSECURED LOANS'!BX40+'CAR FINANCE'!BW36</f>
        <v>36804330.11000001</v>
      </c>
      <c r="BX41" s="15">
        <f aca="true" t="shared" si="47" ref="BX41:BX52">+BW41/$BW$33</f>
        <v>0.11191598660761133</v>
      </c>
      <c r="BY41" s="11">
        <f>+'SECURED LOANS'!BY101+'RETAIL CREDIT'!BZ39+'UCL LOANS'!BY40+'UNSECURED LOANS'!BZ40+'CAR FINANCE'!BY36</f>
        <v>4768</v>
      </c>
      <c r="BZ41" s="15">
        <f aca="true" t="shared" si="48" ref="BZ41:BZ52">+BY41/$BY$33</f>
        <v>0.1049064906490649</v>
      </c>
      <c r="CA41" s="57"/>
      <c r="CB41" s="56"/>
      <c r="CC41" s="57"/>
      <c r="CD41" s="10">
        <f>+'SECURED LOANS'!CD101+'RETAIL CREDIT'!CE39+'UCL LOANS'!CD40+'UNSECURED LOANS'!CE40+'CAR FINANCE'!CD36</f>
        <v>36090813.410000026</v>
      </c>
      <c r="CE41" s="15">
        <f t="shared" si="36"/>
        <v>0.10894142060704082</v>
      </c>
      <c r="CF41" s="11">
        <f>+'SECURED LOANS'!CF101+'RETAIL CREDIT'!CG39+'UCL LOANS'!CF40+'UNSECURED LOANS'!CG40+'CAR FINANCE'!CF36</f>
        <v>4892</v>
      </c>
      <c r="CG41" s="15">
        <f t="shared" si="37"/>
        <v>0.08737430566718463</v>
      </c>
      <c r="CH41" s="57"/>
      <c r="CI41" s="56"/>
      <c r="CJ41" s="57"/>
      <c r="CK41" s="10">
        <f>+'SECURED LOANS'!CK101+'RETAIL CREDIT'!CL39+'UCL LOANS'!CK40+'UNSECURED LOANS'!CL40+'CAR FINANCE'!CK36</f>
        <v>36900687.92999997</v>
      </c>
      <c r="CL41" s="15">
        <f t="shared" si="38"/>
        <v>0.11138605602492234</v>
      </c>
      <c r="CM41" s="11">
        <f>+'SECURED LOANS'!CM101+'RETAIL CREDIT'!CN39+'UCL LOANS'!CM40+'UNSECURED LOANS'!CN40+'CAR FINANCE'!CM36</f>
        <v>5049</v>
      </c>
      <c r="CN41" s="15">
        <f t="shared" si="39"/>
        <v>0.09017842790548143</v>
      </c>
      <c r="CO41" s="57"/>
      <c r="CP41" s="56"/>
      <c r="CQ41" s="57"/>
    </row>
    <row r="42" spans="1:95" ht="12.75">
      <c r="A42" s="9" t="s">
        <v>31</v>
      </c>
      <c r="B42" s="9"/>
      <c r="C42" s="9"/>
      <c r="D42" s="10">
        <f>+'SECURED LOANS'!D102+'RETAIL CREDIT'!D40+'UNSECURED LOANS'!D41+'CAR FINANCE'!D37+'UCL LOANS'!D41</f>
        <v>38841919.54000001</v>
      </c>
      <c r="E42" s="15">
        <v>0.0975</v>
      </c>
      <c r="F42" s="11">
        <f>+'SECURED LOANS'!F102+'RETAIL CREDIT'!F40+'UNSECURED LOANS'!F41+'CAR FINANCE'!F37+'UCL LOANS'!F41</f>
        <v>6251</v>
      </c>
      <c r="G42" s="15">
        <v>0.0669</v>
      </c>
      <c r="H42" s="15"/>
      <c r="I42" s="10">
        <f>+'SECURED LOANS'!J102+'RETAIL CREDIT'!J40+'UCL LOANS'!J41+'UNSECURED LOANS'!J41+'CAR FINANCE'!I37</f>
        <v>36187348.87000003</v>
      </c>
      <c r="J42" s="15">
        <f t="shared" si="40"/>
        <v>0.10203757274919646</v>
      </c>
      <c r="K42" s="11">
        <f>+'SECURED LOANS'!L102+'RETAIL CREDIT'!L40+'UCL LOANS'!L41+'UNSECURED LOANS'!L41+'CAR FINANCE'!K37</f>
        <v>5637</v>
      </c>
      <c r="L42" s="15">
        <v>0.0678</v>
      </c>
      <c r="M42" s="57"/>
      <c r="N42" s="56"/>
      <c r="O42" s="57"/>
      <c r="P42" s="15"/>
      <c r="Q42" s="10">
        <f>+'SECURED LOANS'!R102+'RETAIL CREDIT'!R40+'UCL LOANS'!R41+'UNSECURED LOANS'!R41+'CAR FINANCE'!Q37</f>
        <v>36193115.82</v>
      </c>
      <c r="R42" s="15">
        <f t="shared" si="41"/>
        <v>0.10118008983711482</v>
      </c>
      <c r="S42" s="11">
        <f>+'SECURED LOANS'!T102+'RETAIL CREDIT'!T40+'UCL LOANS'!T41+'UNSECURED LOANS'!T41+'CAR FINANCE'!S37</f>
        <v>5674</v>
      </c>
      <c r="T42" s="15">
        <f t="shared" si="42"/>
        <v>0.09117202815181412</v>
      </c>
      <c r="U42" s="57"/>
      <c r="V42" s="56"/>
      <c r="W42" s="57"/>
      <c r="X42" s="15"/>
      <c r="Y42" s="10">
        <f>+'SECURED LOANS'!Y102+'RETAIL CREDIT'!Z40+'UCL LOANS'!Z41+'UNSECURED LOANS'!Z41+'CAR FINANCE'!Y37</f>
        <v>35946300.92000001</v>
      </c>
      <c r="Z42" s="15">
        <f t="shared" si="43"/>
        <v>0.10036042601310315</v>
      </c>
      <c r="AA42" s="11">
        <f>+'SECURED LOANS'!AA102+'RETAIL CREDIT'!AB40+'UCL LOANS'!AB41+'UNSECURED LOANS'!AB41+'CAR FINANCE'!AA37</f>
        <v>5537</v>
      </c>
      <c r="AB42" s="15">
        <f t="shared" si="44"/>
        <v>0.09100023008907734</v>
      </c>
      <c r="AC42" s="57"/>
      <c r="AD42" s="56"/>
      <c r="AE42" s="57"/>
      <c r="AF42" s="15"/>
      <c r="AG42" s="10">
        <f>+'SECURED LOANS'!AG102+'RETAIL CREDIT'!AH40+'UCL LOANS'!AG41+'UNSECURED LOANS'!AH41+'CAR FINANCE'!AG37</f>
        <v>40919968.42999999</v>
      </c>
      <c r="AH42" s="15">
        <f t="shared" si="45"/>
        <v>0.10742328960514075</v>
      </c>
      <c r="AI42" s="11">
        <f>+'SECURED LOANS'!AI102+'RETAIL CREDIT'!AJ40+'UCL LOANS'!AI41+'UNSECURED LOANS'!AJ41+'CAR FINANCE'!AI37</f>
        <v>5880</v>
      </c>
      <c r="AJ42" s="15">
        <f t="shared" si="46"/>
        <v>0.09398676512899204</v>
      </c>
      <c r="AK42" s="57"/>
      <c r="AL42" s="56"/>
      <c r="AM42" s="57"/>
      <c r="AN42" s="10">
        <f>+'SECURED LOANS'!AN102+'RETAIL CREDIT'!AO40+'UCL LOANS'!AN41+'UNSECURED LOANS'!AO41+'CAR FINANCE'!AN37</f>
        <v>37881152.94999999</v>
      </c>
      <c r="AO42" s="15">
        <f t="shared" si="26"/>
        <v>0.09965325596890307</v>
      </c>
      <c r="AP42" s="11">
        <f>+'SECURED LOANS'!AP102+'RETAIL CREDIT'!AQ40+'UCL LOANS'!AP41+'UNSECURED LOANS'!AQ41+'CAR FINANCE'!AP37</f>
        <v>5945</v>
      </c>
      <c r="AQ42" s="15">
        <f t="shared" si="27"/>
        <v>0.09558185150647931</v>
      </c>
      <c r="AR42" s="57"/>
      <c r="AS42" s="56"/>
      <c r="AT42" s="57"/>
      <c r="AU42" s="10">
        <f>+'SECURED LOANS'!AU102+'RETAIL CREDIT'!AV40+'UCL LOANS'!AU41+'UNSECURED LOANS'!AV41+'CAR FINANCE'!AU37</f>
        <v>37201838.94999998</v>
      </c>
      <c r="AV42" s="15">
        <f t="shared" si="28"/>
        <v>0.09742410805948505</v>
      </c>
      <c r="AW42" s="11">
        <f>+'SECURED LOANS'!AW102+'RETAIL CREDIT'!AX40+'UCL LOANS'!AW41+'UNSECURED LOANS'!AX41+'CAR FINANCE'!AW37</f>
        <v>5974</v>
      </c>
      <c r="AX42" s="15">
        <f t="shared" si="29"/>
        <v>0.09454775658779774</v>
      </c>
      <c r="AY42" s="57"/>
      <c r="AZ42" s="56"/>
      <c r="BA42" s="57"/>
      <c r="BB42" s="10">
        <f>+'SECURED LOANS'!BB102+'RETAIL CREDIT'!BC40+'UCL LOANS'!BB41+'UNSECURED LOANS'!BC41+'CAR FINANCE'!BB37</f>
        <v>35036989.47000003</v>
      </c>
      <c r="BC42" s="15">
        <f t="shared" si="30"/>
        <v>0.09709053409625716</v>
      </c>
      <c r="BD42" s="11">
        <f>+'SECURED LOANS'!BD102+'RETAIL CREDIT'!BE40+'UCL LOANS'!BD41+'UNSECURED LOANS'!BE41+'CAR FINANCE'!BD37</f>
        <v>5657</v>
      </c>
      <c r="BE42" s="15">
        <f t="shared" si="31"/>
        <v>0.09473014384513623</v>
      </c>
      <c r="BF42" s="57"/>
      <c r="BG42" s="56"/>
      <c r="BH42" s="57"/>
      <c r="BI42" s="10">
        <f>+'SECURED LOANS'!BI102+'RETAIL CREDIT'!BJ40+'UCL LOANS'!BI41+'UNSECURED LOANS'!BJ41+'CAR FINANCE'!BI37</f>
        <v>33009559.759999998</v>
      </c>
      <c r="BJ42" s="15">
        <f t="shared" si="32"/>
        <v>0.09147235067456026</v>
      </c>
      <c r="BK42" s="11">
        <f>+'SECURED LOANS'!BK102+'RETAIL CREDIT'!BL40+'UCL LOANS'!BK41+'UNSECURED LOANS'!BL41+'CAR FINANCE'!BK37</f>
        <v>5089</v>
      </c>
      <c r="BL42" s="15">
        <f t="shared" si="33"/>
        <v>0.08521861446489275</v>
      </c>
      <c r="BM42" s="57"/>
      <c r="BN42" s="56"/>
      <c r="BO42" s="57"/>
      <c r="BP42" s="10">
        <f>+'SECURED LOANS'!BP102+'RETAIL CREDIT'!BQ40+'UCL LOANS'!BP41+'UNSECURED LOANS'!BQ41+'CAR FINANCE'!BP37</f>
        <v>31951770.91000002</v>
      </c>
      <c r="BQ42" s="15">
        <f t="shared" si="34"/>
        <v>0.09399765666798145</v>
      </c>
      <c r="BR42" s="11">
        <f>+'SECURED LOANS'!BR102+'RETAIL CREDIT'!BS40+'UCL LOANS'!BR41+'UNSECURED LOANS'!BS41+'CAR FINANCE'!BR37</f>
        <v>4622</v>
      </c>
      <c r="BS42" s="15">
        <f t="shared" si="35"/>
        <v>0.09278702346776946</v>
      </c>
      <c r="BT42" s="57"/>
      <c r="BU42" s="56"/>
      <c r="BV42" s="57"/>
      <c r="BW42" s="10">
        <f>+'SECURED LOANS'!BW102+'RETAIL CREDIT'!BX40+'UCL LOANS'!BW41+'UNSECURED LOANS'!BX41+'CAR FINANCE'!BW37</f>
        <v>30653163.630000006</v>
      </c>
      <c r="BX42" s="15">
        <f t="shared" si="47"/>
        <v>0.09321128899895086</v>
      </c>
      <c r="BY42" s="11">
        <f>+'SECURED LOANS'!BY102+'RETAIL CREDIT'!BZ40+'UCL LOANS'!BY41+'UNSECURED LOANS'!BZ41+'CAR FINANCE'!BY37</f>
        <v>4266</v>
      </c>
      <c r="BZ42" s="15">
        <f t="shared" si="48"/>
        <v>0.09386138613861386</v>
      </c>
      <c r="CA42" s="57"/>
      <c r="CB42" s="56"/>
      <c r="CC42" s="57"/>
      <c r="CD42" s="10">
        <f>+'SECURED LOANS'!CD102+'RETAIL CREDIT'!CE40+'UCL LOANS'!CD41+'UNSECURED LOANS'!CE41+'CAR FINANCE'!CD37</f>
        <v>30035092.46000001</v>
      </c>
      <c r="CE42" s="15">
        <f t="shared" si="36"/>
        <v>0.09066200873570776</v>
      </c>
      <c r="CF42" s="11">
        <f>+'SECURED LOANS'!CF102+'RETAIL CREDIT'!CG40+'UCL LOANS'!CF41+'UNSECURED LOANS'!CG41+'CAR FINANCE'!CF37</f>
        <v>4875</v>
      </c>
      <c r="CG42" s="15">
        <f t="shared" si="37"/>
        <v>0.0870706745967958</v>
      </c>
      <c r="CH42" s="57"/>
      <c r="CI42" s="56"/>
      <c r="CJ42" s="57"/>
      <c r="CK42" s="10">
        <f>+'SECURED LOANS'!CK102+'RETAIL CREDIT'!CL40+'UCL LOANS'!CK41+'UNSECURED LOANS'!CL41+'CAR FINANCE'!CK37</f>
        <v>30603500.50000002</v>
      </c>
      <c r="CL42" s="15">
        <f t="shared" si="38"/>
        <v>0.09237776888382643</v>
      </c>
      <c r="CM42" s="11">
        <f>+'SECURED LOANS'!CM102+'RETAIL CREDIT'!CN40+'UCL LOANS'!CM41+'UNSECURED LOANS'!CN41+'CAR FINANCE'!CM37</f>
        <v>4916</v>
      </c>
      <c r="CN42" s="15">
        <f t="shared" si="39"/>
        <v>0.08780296129596885</v>
      </c>
      <c r="CO42" s="57"/>
      <c r="CP42" s="56"/>
      <c r="CQ42" s="57"/>
    </row>
    <row r="43" spans="1:95" ht="12.75">
      <c r="A43" s="9" t="s">
        <v>32</v>
      </c>
      <c r="B43" s="9"/>
      <c r="C43" s="9"/>
      <c r="D43" s="10">
        <f>+'SECURED LOANS'!D103+'RETAIL CREDIT'!D41+'UNSECURED LOANS'!D42+'CAR FINANCE'!D38+'UCL LOANS'!D42</f>
        <v>26102030.830000017</v>
      </c>
      <c r="E43" s="15">
        <v>0.0609</v>
      </c>
      <c r="F43" s="11">
        <f>+'SECURED LOANS'!F103+'RETAIL CREDIT'!F41+'UNSECURED LOANS'!F42+'CAR FINANCE'!F38+'UCL LOANS'!F42</f>
        <v>4287</v>
      </c>
      <c r="G43" s="15">
        <v>0.0427</v>
      </c>
      <c r="H43" s="15"/>
      <c r="I43" s="10">
        <f>+'SECURED LOANS'!J103+'RETAIL CREDIT'!J41+'UCL LOANS'!J42+'UNSECURED LOANS'!J42+'CAR FINANCE'!I38</f>
        <v>24387957.140000015</v>
      </c>
      <c r="J43" s="15">
        <f t="shared" si="40"/>
        <v>0.0687667936055973</v>
      </c>
      <c r="K43" s="11">
        <f>+'SECURED LOANS'!L103+'RETAIL CREDIT'!L41+'UCL LOANS'!L42+'UNSECURED LOANS'!L42+'CAR FINANCE'!K38</f>
        <v>3816</v>
      </c>
      <c r="L43" s="15">
        <v>0.0425</v>
      </c>
      <c r="M43" s="57"/>
      <c r="N43" s="56"/>
      <c r="O43" s="57"/>
      <c r="P43" s="15"/>
      <c r="Q43" s="10">
        <f>+'SECURED LOANS'!R103+'RETAIL CREDIT'!R41+'UCL LOANS'!R42+'UNSECURED LOANS'!R42+'CAR FINANCE'!Q38</f>
        <v>24793697.65000001</v>
      </c>
      <c r="R43" s="15">
        <f t="shared" si="41"/>
        <v>0.06931231254301178</v>
      </c>
      <c r="S43" s="11">
        <f>+'SECURED LOANS'!T103+'RETAIL CREDIT'!T41+'UCL LOANS'!T42+'UNSECURED LOANS'!T42+'CAR FINANCE'!S38</f>
        <v>3782</v>
      </c>
      <c r="T43" s="15">
        <f t="shared" si="42"/>
        <v>0.06077063984317254</v>
      </c>
      <c r="U43" s="57"/>
      <c r="V43" s="56"/>
      <c r="W43" s="57"/>
      <c r="X43" s="15"/>
      <c r="Y43" s="10">
        <f>+'SECURED LOANS'!Y103+'RETAIL CREDIT'!Z41+'UCL LOANS'!Z42+'UNSECURED LOANS'!Z42+'CAR FINANCE'!Y38</f>
        <v>24897009.629999988</v>
      </c>
      <c r="Z43" s="15">
        <f t="shared" si="43"/>
        <v>0.06951131073208436</v>
      </c>
      <c r="AA43" s="11">
        <f>+'SECURED LOANS'!AA103+'RETAIL CREDIT'!AB41+'UCL LOANS'!AB42+'UNSECURED LOANS'!AB42+'CAR FINANCE'!AA38</f>
        <v>3653</v>
      </c>
      <c r="AB43" s="15">
        <f t="shared" si="44"/>
        <v>0.06003681425237485</v>
      </c>
      <c r="AC43" s="57"/>
      <c r="AD43" s="56"/>
      <c r="AE43" s="57"/>
      <c r="AF43" s="15"/>
      <c r="AG43" s="10">
        <f>+'SECURED LOANS'!AG103+'RETAIL CREDIT'!AH41+'UCL LOANS'!AG42+'UNSECURED LOANS'!AH42+'CAR FINANCE'!AG38</f>
        <v>25414123.66</v>
      </c>
      <c r="AH43" s="15">
        <f t="shared" si="45"/>
        <v>0.06671727449299598</v>
      </c>
      <c r="AI43" s="11">
        <f>+'SECURED LOANS'!AI103+'RETAIL CREDIT'!AJ41+'UCL LOANS'!AI42+'UNSECURED LOANS'!AJ42+'CAR FINANCE'!AI38</f>
        <v>3729</v>
      </c>
      <c r="AJ43" s="15">
        <f t="shared" si="46"/>
        <v>0.05960487196700873</v>
      </c>
      <c r="AK43" s="57"/>
      <c r="AL43" s="56"/>
      <c r="AM43" s="57"/>
      <c r="AN43" s="10">
        <f>+'SECURED LOANS'!AN103+'RETAIL CREDIT'!AO41+'UCL LOANS'!AN42+'UNSECURED LOANS'!AO42+'CAR FINANCE'!AN38</f>
        <v>25416452.160000008</v>
      </c>
      <c r="AO43" s="15">
        <f t="shared" si="26"/>
        <v>0.06686259566241266</v>
      </c>
      <c r="AP43" s="11">
        <f>+'SECURED LOANS'!AP103+'RETAIL CREDIT'!AQ41+'UCL LOANS'!AP42+'UNSECURED LOANS'!AQ42+'CAR FINANCE'!AP38</f>
        <v>3683</v>
      </c>
      <c r="AQ43" s="15">
        <f t="shared" si="27"/>
        <v>0.05921412264059937</v>
      </c>
      <c r="AR43" s="57"/>
      <c r="AS43" s="56"/>
      <c r="AT43" s="57"/>
      <c r="AU43" s="10">
        <f>+'SECURED LOANS'!AU103+'RETAIL CREDIT'!AV41+'UCL LOANS'!AU42+'UNSECURED LOANS'!AV42+'CAR FINANCE'!AU38</f>
        <v>25452885.34000001</v>
      </c>
      <c r="AV43" s="15">
        <f t="shared" si="28"/>
        <v>0.0666559697525341</v>
      </c>
      <c r="AW43" s="11">
        <f>+'SECURED LOANS'!AW103+'RETAIL CREDIT'!AX41+'UCL LOANS'!AW42+'UNSECURED LOANS'!AX42+'CAR FINANCE'!AW38</f>
        <v>3684</v>
      </c>
      <c r="AX43" s="15">
        <f t="shared" si="29"/>
        <v>0.05830497744717892</v>
      </c>
      <c r="AY43" s="57"/>
      <c r="AZ43" s="56"/>
      <c r="BA43" s="57"/>
      <c r="BB43" s="10">
        <f>+'SECURED LOANS'!BB103+'RETAIL CREDIT'!BC41+'UCL LOANS'!BB42+'UNSECURED LOANS'!BC42+'CAR FINANCE'!BB38</f>
        <v>24341635.509999998</v>
      </c>
      <c r="BC43" s="15">
        <f t="shared" si="30"/>
        <v>0.06745278142307004</v>
      </c>
      <c r="BD43" s="11">
        <f>+'SECURED LOANS'!BD103+'RETAIL CREDIT'!BE41+'UCL LOANS'!BD42+'UNSECURED LOANS'!BE42+'CAR FINANCE'!BD38</f>
        <v>3476</v>
      </c>
      <c r="BE43" s="15">
        <f t="shared" si="31"/>
        <v>0.058207880503039336</v>
      </c>
      <c r="BF43" s="57"/>
      <c r="BG43" s="56"/>
      <c r="BH43" s="57"/>
      <c r="BI43" s="10">
        <f>+'SECURED LOANS'!BI103+'RETAIL CREDIT'!BJ41+'UCL LOANS'!BI42+'UNSECURED LOANS'!BJ42+'CAR FINANCE'!BI38</f>
        <v>23471018.919999998</v>
      </c>
      <c r="BJ43" s="15">
        <f t="shared" si="32"/>
        <v>0.06504022740530722</v>
      </c>
      <c r="BK43" s="11">
        <f>+'SECURED LOANS'!BK103+'RETAIL CREDIT'!BL41+'UCL LOANS'!BK42+'UNSECURED LOANS'!BL42+'CAR FINANCE'!BK38</f>
        <v>3294</v>
      </c>
      <c r="BL43" s="15">
        <f t="shared" si="33"/>
        <v>0.05516017214528526</v>
      </c>
      <c r="BM43" s="57"/>
      <c r="BN43" s="56"/>
      <c r="BO43" s="57"/>
      <c r="BP43" s="10">
        <f>+'SECURED LOANS'!BP103+'RETAIL CREDIT'!BQ41+'UCL LOANS'!BP42+'UNSECURED LOANS'!BQ42+'CAR FINANCE'!BP38</f>
        <v>23610389.309999995</v>
      </c>
      <c r="BQ43" s="15">
        <f t="shared" si="34"/>
        <v>0.06945847459942112</v>
      </c>
      <c r="BR43" s="11">
        <f>+'SECURED LOANS'!BR103+'RETAIL CREDIT'!BS41+'UCL LOANS'!BR42+'UNSECURED LOANS'!BS42+'CAR FINANCE'!BR38</f>
        <v>3123</v>
      </c>
      <c r="BS43" s="15">
        <f t="shared" si="35"/>
        <v>0.06269447734527131</v>
      </c>
      <c r="BT43" s="57"/>
      <c r="BU43" s="56"/>
      <c r="BV43" s="57"/>
      <c r="BW43" s="10">
        <f>+'SECURED LOANS'!BW103+'RETAIL CREDIT'!BX41+'UCL LOANS'!BW42+'UNSECURED LOANS'!BX42+'CAR FINANCE'!BW38</f>
        <v>22727807.489999995</v>
      </c>
      <c r="BX43" s="15">
        <f t="shared" si="47"/>
        <v>0.06911156896672035</v>
      </c>
      <c r="BY43" s="11">
        <f>+'SECURED LOANS'!BY103+'RETAIL CREDIT'!BZ41+'UCL LOANS'!BY42+'UNSECURED LOANS'!BZ42+'CAR FINANCE'!BY38</f>
        <v>2894</v>
      </c>
      <c r="BZ43" s="15">
        <f t="shared" si="48"/>
        <v>0.06367436743674368</v>
      </c>
      <c r="CA43" s="57"/>
      <c r="CB43" s="56"/>
      <c r="CC43" s="57"/>
      <c r="CD43" s="10">
        <f>+'SECURED LOANS'!CD103+'RETAIL CREDIT'!CE41+'UCL LOANS'!CD42+'UNSECURED LOANS'!CE42+'CAR FINANCE'!CD38</f>
        <v>22603422.659999996</v>
      </c>
      <c r="CE43" s="15">
        <f t="shared" si="36"/>
        <v>0.06822924568609148</v>
      </c>
      <c r="CF43" s="11">
        <f>+'SECURED LOANS'!CF103+'RETAIL CREDIT'!CG41+'UCL LOANS'!CF42+'UNSECURED LOANS'!CG42+'CAR FINANCE'!CF38</f>
        <v>3081</v>
      </c>
      <c r="CG43" s="15">
        <f t="shared" si="37"/>
        <v>0.05502866634517495</v>
      </c>
      <c r="CH43" s="57"/>
      <c r="CI43" s="56"/>
      <c r="CJ43" s="57"/>
      <c r="CK43" s="10">
        <f>+'SECURED LOANS'!CK103+'RETAIL CREDIT'!CL41+'UCL LOANS'!CK42+'UNSECURED LOANS'!CL42+'CAR FINANCE'!CK38</f>
        <v>22451192.349999994</v>
      </c>
      <c r="CL43" s="15">
        <f t="shared" si="38"/>
        <v>0.06776973301059563</v>
      </c>
      <c r="CM43" s="11">
        <f>+'SECURED LOANS'!CM103+'RETAIL CREDIT'!CN41+'UCL LOANS'!CM42+'UNSECURED LOANS'!CN42+'CAR FINANCE'!CM38</f>
        <v>3071</v>
      </c>
      <c r="CN43" s="15">
        <f t="shared" si="39"/>
        <v>0.054850059833181516</v>
      </c>
      <c r="CO43" s="57"/>
      <c r="CP43" s="56"/>
      <c r="CQ43" s="57"/>
    </row>
    <row r="44" spans="1:95" ht="12.75">
      <c r="A44" s="9" t="s">
        <v>33</v>
      </c>
      <c r="B44" s="9"/>
      <c r="C44" s="9"/>
      <c r="D44" s="10">
        <f>+'SECURED LOANS'!D104+'RETAIL CREDIT'!D42+'UNSECURED LOANS'!D43+'CAR FINANCE'!D39+'UCL LOANS'!D43</f>
        <v>33364902.16000001</v>
      </c>
      <c r="E44" s="15">
        <v>0.0875</v>
      </c>
      <c r="F44" s="11">
        <f>+'SECURED LOANS'!F104+'RETAIL CREDIT'!F42+'UNSECURED LOANS'!F43+'CAR FINANCE'!F39+'UCL LOANS'!F43</f>
        <v>5647</v>
      </c>
      <c r="G44" s="15">
        <v>0.0878</v>
      </c>
      <c r="H44" s="15"/>
      <c r="I44" s="10">
        <f>+'SECURED LOANS'!J104+'RETAIL CREDIT'!J42+'UCL LOANS'!J43+'UNSECURED LOANS'!J43+'CAR FINANCE'!I39</f>
        <v>31205786.349999987</v>
      </c>
      <c r="J44" s="15">
        <f t="shared" si="40"/>
        <v>0.0879910464378819</v>
      </c>
      <c r="K44" s="11">
        <f>+'SECURED LOANS'!L104+'RETAIL CREDIT'!L42+'UCL LOANS'!L43+'UNSECURED LOANS'!L43+'CAR FINANCE'!K39</f>
        <v>5068</v>
      </c>
      <c r="L44" s="15">
        <v>0.0884</v>
      </c>
      <c r="M44" s="57"/>
      <c r="N44" s="56"/>
      <c r="O44" s="57"/>
      <c r="P44" s="15"/>
      <c r="Q44" s="10">
        <f>+'SECURED LOANS'!R104+'RETAIL CREDIT'!R42+'UCL LOANS'!R43+'UNSECURED LOANS'!R43+'CAR FINANCE'!Q39</f>
        <v>31805087.969999965</v>
      </c>
      <c r="R44" s="15">
        <f t="shared" si="41"/>
        <v>0.088913087065681</v>
      </c>
      <c r="S44" s="11">
        <f>+'SECURED LOANS'!T104+'RETAIL CREDIT'!T42+'UCL LOANS'!T43+'UNSECURED LOANS'!T43+'CAR FINANCE'!S39</f>
        <v>5270</v>
      </c>
      <c r="T44" s="15">
        <f t="shared" si="42"/>
        <v>0.08468039978146993</v>
      </c>
      <c r="U44" s="57"/>
      <c r="V44" s="56"/>
      <c r="W44" s="57"/>
      <c r="X44" s="15"/>
      <c r="Y44" s="10">
        <f>+'SECURED LOANS'!Y104+'RETAIL CREDIT'!Z42+'UCL LOANS'!Z43+'UNSECURED LOANS'!Z43+'CAR FINANCE'!Y39</f>
        <v>31972625.43</v>
      </c>
      <c r="Z44" s="15">
        <f t="shared" si="43"/>
        <v>0.08926610601890478</v>
      </c>
      <c r="AA44" s="11">
        <f>+'SECURED LOANS'!AA104+'RETAIL CREDIT'!AB42+'UCL LOANS'!AB43+'UNSECURED LOANS'!AB43+'CAR FINANCE'!AA39</f>
        <v>5108</v>
      </c>
      <c r="AB44" s="15">
        <f t="shared" si="44"/>
        <v>0.08394964336193012</v>
      </c>
      <c r="AC44" s="57"/>
      <c r="AD44" s="56"/>
      <c r="AE44" s="57"/>
      <c r="AF44" s="15"/>
      <c r="AG44" s="10">
        <f>+'SECURED LOANS'!AG104+'RETAIL CREDIT'!AH42+'UCL LOANS'!AG43+'UNSECURED LOANS'!AH43+'CAR FINANCE'!AG39</f>
        <v>33132523.84</v>
      </c>
      <c r="AH44" s="15">
        <f t="shared" si="45"/>
        <v>0.0869796541974886</v>
      </c>
      <c r="AI44" s="11">
        <f>+'SECURED LOANS'!AI104+'RETAIL CREDIT'!AJ42+'UCL LOANS'!AI43+'UNSECURED LOANS'!AJ43+'CAR FINANCE'!AI39</f>
        <v>5146</v>
      </c>
      <c r="AJ44" s="15">
        <f t="shared" si="46"/>
        <v>0.08225440363159746</v>
      </c>
      <c r="AK44" s="57"/>
      <c r="AL44" s="56"/>
      <c r="AM44" s="57"/>
      <c r="AN44" s="10">
        <f>+'SECURED LOANS'!AN104+'RETAIL CREDIT'!AO42+'UCL LOANS'!AN43+'UNSECURED LOANS'!AO43+'CAR FINANCE'!AN39</f>
        <v>33921547.16000002</v>
      </c>
      <c r="AO44" s="15">
        <f t="shared" si="26"/>
        <v>0.08923679346451095</v>
      </c>
      <c r="AP44" s="11">
        <f>+'SECURED LOANS'!AP104+'RETAIL CREDIT'!AQ42+'UCL LOANS'!AP43+'UNSECURED LOANS'!AQ43+'CAR FINANCE'!AP39</f>
        <v>5138</v>
      </c>
      <c r="AQ44" s="15">
        <f t="shared" si="27"/>
        <v>0.082607157786424</v>
      </c>
      <c r="AR44" s="57"/>
      <c r="AS44" s="56"/>
      <c r="AT44" s="57"/>
      <c r="AU44" s="10">
        <f>+'SECURED LOANS'!AU104+'RETAIL CREDIT'!AV42+'UCL LOANS'!AU43+'UNSECURED LOANS'!AV43+'CAR FINANCE'!AU39</f>
        <v>34428108.29000001</v>
      </c>
      <c r="AV44" s="15">
        <f t="shared" si="28"/>
        <v>0.09016026726089076</v>
      </c>
      <c r="AW44" s="11">
        <f>+'SECURED LOANS'!AW104+'RETAIL CREDIT'!AX42+'UCL LOANS'!AW43+'UNSECURED LOANS'!AX43+'CAR FINANCE'!AW39</f>
        <v>5239</v>
      </c>
      <c r="AX44" s="15">
        <f t="shared" si="29"/>
        <v>0.08291524887235895</v>
      </c>
      <c r="AY44" s="57"/>
      <c r="AZ44" s="56"/>
      <c r="BA44" s="57"/>
      <c r="BB44" s="10">
        <f>+'SECURED LOANS'!BB104+'RETAIL CREDIT'!BC42+'UCL LOANS'!BB43+'UNSECURED LOANS'!BC43+'CAR FINANCE'!BB39</f>
        <v>32759193.14000001</v>
      </c>
      <c r="BC44" s="15">
        <f t="shared" si="30"/>
        <v>0.09077856307398782</v>
      </c>
      <c r="BD44" s="11">
        <f>+'SECURED LOANS'!BD104+'RETAIL CREDIT'!BE42+'UCL LOANS'!BD43+'UNSECURED LOANS'!BE43+'CAR FINANCE'!BD39</f>
        <v>5069</v>
      </c>
      <c r="BE44" s="15">
        <f t="shared" si="31"/>
        <v>0.08488370145854614</v>
      </c>
      <c r="BF44" s="57"/>
      <c r="BG44" s="56"/>
      <c r="BH44" s="57"/>
      <c r="BI44" s="10">
        <f>+'SECURED LOANS'!BI104+'RETAIL CREDIT'!BJ42+'UCL LOANS'!BI43+'UNSECURED LOANS'!BJ43+'CAR FINANCE'!BI39</f>
        <v>31554794.48</v>
      </c>
      <c r="BJ44" s="15">
        <f t="shared" si="32"/>
        <v>0.08744107001499249</v>
      </c>
      <c r="BK44" s="11">
        <f>+'SECURED LOANS'!BK104+'RETAIL CREDIT'!BL42+'UCL LOANS'!BK43+'UNSECURED LOANS'!BL43+'CAR FINANCE'!BK39</f>
        <v>4840</v>
      </c>
      <c r="BL44" s="15">
        <f t="shared" si="33"/>
        <v>0.08104894753587756</v>
      </c>
      <c r="BM44" s="57"/>
      <c r="BN44" s="56"/>
      <c r="BO44" s="57"/>
      <c r="BP44" s="10">
        <f>+'SECURED LOANS'!BP104+'RETAIL CREDIT'!BQ42+'UCL LOANS'!BP43+'UNSECURED LOANS'!BQ43+'CAR FINANCE'!BP39</f>
        <v>31233729.02</v>
      </c>
      <c r="BQ44" s="15">
        <f t="shared" si="34"/>
        <v>0.09188527750628914</v>
      </c>
      <c r="BR44" s="11">
        <f>+'SECURED LOANS'!BR104+'RETAIL CREDIT'!BS42+'UCL LOANS'!BR43+'UNSECURED LOANS'!BS43+'CAR FINANCE'!BR39</f>
        <v>4338</v>
      </c>
      <c r="BS44" s="15">
        <f t="shared" si="35"/>
        <v>0.08708570051994459</v>
      </c>
      <c r="BT44" s="57"/>
      <c r="BU44" s="56"/>
      <c r="BV44" s="57"/>
      <c r="BW44" s="10">
        <f>+'SECURED LOANS'!BW104+'RETAIL CREDIT'!BX42+'UCL LOANS'!BW43+'UNSECURED LOANS'!BX43+'CAR FINANCE'!BW39</f>
        <v>30270002.010000005</v>
      </c>
      <c r="BX44" s="15">
        <f t="shared" si="47"/>
        <v>0.09204615678205393</v>
      </c>
      <c r="BY44" s="11">
        <f>+'SECURED LOANS'!BY104+'RETAIL CREDIT'!BZ42+'UCL LOANS'!BY43+'UNSECURED LOANS'!BZ43+'CAR FINANCE'!BY39</f>
        <v>3920</v>
      </c>
      <c r="BZ44" s="15">
        <f t="shared" si="48"/>
        <v>0.08624862486248625</v>
      </c>
      <c r="CA44" s="57"/>
      <c r="CB44" s="56"/>
      <c r="CC44" s="57"/>
      <c r="CD44" s="10">
        <f>+'SECURED LOANS'!CD104+'RETAIL CREDIT'!CE42+'UCL LOANS'!CD43+'UNSECURED LOANS'!CE43+'CAR FINANCE'!CD39</f>
        <v>30294252.190000005</v>
      </c>
      <c r="CE44" s="15">
        <f t="shared" si="36"/>
        <v>0.0914442917180723</v>
      </c>
      <c r="CF44" s="11">
        <f>+'SECURED LOANS'!CF104+'RETAIL CREDIT'!CG42+'UCL LOANS'!CF43+'UNSECURED LOANS'!CG43+'CAR FINANCE'!CF39</f>
        <v>4648</v>
      </c>
      <c r="CG44" s="15">
        <f t="shared" si="37"/>
        <v>0.083016306774545</v>
      </c>
      <c r="CH44" s="57"/>
      <c r="CI44" s="56"/>
      <c r="CJ44" s="57"/>
      <c r="CK44" s="10">
        <f>+'SECURED LOANS'!CK104+'RETAIL CREDIT'!CL42+'UCL LOANS'!CK43+'UNSECURED LOANS'!CL43+'CAR FINANCE'!CK39</f>
        <v>30333056.85</v>
      </c>
      <c r="CL44" s="15">
        <f t="shared" si="38"/>
        <v>0.09156142498238941</v>
      </c>
      <c r="CM44" s="11">
        <f>+'SECURED LOANS'!CM104+'RETAIL CREDIT'!CN42+'UCL LOANS'!CM43+'UNSECURED LOANS'!CN43+'CAR FINANCE'!CM39</f>
        <v>4602</v>
      </c>
      <c r="CN44" s="15">
        <f t="shared" si="39"/>
        <v>0.08219471681937524</v>
      </c>
      <c r="CO44" s="57"/>
      <c r="CP44" s="56"/>
      <c r="CQ44" s="57"/>
    </row>
    <row r="45" spans="1:95" ht="12.75">
      <c r="A45" s="9" t="s">
        <v>40</v>
      </c>
      <c r="B45" s="9"/>
      <c r="C45" s="9"/>
      <c r="D45" s="10">
        <f>+'SECURED LOANS'!D105+'RETAIL CREDIT'!D43+'UNSECURED LOANS'!D44+'CAR FINANCE'!D40+'UCL LOANS'!D44</f>
        <v>14377229.04</v>
      </c>
      <c r="E45" s="15">
        <v>0.033</v>
      </c>
      <c r="F45" s="11">
        <f>+'SECURED LOANS'!F105+'RETAIL CREDIT'!F43+'UNSECURED LOANS'!F44+'CAR FINANCE'!F40+'UCL LOANS'!F44</f>
        <v>2605</v>
      </c>
      <c r="G45" s="15">
        <v>0.034</v>
      </c>
      <c r="H45" s="15"/>
      <c r="I45" s="10">
        <f>+'SECURED LOANS'!J105+'RETAIL CREDIT'!J43+'UCL LOANS'!J44+'UNSECURED LOANS'!J44+'CAR FINANCE'!I40</f>
        <v>13230742.449999994</v>
      </c>
      <c r="J45" s="15">
        <f t="shared" si="40"/>
        <v>0.037306762927498065</v>
      </c>
      <c r="K45" s="11">
        <f>+'SECURED LOANS'!L105+'RETAIL CREDIT'!L43+'UCL LOANS'!L44+'UNSECURED LOANS'!L44+'CAR FINANCE'!K40</f>
        <v>2260</v>
      </c>
      <c r="L45" s="15">
        <v>0.0339</v>
      </c>
      <c r="M45" s="57"/>
      <c r="N45" s="56"/>
      <c r="O45" s="57"/>
      <c r="P45" s="15"/>
      <c r="Q45" s="10">
        <f>+'SECURED LOANS'!R105+'RETAIL CREDIT'!R43+'UCL LOANS'!R44+'UNSECURED LOANS'!R44+'CAR FINANCE'!Q40</f>
        <v>13143101.33</v>
      </c>
      <c r="R45" s="15">
        <f t="shared" si="41"/>
        <v>0.0367423512228493</v>
      </c>
      <c r="S45" s="11">
        <f>+'SECURED LOANS'!T105+'RETAIL CREDIT'!T43+'UCL LOANS'!T44+'UNSECURED LOANS'!T44+'CAR FINANCE'!S40</f>
        <v>2216</v>
      </c>
      <c r="T45" s="15">
        <f t="shared" si="42"/>
        <v>0.03560754571456117</v>
      </c>
      <c r="U45" s="57"/>
      <c r="V45" s="56"/>
      <c r="W45" s="57"/>
      <c r="X45" s="15"/>
      <c r="Y45" s="10">
        <f>+'SECURED LOANS'!Y105+'RETAIL CREDIT'!Z43+'UCL LOANS'!Z44+'UNSECURED LOANS'!Z44+'CAR FINANCE'!Y40</f>
        <v>13225279.14999999</v>
      </c>
      <c r="Z45" s="15">
        <f t="shared" si="43"/>
        <v>0.03692437373709632</v>
      </c>
      <c r="AA45" s="11">
        <f>+'SECURED LOANS'!AA105+'RETAIL CREDIT'!AB43+'UCL LOANS'!AB44+'UNSECURED LOANS'!AB44+'CAR FINANCE'!AA40</f>
        <v>2140</v>
      </c>
      <c r="AB45" s="15">
        <f t="shared" si="44"/>
        <v>0.03517075896525655</v>
      </c>
      <c r="AC45" s="57"/>
      <c r="AD45" s="56"/>
      <c r="AE45" s="57"/>
      <c r="AF45" s="15"/>
      <c r="AG45" s="10">
        <f>+'SECURED LOANS'!AG105+'RETAIL CREDIT'!AH43+'UCL LOANS'!AG44+'UNSECURED LOANS'!AH44+'CAR FINANCE'!AG40</f>
        <v>14156769.2</v>
      </c>
      <c r="AH45" s="15">
        <f t="shared" si="45"/>
        <v>0.037164415711762974</v>
      </c>
      <c r="AI45" s="11">
        <f>+'SECURED LOANS'!AI105+'RETAIL CREDIT'!AJ43+'UCL LOANS'!AI44+'UNSECURED LOANS'!AJ44+'CAR FINANCE'!AI40</f>
        <v>2164</v>
      </c>
      <c r="AJ45" s="15">
        <f t="shared" si="46"/>
        <v>0.03458968703046578</v>
      </c>
      <c r="AK45" s="57"/>
      <c r="AL45" s="56"/>
      <c r="AM45" s="57"/>
      <c r="AN45" s="10">
        <f>+'SECURED LOANS'!AN105+'RETAIL CREDIT'!AO43+'UCL LOANS'!AN44+'UNSECURED LOANS'!AO44+'CAR FINANCE'!AN40</f>
        <v>13121863.339999996</v>
      </c>
      <c r="AO45" s="15">
        <f t="shared" si="26"/>
        <v>0.0345194458029289</v>
      </c>
      <c r="AP45" s="11">
        <f>+'SECURED LOANS'!AP105+'RETAIL CREDIT'!AQ43+'UCL LOANS'!AP44+'UNSECURED LOANS'!AQ44+'CAR FINANCE'!AP40</f>
        <v>2028</v>
      </c>
      <c r="AQ45" s="15">
        <f t="shared" si="27"/>
        <v>0.032605550017685454</v>
      </c>
      <c r="AR45" s="57"/>
      <c r="AS45" s="56"/>
      <c r="AT45" s="57"/>
      <c r="AU45" s="10">
        <f>+'SECURED LOANS'!AU105+'RETAIL CREDIT'!AV43+'UCL LOANS'!AU44+'UNSECURED LOANS'!AV44+'CAR FINANCE'!AU40</f>
        <v>13313566.910000002</v>
      </c>
      <c r="AV45" s="15">
        <f t="shared" si="28"/>
        <v>0.034865544766222514</v>
      </c>
      <c r="AW45" s="11">
        <f>+'SECURED LOANS'!AW105+'RETAIL CREDIT'!AX43+'UCL LOANS'!AW44+'UNSECURED LOANS'!AX44+'CAR FINANCE'!AW40</f>
        <v>2006</v>
      </c>
      <c r="AX45" s="15">
        <f t="shared" si="29"/>
        <v>0.0317480414655377</v>
      </c>
      <c r="AY45" s="57"/>
      <c r="AZ45" s="56"/>
      <c r="BA45" s="57"/>
      <c r="BB45" s="10">
        <f>+'SECURED LOANS'!BB105+'RETAIL CREDIT'!BC43+'UCL LOANS'!BB44+'UNSECURED LOANS'!BC44+'CAR FINANCE'!BB40</f>
        <v>12402273.48</v>
      </c>
      <c r="BC45" s="15">
        <f t="shared" si="30"/>
        <v>0.034367774583260874</v>
      </c>
      <c r="BD45" s="11">
        <f>+'SECURED LOANS'!BD105+'RETAIL CREDIT'!BE43+'UCL LOANS'!BD44+'UNSECURED LOANS'!BE44+'CAR FINANCE'!BD40</f>
        <v>1851</v>
      </c>
      <c r="BE45" s="15">
        <f t="shared" si="31"/>
        <v>0.030996198737377967</v>
      </c>
      <c r="BF45" s="57"/>
      <c r="BG45" s="56"/>
      <c r="BH45" s="57"/>
      <c r="BI45" s="10">
        <f>+'SECURED LOANS'!BI105+'RETAIL CREDIT'!BJ43+'UCL LOANS'!BI44+'UNSECURED LOANS'!BJ44+'CAR FINANCE'!BI40</f>
        <v>12107035.45</v>
      </c>
      <c r="BJ45" s="15">
        <f t="shared" si="32"/>
        <v>0.033549644417061215</v>
      </c>
      <c r="BK45" s="11">
        <f>+'SECURED LOANS'!BK105+'RETAIL CREDIT'!BL43+'UCL LOANS'!BK44+'UNSECURED LOANS'!BL44+'CAR FINANCE'!BK40</f>
        <v>1738</v>
      </c>
      <c r="BL45" s="15">
        <f t="shared" si="33"/>
        <v>0.029103940251519668</v>
      </c>
      <c r="BM45" s="57"/>
      <c r="BN45" s="56"/>
      <c r="BO45" s="57"/>
      <c r="BP45" s="10">
        <f>+'SECURED LOANS'!BP105+'RETAIL CREDIT'!BQ43+'UCL LOANS'!BP44+'UNSECURED LOANS'!BQ44+'CAR FINANCE'!BP40</f>
        <v>12328049.16</v>
      </c>
      <c r="BQ45" s="15">
        <f t="shared" si="34"/>
        <v>0.03626740237940935</v>
      </c>
      <c r="BR45" s="11">
        <f>+'SECURED LOANS'!BR105+'RETAIL CREDIT'!BS43+'UCL LOANS'!BR44+'UNSECURED LOANS'!BS44+'CAR FINANCE'!BR40</f>
        <v>1632</v>
      </c>
      <c r="BS45" s="15">
        <f t="shared" si="35"/>
        <v>0.03276253186919077</v>
      </c>
      <c r="BT45" s="57"/>
      <c r="BU45" s="56"/>
      <c r="BV45" s="57"/>
      <c r="BW45" s="10">
        <f>+'SECURED LOANS'!BW105+'RETAIL CREDIT'!BX43+'UCL LOANS'!BW44+'UNSECURED LOANS'!BX44+'CAR FINANCE'!BW40</f>
        <v>12274206.430000002</v>
      </c>
      <c r="BX45" s="15">
        <f t="shared" si="47"/>
        <v>0.037323867010574885</v>
      </c>
      <c r="BY45" s="11">
        <f>+'SECURED LOANS'!BY105+'RETAIL CREDIT'!BZ43+'UCL LOANS'!BY44+'UNSECURED LOANS'!BZ44+'CAR FINANCE'!BY40</f>
        <v>1548</v>
      </c>
      <c r="BZ45" s="15">
        <f t="shared" si="48"/>
        <v>0.03405940594059406</v>
      </c>
      <c r="CA45" s="57"/>
      <c r="CB45" s="56"/>
      <c r="CC45" s="57"/>
      <c r="CD45" s="10">
        <f>+'SECURED LOANS'!CD105+'RETAIL CREDIT'!CE43+'UCL LOANS'!CD44+'UNSECURED LOANS'!CE44+'CAR FINANCE'!CD40</f>
        <v>12249289.129999999</v>
      </c>
      <c r="CE45" s="15">
        <f t="shared" si="36"/>
        <v>0.03697492057296865</v>
      </c>
      <c r="CF45" s="11">
        <f>+'SECURED LOANS'!CF105+'RETAIL CREDIT'!CG43+'UCL LOANS'!CF44+'UNSECURED LOANS'!CG44+'CAR FINANCE'!CF40</f>
        <v>1687</v>
      </c>
      <c r="CG45" s="15">
        <f t="shared" si="37"/>
        <v>0.03013091857329118</v>
      </c>
      <c r="CH45" s="57"/>
      <c r="CI45" s="56"/>
      <c r="CJ45" s="57"/>
      <c r="CK45" s="10">
        <f>+'SECURED LOANS'!CK105+'RETAIL CREDIT'!CL43+'UCL LOANS'!CK44+'UNSECURED LOANS'!CL44+'CAR FINANCE'!CK40</f>
        <v>11993940.09</v>
      </c>
      <c r="CL45" s="15">
        <f t="shared" si="38"/>
        <v>0.03620414029566584</v>
      </c>
      <c r="CM45" s="11">
        <f>+'SECURED LOANS'!CM105+'RETAIL CREDIT'!CN43+'UCL LOANS'!CM44+'UNSECURED LOANS'!CN44+'CAR FINANCE'!CM40</f>
        <v>1624</v>
      </c>
      <c r="CN45" s="15">
        <f t="shared" si="39"/>
        <v>0.02900569754773259</v>
      </c>
      <c r="CO45" s="57"/>
      <c r="CP45" s="56"/>
      <c r="CQ45" s="57"/>
    </row>
    <row r="46" spans="1:95" ht="12.75">
      <c r="A46" s="9" t="s">
        <v>34</v>
      </c>
      <c r="B46" s="9"/>
      <c r="C46" s="9"/>
      <c r="D46" s="10">
        <f>+'SECURED LOANS'!D106+'RETAIL CREDIT'!D44+'UNSECURED LOANS'!D45+'CAR FINANCE'!D41+'UCL LOANS'!D45</f>
        <v>71391383.08000001</v>
      </c>
      <c r="E46" s="15">
        <v>0.2122</v>
      </c>
      <c r="F46" s="11">
        <f>+'SECURED LOANS'!F106+'RETAIL CREDIT'!F44+'UNSECURED LOANS'!F45+'CAR FINANCE'!F41+'UCL LOANS'!F45</f>
        <v>13413</v>
      </c>
      <c r="G46" s="15">
        <v>0.2334</v>
      </c>
      <c r="H46" s="15"/>
      <c r="I46" s="10">
        <f>+'SECURED LOANS'!J106+'RETAIL CREDIT'!J44+'UCL LOANS'!J45+'UNSECURED LOANS'!J45+'CAR FINANCE'!I41</f>
        <v>65491187.53999993</v>
      </c>
      <c r="J46" s="15">
        <f t="shared" si="40"/>
        <v>0.1846656917877722</v>
      </c>
      <c r="K46" s="11">
        <f>+'SECURED LOANS'!L106+'RETAIL CREDIT'!L44+'UCL LOANS'!L45+'UNSECURED LOANS'!L45+'CAR FINANCE'!K41</f>
        <v>11816</v>
      </c>
      <c r="L46" s="15">
        <v>0.2246</v>
      </c>
      <c r="M46" s="57"/>
      <c r="N46" s="56"/>
      <c r="O46" s="57"/>
      <c r="P46" s="15"/>
      <c r="Q46" s="10">
        <f>+'SECURED LOANS'!R106+'RETAIL CREDIT'!R44+'UCL LOANS'!R45+'UNSECURED LOANS'!R45+'CAR FINANCE'!Q41</f>
        <v>67151222.56000002</v>
      </c>
      <c r="R46" s="15">
        <f t="shared" si="41"/>
        <v>0.1877253885817254</v>
      </c>
      <c r="S46" s="11">
        <f>+'SECURED LOANS'!T106+'RETAIL CREDIT'!T44+'UCL LOANS'!T45+'UNSECURED LOANS'!T45+'CAR FINANCE'!S41</f>
        <v>12212</v>
      </c>
      <c r="T46" s="15">
        <f t="shared" si="42"/>
        <v>0.19622714271941383</v>
      </c>
      <c r="U46" s="57"/>
      <c r="V46" s="56"/>
      <c r="W46" s="57"/>
      <c r="X46" s="15"/>
      <c r="Y46" s="10">
        <f>+'SECURED LOANS'!Y106+'RETAIL CREDIT'!Z44+'UCL LOANS'!Z45+'UNSECURED LOANS'!Z45+'CAR FINANCE'!Y41</f>
        <v>68311233.78999995</v>
      </c>
      <c r="Z46" s="15">
        <f t="shared" si="43"/>
        <v>0.19072183643882654</v>
      </c>
      <c r="AA46" s="11">
        <f>+'SECURED LOANS'!AA106+'RETAIL CREDIT'!AB44+'UCL LOANS'!AB45+'UNSECURED LOANS'!AB45+'CAR FINANCE'!AA41</f>
        <v>12075</v>
      </c>
      <c r="AB46" s="15">
        <f t="shared" si="44"/>
        <v>0.19845182920816487</v>
      </c>
      <c r="AC46" s="57"/>
      <c r="AD46" s="56"/>
      <c r="AE46" s="57"/>
      <c r="AF46" s="15"/>
      <c r="AG46" s="10">
        <f>+'SECURED LOANS'!AG106+'RETAIL CREDIT'!AH44+'UCL LOANS'!AG45+'UNSECURED LOANS'!AH45+'CAR FINANCE'!AG41</f>
        <v>67852753</v>
      </c>
      <c r="AH46" s="15">
        <f t="shared" si="45"/>
        <v>0.17812735971421872</v>
      </c>
      <c r="AI46" s="11">
        <f>+'SECURED LOANS'!AI106+'RETAIL CREDIT'!AJ44+'UCL LOANS'!AI45+'UNSECURED LOANS'!AJ45+'CAR FINANCE'!AI41</f>
        <v>12040</v>
      </c>
      <c r="AJ46" s="15">
        <f t="shared" si="46"/>
        <v>0.1924490905022218</v>
      </c>
      <c r="AK46" s="57"/>
      <c r="AL46" s="56"/>
      <c r="AM46" s="57"/>
      <c r="AN46" s="10">
        <f>+'SECURED LOANS'!AN106+'RETAIL CREDIT'!AO44+'UCL LOANS'!AN45+'UNSECURED LOANS'!AO45+'CAR FINANCE'!AN41</f>
        <v>72794777.59999996</v>
      </c>
      <c r="AO46" s="15">
        <f t="shared" si="26"/>
        <v>0.19149988953470248</v>
      </c>
      <c r="AP46" s="11">
        <f>+'SECURED LOANS'!AP106+'RETAIL CREDIT'!AQ44+'UCL LOANS'!AP45+'UNSECURED LOANS'!AQ45+'CAR FINANCE'!AP41</f>
        <v>12240</v>
      </c>
      <c r="AQ46" s="15">
        <f t="shared" si="27"/>
        <v>0.1967908935978649</v>
      </c>
      <c r="AR46" s="57"/>
      <c r="AS46" s="56"/>
      <c r="AT46" s="57"/>
      <c r="AU46" s="10">
        <f>+'SECURED LOANS'!AU106+'RETAIL CREDIT'!AV44+'UCL LOANS'!AU45+'UNSECURED LOANS'!AV45+'CAR FINANCE'!AU41</f>
        <v>75935520.13000005</v>
      </c>
      <c r="AV46" s="15">
        <f t="shared" si="28"/>
        <v>0.1988598017598356</v>
      </c>
      <c r="AW46" s="11">
        <f>+'SECURED LOANS'!AW106+'RETAIL CREDIT'!AX44+'UCL LOANS'!AW45+'UNSECURED LOANS'!AX45+'CAR FINANCE'!AW41</f>
        <v>12855</v>
      </c>
      <c r="AX46" s="15">
        <f t="shared" si="29"/>
        <v>0.20345018596185804</v>
      </c>
      <c r="AY46" s="57"/>
      <c r="AZ46" s="56"/>
      <c r="BA46" s="57"/>
      <c r="BB46" s="10">
        <f>+'SECURED LOANS'!BB106+'RETAIL CREDIT'!BC44+'UCL LOANS'!BB45+'UNSECURED LOANS'!BC45+'CAR FINANCE'!BB41</f>
        <v>72305222.8</v>
      </c>
      <c r="BC46" s="15">
        <f t="shared" si="30"/>
        <v>0.20036403828621707</v>
      </c>
      <c r="BD46" s="11">
        <f>+'SECURED LOANS'!BD106+'RETAIL CREDIT'!BE44+'UCL LOANS'!BD45+'UNSECURED LOANS'!BE45+'CAR FINANCE'!BD41</f>
        <v>12291</v>
      </c>
      <c r="BE46" s="15">
        <f t="shared" si="31"/>
        <v>0.20582078805030393</v>
      </c>
      <c r="BF46" s="57"/>
      <c r="BG46" s="56"/>
      <c r="BH46" s="57"/>
      <c r="BI46" s="10">
        <f>+'SECURED LOANS'!BI106+'RETAIL CREDIT'!BJ44+'UCL LOANS'!BI45+'UNSECURED LOANS'!BJ45+'CAR FINANCE'!BI41</f>
        <v>69242534.16000006</v>
      </c>
      <c r="BJ46" s="15">
        <f t="shared" si="32"/>
        <v>0.1918770626548563</v>
      </c>
      <c r="BK46" s="11">
        <f>+'SECURED LOANS'!BK106+'RETAIL CREDIT'!BL44+'UCL LOANS'!BK45+'UNSECURED LOANS'!BL45+'CAR FINANCE'!BK41</f>
        <v>11267</v>
      </c>
      <c r="BL46" s="15">
        <f t="shared" si="33"/>
        <v>0.18867324212535794</v>
      </c>
      <c r="BM46" s="57"/>
      <c r="BN46" s="56"/>
      <c r="BO46" s="57"/>
      <c r="BP46" s="10">
        <f>+'SECURED LOANS'!BP106+'RETAIL CREDIT'!BQ44+'UCL LOANS'!BP45+'UNSECURED LOANS'!BQ45+'CAR FINANCE'!BP41</f>
        <v>70037085.69000003</v>
      </c>
      <c r="BQ46" s="15">
        <f t="shared" si="34"/>
        <v>0.20603934452516437</v>
      </c>
      <c r="BR46" s="11">
        <f>+'SECURED LOANS'!BR106+'RETAIL CREDIT'!BS44+'UCL LOANS'!BR45+'UNSECURED LOANS'!BS45+'CAR FINANCE'!BR41</f>
        <v>9966</v>
      </c>
      <c r="BS46" s="15">
        <f t="shared" si="35"/>
        <v>0.2000682552747275</v>
      </c>
      <c r="BT46" s="57"/>
      <c r="BU46" s="56"/>
      <c r="BV46" s="57"/>
      <c r="BW46" s="10">
        <f>+'SECURED LOANS'!BW106+'RETAIL CREDIT'!BX44+'UCL LOANS'!BW45+'UNSECURED LOANS'!BX45+'CAR FINANCE'!BW41</f>
        <v>69490352.24000001</v>
      </c>
      <c r="BX46" s="15">
        <f t="shared" si="47"/>
        <v>0.21130886793499729</v>
      </c>
      <c r="BY46" s="11">
        <f>+'SECURED LOANS'!BY106+'RETAIL CREDIT'!BZ44+'UCL LOANS'!BY45+'UNSECURED LOANS'!BZ45+'CAR FINANCE'!BY41</f>
        <v>9092</v>
      </c>
      <c r="BZ46" s="15">
        <f t="shared" si="48"/>
        <v>0.20004400440044004</v>
      </c>
      <c r="CA46" s="57"/>
      <c r="CB46" s="56"/>
      <c r="CC46" s="57"/>
      <c r="CD46" s="10">
        <f>+'SECURED LOANS'!CD106+'RETAIL CREDIT'!CE44+'UCL LOANS'!CD45+'UNSECURED LOANS'!CE45+'CAR FINANCE'!CD41</f>
        <v>74569907.95999995</v>
      </c>
      <c r="CE46" s="15">
        <f t="shared" si="36"/>
        <v>0.22509195388341538</v>
      </c>
      <c r="CF46" s="11">
        <f>+'SECURED LOANS'!CF106+'RETAIL CREDIT'!CG44+'UCL LOANS'!CF45+'UNSECURED LOANS'!CG45+'CAR FINANCE'!CF41</f>
        <v>12946</v>
      </c>
      <c r="CG46" s="15">
        <f t="shared" si="37"/>
        <v>0.23122399042669095</v>
      </c>
      <c r="CH46" s="57"/>
      <c r="CI46" s="56"/>
      <c r="CJ46" s="57"/>
      <c r="CK46" s="10">
        <f>+'SECURED LOANS'!CK106+'RETAIL CREDIT'!CL44+'UCL LOANS'!CK45+'UNSECURED LOANS'!CL45+'CAR FINANCE'!CK41</f>
        <v>73091986.14999998</v>
      </c>
      <c r="CL46" s="15">
        <f t="shared" si="38"/>
        <v>0.2206307936513516</v>
      </c>
      <c r="CM46" s="11">
        <f>+'SECURED LOANS'!CM106+'RETAIL CREDIT'!CN44+'UCL LOANS'!CM45+'UNSECURED LOANS'!CN45+'CAR FINANCE'!CM41</f>
        <v>12558</v>
      </c>
      <c r="CN46" s="15">
        <f t="shared" si="39"/>
        <v>0.22429405776134598</v>
      </c>
      <c r="CO46" s="57"/>
      <c r="CP46" s="56"/>
      <c r="CQ46" s="57"/>
    </row>
    <row r="47" spans="1:95" ht="12.75">
      <c r="A47" s="9" t="s">
        <v>35</v>
      </c>
      <c r="B47" s="9"/>
      <c r="C47" s="9"/>
      <c r="D47" s="10">
        <f>+'SECURED LOANS'!D107+'RETAIL CREDIT'!D45+'UNSECURED LOANS'!D46+'CAR FINANCE'!D42+'UCL LOANS'!D46</f>
        <v>29075669.14999996</v>
      </c>
      <c r="E47" s="15">
        <v>0.0654</v>
      </c>
      <c r="F47" s="11">
        <f>+'SECURED LOANS'!F107+'RETAIL CREDIT'!F45+'UNSECURED LOANS'!F46+'CAR FINANCE'!F42+'UCL LOANS'!F46</f>
        <v>5797</v>
      </c>
      <c r="G47" s="15">
        <v>0.0666</v>
      </c>
      <c r="H47" s="15"/>
      <c r="I47" s="10">
        <f>+'SECURED LOANS'!J107+'RETAIL CREDIT'!J45+'UCL LOANS'!J46+'UNSECURED LOANS'!J46+'CAR FINANCE'!I42</f>
        <v>26580420.939999983</v>
      </c>
      <c r="J47" s="15">
        <f t="shared" si="40"/>
        <v>0.07494889015254659</v>
      </c>
      <c r="K47" s="11">
        <f>+'SECURED LOANS'!L107+'RETAIL CREDIT'!L45+'UCL LOANS'!L46+'UNSECURED LOANS'!L46+'CAR FINANCE'!K42</f>
        <v>5149</v>
      </c>
      <c r="L47" s="15">
        <v>0.0647</v>
      </c>
      <c r="M47" s="57"/>
      <c r="N47" s="56"/>
      <c r="O47" s="57"/>
      <c r="P47" s="15"/>
      <c r="Q47" s="10">
        <f>+'SECURED LOANS'!R107+'RETAIL CREDIT'!R45+'UCL LOANS'!R46+'UNSECURED LOANS'!R46+'CAR FINANCE'!Q42</f>
        <v>27122065.15999998</v>
      </c>
      <c r="R47" s="15">
        <f t="shared" si="41"/>
        <v>0.07582140767058392</v>
      </c>
      <c r="S47" s="11">
        <f>+'SECURED LOANS'!T107+'RETAIL CREDIT'!T45+'UCL LOANS'!T46+'UNSECURED LOANS'!T46+'CAR FINANCE'!S42</f>
        <v>5132</v>
      </c>
      <c r="T47" s="15">
        <f t="shared" si="42"/>
        <v>0.08246296236783751</v>
      </c>
      <c r="U47" s="57"/>
      <c r="V47" s="56"/>
      <c r="W47" s="57"/>
      <c r="X47" s="15"/>
      <c r="Y47" s="10">
        <f>+'SECURED LOANS'!Y107+'RETAIL CREDIT'!Z45+'UCL LOANS'!Z46+'UNSECURED LOANS'!Z46+'CAR FINANCE'!Y42</f>
        <v>27308282.369999994</v>
      </c>
      <c r="Z47" s="15">
        <f t="shared" si="43"/>
        <v>0.0762434737982857</v>
      </c>
      <c r="AA47" s="11">
        <f>+'SECURED LOANS'!AA107+'RETAIL CREDIT'!AB45+'UCL LOANS'!AB46+'UNSECURED LOANS'!AB46+'CAR FINANCE'!AA42</f>
        <v>4966</v>
      </c>
      <c r="AB47" s="15">
        <f t="shared" si="44"/>
        <v>0.0816158827203103</v>
      </c>
      <c r="AC47" s="57"/>
      <c r="AD47" s="56"/>
      <c r="AE47" s="57"/>
      <c r="AF47" s="15"/>
      <c r="AG47" s="10">
        <f>+'SECURED LOANS'!AG107+'RETAIL CREDIT'!AH45+'UCL LOANS'!AG46+'UNSECURED LOANS'!AH46+'CAR FINANCE'!AG42</f>
        <v>26129611.189999998</v>
      </c>
      <c r="AH47" s="15">
        <f t="shared" si="45"/>
        <v>0.06859557565238074</v>
      </c>
      <c r="AI47" s="11">
        <f>+'SECURED LOANS'!AI107+'RETAIL CREDIT'!AJ45+'UCL LOANS'!AI46+'UNSECURED LOANS'!AJ46+'CAR FINANCE'!AI42</f>
        <v>4857</v>
      </c>
      <c r="AJ47" s="15">
        <f t="shared" si="46"/>
        <v>0.07763498609379496</v>
      </c>
      <c r="AK47" s="57"/>
      <c r="AL47" s="56"/>
      <c r="AM47" s="57"/>
      <c r="AN47" s="10">
        <f>+'SECURED LOANS'!AN107+'RETAIL CREDIT'!AO45+'UCL LOANS'!AN46+'UNSECURED LOANS'!AO46+'CAR FINANCE'!AN42</f>
        <v>27622827.089999996</v>
      </c>
      <c r="AO47" s="15">
        <f t="shared" si="26"/>
        <v>0.07266686582158319</v>
      </c>
      <c r="AP47" s="11">
        <f>+'SECURED LOANS'!AP107+'RETAIL CREDIT'!AQ45+'UCL LOANS'!AP46+'UNSECURED LOANS'!AQ46+'CAR FINANCE'!AP42</f>
        <v>4785</v>
      </c>
      <c r="AQ47" s="15">
        <f t="shared" si="27"/>
        <v>0.0769317341393614</v>
      </c>
      <c r="AR47" s="57"/>
      <c r="AS47" s="56"/>
      <c r="AT47" s="57"/>
      <c r="AU47" s="10">
        <f>+'SECURED LOANS'!AU107+'RETAIL CREDIT'!AV45+'UCL LOANS'!AU46+'UNSECURED LOANS'!AV46+'CAR FINANCE'!AU42</f>
        <v>27840850.439999998</v>
      </c>
      <c r="AV47" s="15">
        <f t="shared" si="28"/>
        <v>0.07290956840547591</v>
      </c>
      <c r="AW47" s="11">
        <f>+'SECURED LOANS'!AW107+'RETAIL CREDIT'!AX45+'UCL LOANS'!AW46+'UNSECURED LOANS'!AX46+'CAR FINANCE'!AW42</f>
        <v>4697</v>
      </c>
      <c r="AX47" s="15">
        <f t="shared" si="29"/>
        <v>0.07433726359104217</v>
      </c>
      <c r="AY47" s="57"/>
      <c r="AZ47" s="56"/>
      <c r="BA47" s="57"/>
      <c r="BB47" s="10">
        <f>+'SECURED LOANS'!BB107+'RETAIL CREDIT'!BC45+'UCL LOANS'!BB46+'UNSECURED LOANS'!BC46+'CAR FINANCE'!BB42</f>
        <v>25857283.830000002</v>
      </c>
      <c r="BC47" s="15">
        <f t="shared" si="30"/>
        <v>0.07165277426254887</v>
      </c>
      <c r="BD47" s="11">
        <f>+'SECURED LOANS'!BD107+'RETAIL CREDIT'!BE45+'UCL LOANS'!BD46+'UNSECURED LOANS'!BE46+'CAR FINANCE'!BD42</f>
        <v>4440</v>
      </c>
      <c r="BE47" s="15">
        <f t="shared" si="31"/>
        <v>0.07435068740894553</v>
      </c>
      <c r="BF47" s="57"/>
      <c r="BG47" s="56"/>
      <c r="BH47" s="57"/>
      <c r="BI47" s="10">
        <f>+'SECURED LOANS'!BI107+'RETAIL CREDIT'!BJ45+'UCL LOANS'!BI46+'UNSECURED LOANS'!BJ46+'CAR FINANCE'!BI42</f>
        <v>24457416.67</v>
      </c>
      <c r="BJ47" s="15">
        <f t="shared" si="32"/>
        <v>0.0677736210509242</v>
      </c>
      <c r="BK47" s="11">
        <f>+'SECURED LOANS'!BK107+'RETAIL CREDIT'!BL45+'UCL LOANS'!BK46+'UNSECURED LOANS'!BL46+'CAR FINANCE'!BK42</f>
        <v>4078</v>
      </c>
      <c r="BL47" s="15">
        <f t="shared" si="33"/>
        <v>0.06828876199407204</v>
      </c>
      <c r="BM47" s="57"/>
      <c r="BN47" s="56"/>
      <c r="BO47" s="57"/>
      <c r="BP47" s="10">
        <f>+'SECURED LOANS'!BP107+'RETAIL CREDIT'!BQ45+'UCL LOANS'!BP46+'UNSECURED LOANS'!BQ46+'CAR FINANCE'!BP42</f>
        <v>24557217.82</v>
      </c>
      <c r="BQ47" s="15">
        <f t="shared" si="34"/>
        <v>0.07224391210950862</v>
      </c>
      <c r="BR47" s="11">
        <f>+'SECURED LOANS'!BR107+'RETAIL CREDIT'!BS45+'UCL LOANS'!BR46+'UNSECURED LOANS'!BS46+'CAR FINANCE'!BR42</f>
        <v>3690</v>
      </c>
      <c r="BS47" s="15">
        <f t="shared" si="35"/>
        <v>0.07407704816011884</v>
      </c>
      <c r="BT47" s="57"/>
      <c r="BU47" s="56"/>
      <c r="BV47" s="57"/>
      <c r="BW47" s="10">
        <f>+'SECURED LOANS'!BW107+'RETAIL CREDIT'!BX45+'UCL LOANS'!BW46+'UNSECURED LOANS'!BX46+'CAR FINANCE'!BW42</f>
        <v>23576120.969999988</v>
      </c>
      <c r="BX47" s="15">
        <f t="shared" si="47"/>
        <v>0.07169115239570768</v>
      </c>
      <c r="BY47" s="11">
        <f>+'SECURED LOANS'!BY107+'RETAIL CREDIT'!BZ45+'UCL LOANS'!BY46+'UNSECURED LOANS'!BZ46+'CAR FINANCE'!BY42</f>
        <v>3400</v>
      </c>
      <c r="BZ47" s="15">
        <f t="shared" si="48"/>
        <v>0.0748074807480748</v>
      </c>
      <c r="CA47" s="57"/>
      <c r="CB47" s="56"/>
      <c r="CC47" s="57"/>
      <c r="CD47" s="10">
        <f>+'SECURED LOANS'!CD107+'RETAIL CREDIT'!CE45+'UCL LOANS'!CD46+'UNSECURED LOANS'!CE46+'CAR FINANCE'!CD42</f>
        <v>23865341.299999993</v>
      </c>
      <c r="CE47" s="15">
        <f t="shared" si="36"/>
        <v>0.07203839256705408</v>
      </c>
      <c r="CF47" s="11">
        <f>+'SECURED LOANS'!CF107+'RETAIL CREDIT'!CG45+'UCL LOANS'!CF46+'UNSECURED LOANS'!CG46+'CAR FINANCE'!CF42</f>
        <v>3933</v>
      </c>
      <c r="CG47" s="15">
        <f t="shared" si="37"/>
        <v>0.07024594116701495</v>
      </c>
      <c r="CH47" s="57"/>
      <c r="CI47" s="56"/>
      <c r="CJ47" s="57"/>
      <c r="CK47" s="10">
        <f>+'SECURED LOANS'!CK107+'RETAIL CREDIT'!CL45+'UCL LOANS'!CK46+'UNSECURED LOANS'!CL46+'CAR FINANCE'!CK42</f>
        <v>23376399.029999994</v>
      </c>
      <c r="CL47" s="15">
        <f t="shared" si="38"/>
        <v>0.07056250270878138</v>
      </c>
      <c r="CM47" s="11">
        <f>+'SECURED LOANS'!CM107+'RETAIL CREDIT'!CN45+'UCL LOANS'!CM46+'UNSECURED LOANS'!CN46+'CAR FINANCE'!CM42</f>
        <v>3852</v>
      </c>
      <c r="CN47" s="15">
        <f t="shared" si="39"/>
        <v>0.06879922841986819</v>
      </c>
      <c r="CO47" s="57"/>
      <c r="CP47" s="56"/>
      <c r="CQ47" s="57"/>
    </row>
    <row r="48" spans="1:95" ht="12.75">
      <c r="A48" s="9" t="s">
        <v>36</v>
      </c>
      <c r="B48" s="9"/>
      <c r="C48" s="9"/>
      <c r="D48" s="10">
        <f>+'SECURED LOANS'!D108+'RETAIL CREDIT'!D46+'UNSECURED LOANS'!D47+'CAR FINANCE'!D43+'UCL LOANS'!D47</f>
        <v>14348704.920000006</v>
      </c>
      <c r="E48" s="15">
        <v>0.0334</v>
      </c>
      <c r="F48" s="11">
        <f>+'SECURED LOANS'!F108+'RETAIL CREDIT'!F46+'UNSECURED LOANS'!F47+'CAR FINANCE'!F43+'UCL LOANS'!F47</f>
        <v>2702</v>
      </c>
      <c r="G48" s="15">
        <v>0.0351</v>
      </c>
      <c r="H48" s="15"/>
      <c r="I48" s="10">
        <f>+'SECURED LOANS'!J108+'RETAIL CREDIT'!J46+'UCL LOANS'!J47+'UNSECURED LOANS'!J47+'CAR FINANCE'!I43</f>
        <v>13404201.41</v>
      </c>
      <c r="J48" s="15">
        <f t="shared" si="40"/>
        <v>0.03779586566098606</v>
      </c>
      <c r="K48" s="11">
        <f>+'SECURED LOANS'!L108+'RETAIL CREDIT'!L46+'UCL LOANS'!L47+'UNSECURED LOANS'!L47+'CAR FINANCE'!K43</f>
        <v>2305</v>
      </c>
      <c r="L48" s="15">
        <v>0.0353</v>
      </c>
      <c r="M48" s="57"/>
      <c r="N48" s="56"/>
      <c r="O48" s="57"/>
      <c r="P48" s="15"/>
      <c r="Q48" s="10">
        <f>+'SECURED LOANS'!R108+'RETAIL CREDIT'!R46+'UCL LOANS'!R47+'UNSECURED LOANS'!R47+'CAR FINANCE'!Q43</f>
        <v>13044743.299999997</v>
      </c>
      <c r="R48" s="15">
        <f t="shared" si="41"/>
        <v>0.036467385277361326</v>
      </c>
      <c r="S48" s="11">
        <f>+'SECURED LOANS'!T108+'RETAIL CREDIT'!T46+'UCL LOANS'!T47+'UNSECURED LOANS'!T47+'CAR FINANCE'!S43</f>
        <v>2270</v>
      </c>
      <c r="T48" s="15">
        <f t="shared" si="42"/>
        <v>0.03647523861554777</v>
      </c>
      <c r="U48" s="57"/>
      <c r="V48" s="56"/>
      <c r="W48" s="57"/>
      <c r="X48" s="15"/>
      <c r="Y48" s="10">
        <f>+'SECURED LOANS'!Y108+'RETAIL CREDIT'!Z46+'UCL LOANS'!Z47+'UNSECURED LOANS'!Z47+'CAR FINANCE'!Y43</f>
        <v>12963275.749999996</v>
      </c>
      <c r="Z48" s="15">
        <f t="shared" si="43"/>
        <v>0.03619287224270331</v>
      </c>
      <c r="AA48" s="11">
        <f>+'SECURED LOANS'!AA108+'RETAIL CREDIT'!AB46+'UCL LOANS'!AB47+'UNSECURED LOANS'!AB47+'CAR FINANCE'!AA43</f>
        <v>2362</v>
      </c>
      <c r="AB48" s="15">
        <f t="shared" si="44"/>
        <v>0.03881931433454952</v>
      </c>
      <c r="AC48" s="57"/>
      <c r="AD48" s="56"/>
      <c r="AE48" s="57"/>
      <c r="AF48" s="15"/>
      <c r="AG48" s="10">
        <f>+'SECURED LOANS'!AG108+'RETAIL CREDIT'!AH46+'UCL LOANS'!AG47+'UNSECURED LOANS'!AH47+'CAR FINANCE'!AG43</f>
        <v>13465947.86</v>
      </c>
      <c r="AH48" s="15">
        <f t="shared" si="45"/>
        <v>0.0353508683479819</v>
      </c>
      <c r="AI48" s="11">
        <f>+'SECURED LOANS'!AI108+'RETAIL CREDIT'!AJ46+'UCL LOANS'!AI47+'UNSECURED LOANS'!AJ47+'CAR FINANCE'!AI43</f>
        <v>2378</v>
      </c>
      <c r="AJ48" s="15">
        <f t="shared" si="46"/>
        <v>0.038010293788561744</v>
      </c>
      <c r="AK48" s="57"/>
      <c r="AL48" s="56"/>
      <c r="AM48" s="57"/>
      <c r="AN48" s="10">
        <f>+'SECURED LOANS'!AN108+'RETAIL CREDIT'!AO46+'UCL LOANS'!AN47+'UNSECURED LOANS'!AO47+'CAR FINANCE'!AN43</f>
        <v>13278360.209999999</v>
      </c>
      <c r="AO48" s="15">
        <f t="shared" si="26"/>
        <v>0.03493113925547579</v>
      </c>
      <c r="AP48" s="11">
        <f>+'SECURED LOANS'!AP108+'RETAIL CREDIT'!AQ46+'UCL LOANS'!AP47+'UNSECURED LOANS'!AQ47+'CAR FINANCE'!AP43</f>
        <v>2115</v>
      </c>
      <c r="AQ48" s="15">
        <f t="shared" si="27"/>
        <v>0.0340043088202193</v>
      </c>
      <c r="AR48" s="57"/>
      <c r="AS48" s="56"/>
      <c r="AT48" s="57"/>
      <c r="AU48" s="10">
        <f>+'SECURED LOANS'!AU108+'RETAIL CREDIT'!AV46+'UCL LOANS'!AU47+'UNSECURED LOANS'!AV47+'CAR FINANCE'!AU43</f>
        <v>13661642.339999963</v>
      </c>
      <c r="AV48" s="15">
        <f t="shared" si="28"/>
        <v>0.03577708406810339</v>
      </c>
      <c r="AW48" s="11">
        <f>+'SECURED LOANS'!AW108+'RETAIL CREDIT'!AX46+'UCL LOANS'!AW47+'UNSECURED LOANS'!AX47+'CAR FINANCE'!AW43</f>
        <v>2351</v>
      </c>
      <c r="AX48" s="15">
        <f t="shared" si="29"/>
        <v>0.03720819814829469</v>
      </c>
      <c r="AY48" s="57"/>
      <c r="AZ48" s="56"/>
      <c r="BA48" s="57"/>
      <c r="BB48" s="10">
        <f>+'SECURED LOANS'!BB108+'RETAIL CREDIT'!BC46+'UCL LOANS'!BB47+'UNSECURED LOANS'!BC47+'CAR FINANCE'!BB43</f>
        <v>12856073.419999996</v>
      </c>
      <c r="BC48" s="15">
        <f t="shared" si="30"/>
        <v>0.03562529354290707</v>
      </c>
      <c r="BD48" s="11">
        <f>+'SECURED LOANS'!BD108+'RETAIL CREDIT'!BE46+'UCL LOANS'!BD47+'UNSECURED LOANS'!BE47+'CAR FINANCE'!BD43</f>
        <v>2012</v>
      </c>
      <c r="BE48" s="15">
        <f t="shared" si="31"/>
        <v>0.03369224843846811</v>
      </c>
      <c r="BF48" s="57"/>
      <c r="BG48" s="56"/>
      <c r="BH48" s="57"/>
      <c r="BI48" s="10">
        <f>+'SECURED LOANS'!BI108+'RETAIL CREDIT'!BJ46+'UCL LOANS'!BI47+'UNSECURED LOANS'!BJ47+'CAR FINANCE'!BI43</f>
        <v>12511818.780000001</v>
      </c>
      <c r="BJ48" s="15">
        <f t="shared" si="32"/>
        <v>0.034671334102660836</v>
      </c>
      <c r="BK48" s="11">
        <f>+'SECURED LOANS'!BK108+'RETAIL CREDIT'!BL46+'UCL LOANS'!BK47+'UNSECURED LOANS'!BL47+'CAR FINANCE'!BK43</f>
        <v>1866</v>
      </c>
      <c r="BL48" s="15">
        <f t="shared" si="33"/>
        <v>0.031247383492137917</v>
      </c>
      <c r="BM48" s="57"/>
      <c r="BN48" s="56"/>
      <c r="BO48" s="57"/>
      <c r="BP48" s="10">
        <f>+'SECURED LOANS'!BP108+'RETAIL CREDIT'!BQ46+'UCL LOANS'!BP47+'UNSECURED LOANS'!BQ47+'CAR FINANCE'!BP43</f>
        <v>12741611.760000002</v>
      </c>
      <c r="BQ48" s="15">
        <f t="shared" si="34"/>
        <v>0.03748404590740082</v>
      </c>
      <c r="BR48" s="11">
        <f>+'SECURED LOANS'!BR108+'RETAIL CREDIT'!BS46+'UCL LOANS'!BR47+'UNSECURED LOANS'!BS47+'CAR FINANCE'!BR43</f>
        <v>1699</v>
      </c>
      <c r="BS48" s="15">
        <f t="shared" si="35"/>
        <v>0.03410756228293819</v>
      </c>
      <c r="BT48" s="57"/>
      <c r="BU48" s="56"/>
      <c r="BV48" s="57"/>
      <c r="BW48" s="10">
        <f>+'SECURED LOANS'!BW108+'RETAIL CREDIT'!BX46+'UCL LOANS'!BW47+'UNSECURED LOANS'!BX47+'CAR FINANCE'!BW43</f>
        <v>13387453.200000001</v>
      </c>
      <c r="BX48" s="15">
        <f t="shared" si="47"/>
        <v>0.04070906951881004</v>
      </c>
      <c r="BY48" s="11">
        <f>+'SECURED LOANS'!BY108+'RETAIL CREDIT'!BZ46+'UCL LOANS'!BY47+'UNSECURED LOANS'!BZ47+'CAR FINANCE'!BY43</f>
        <v>1593</v>
      </c>
      <c r="BZ48" s="15">
        <f t="shared" si="48"/>
        <v>0.03504950495049505</v>
      </c>
      <c r="CA48" s="57"/>
      <c r="CB48" s="56"/>
      <c r="CC48" s="57"/>
      <c r="CD48" s="10">
        <f>+'SECURED LOANS'!CD108+'RETAIL CREDIT'!CE46+'UCL LOANS'!CD47+'UNSECURED LOANS'!CE47+'CAR FINANCE'!CD43</f>
        <v>13330474.480000002</v>
      </c>
      <c r="CE48" s="15">
        <f t="shared" si="36"/>
        <v>0.04023851750636127</v>
      </c>
      <c r="CF48" s="11">
        <f>+'SECURED LOANS'!CF108+'RETAIL CREDIT'!CG46+'UCL LOANS'!CF47+'UNSECURED LOANS'!CG47+'CAR FINANCE'!CF43</f>
        <v>2013</v>
      </c>
      <c r="CG48" s="15">
        <f t="shared" si="37"/>
        <v>0.03595349086427691</v>
      </c>
      <c r="CH48" s="57"/>
      <c r="CI48" s="56"/>
      <c r="CJ48" s="57"/>
      <c r="CK48" s="10">
        <f>+'SECURED LOANS'!CK108+'RETAIL CREDIT'!CL46+'UCL LOANS'!CK47+'UNSECURED LOANS'!CL47+'CAR FINANCE'!CK43</f>
        <v>13834613.769999998</v>
      </c>
      <c r="CL48" s="15">
        <f t="shared" si="38"/>
        <v>0.04176028011704287</v>
      </c>
      <c r="CM48" s="11">
        <f>+'SECURED LOANS'!CM108+'RETAIL CREDIT'!CN46+'UCL LOANS'!CM47+'UNSECURED LOANS'!CN47+'CAR FINANCE'!CM43</f>
        <v>2021</v>
      </c>
      <c r="CN48" s="15">
        <f t="shared" si="39"/>
        <v>0.03609637607387165</v>
      </c>
      <c r="CO48" s="57"/>
      <c r="CP48" s="56"/>
      <c r="CQ48" s="57"/>
    </row>
    <row r="49" spans="1:95" ht="12.75">
      <c r="A49" s="9" t="s">
        <v>37</v>
      </c>
      <c r="B49" s="9"/>
      <c r="C49" s="9"/>
      <c r="D49" s="10">
        <f>+'SECURED LOANS'!D109+'RETAIL CREDIT'!D47+'UNSECURED LOANS'!D48+'CAR FINANCE'!D44+'UCL LOANS'!D48</f>
        <v>24777485.460000027</v>
      </c>
      <c r="E49" s="15">
        <v>0.0585</v>
      </c>
      <c r="F49" s="11">
        <f>+'SECURED LOANS'!F109+'RETAIL CREDIT'!F47+'UNSECURED LOANS'!F48+'CAR FINANCE'!F44+'UCL LOANS'!F48</f>
        <v>4680</v>
      </c>
      <c r="G49" s="15">
        <v>0.0792</v>
      </c>
      <c r="H49" s="15"/>
      <c r="I49" s="10">
        <f>+'SECURED LOANS'!J109+'RETAIL CREDIT'!J47+'UCL LOANS'!J48+'UNSECURED LOANS'!J48+'CAR FINANCE'!I44</f>
        <v>23000489.499999993</v>
      </c>
      <c r="J49" s="15">
        <f t="shared" si="40"/>
        <v>0.06485454706987427</v>
      </c>
      <c r="K49" s="11">
        <f>+'SECURED LOANS'!L109+'RETAIL CREDIT'!L47+'UCL LOANS'!L48+'UNSECURED LOANS'!L48+'CAR FINANCE'!K44</f>
        <v>4269</v>
      </c>
      <c r="L49" s="15">
        <v>0.0814</v>
      </c>
      <c r="M49" s="57"/>
      <c r="N49" s="56"/>
      <c r="O49" s="57"/>
      <c r="P49" s="15"/>
      <c r="Q49" s="10">
        <f>+'SECURED LOANS'!R109+'RETAIL CREDIT'!R47+'UCL LOANS'!R48+'UNSECURED LOANS'!R48+'CAR FINANCE'!Q44</f>
        <v>22510608.209999993</v>
      </c>
      <c r="R49" s="15">
        <f t="shared" si="41"/>
        <v>0.06292979505559171</v>
      </c>
      <c r="S49" s="11">
        <f>+'SECURED LOANS'!T109+'RETAIL CREDIT'!T47+'UCL LOANS'!T48+'UNSECURED LOANS'!T48+'CAR FINANCE'!S44</f>
        <v>4311</v>
      </c>
      <c r="T49" s="15">
        <f t="shared" si="42"/>
        <v>0.06927081659543015</v>
      </c>
      <c r="U49" s="57"/>
      <c r="V49" s="56"/>
      <c r="W49" s="57"/>
      <c r="X49" s="15"/>
      <c r="Y49" s="10">
        <f>+'SECURED LOANS'!Y109+'RETAIL CREDIT'!Z47+'UCL LOANS'!Z48+'UNSECURED LOANS'!Z48+'CAR FINANCE'!Y44</f>
        <v>22197940.96000003</v>
      </c>
      <c r="Z49" s="15">
        <f t="shared" si="43"/>
        <v>0.06197563460889523</v>
      </c>
      <c r="AA49" s="11">
        <f>+'SECURED LOANS'!AA109+'RETAIL CREDIT'!AB47+'UCL LOANS'!AB48+'UNSECURED LOANS'!AB48+'CAR FINANCE'!AA44</f>
        <v>4161</v>
      </c>
      <c r="AB49" s="15">
        <f t="shared" si="44"/>
        <v>0.0683857607730993</v>
      </c>
      <c r="AC49" s="57"/>
      <c r="AD49" s="56"/>
      <c r="AE49" s="57"/>
      <c r="AF49" s="15"/>
      <c r="AG49" s="10">
        <f>+'SECURED LOANS'!AG109+'RETAIL CREDIT'!AH47+'UCL LOANS'!AG48+'UNSECURED LOANS'!AH48+'CAR FINANCE'!AG44</f>
        <v>23827923.02</v>
      </c>
      <c r="AH49" s="15">
        <f t="shared" si="45"/>
        <v>0.06255317326662121</v>
      </c>
      <c r="AI49" s="11">
        <f>+'SECURED LOANS'!AI109+'RETAIL CREDIT'!AJ47+'UCL LOANS'!AI48+'UNSECURED LOANS'!AJ48+'CAR FINANCE'!AI44</f>
        <v>4190</v>
      </c>
      <c r="AJ49" s="15">
        <f t="shared" si="46"/>
        <v>0.06697356222627154</v>
      </c>
      <c r="AK49" s="57"/>
      <c r="AL49" s="56"/>
      <c r="AM49" s="57"/>
      <c r="AN49" s="10">
        <f>+'SECURED LOANS'!AN109+'RETAIL CREDIT'!AO47+'UCL LOANS'!AN48+'UNSECURED LOANS'!AO48+'CAR FINANCE'!AN44</f>
        <v>21689814.479999997</v>
      </c>
      <c r="AO49" s="15">
        <f t="shared" si="26"/>
        <v>0.05705899810247091</v>
      </c>
      <c r="AP49" s="11">
        <f>+'SECURED LOANS'!AP109+'RETAIL CREDIT'!AQ47+'UCL LOANS'!AP48+'UNSECURED LOANS'!AQ48+'CAR FINANCE'!AP44</f>
        <v>4041</v>
      </c>
      <c r="AQ49" s="15">
        <f t="shared" si="27"/>
        <v>0.06496993472458922</v>
      </c>
      <c r="AR49" s="57"/>
      <c r="AS49" s="56"/>
      <c r="AT49" s="57"/>
      <c r="AU49" s="10">
        <f>+'SECURED LOANS'!AU109+'RETAIL CREDIT'!AV47+'UCL LOANS'!AU48+'UNSECURED LOANS'!AV48+'CAR FINANCE'!AU44</f>
        <v>21650498.390000008</v>
      </c>
      <c r="AV49" s="15">
        <f t="shared" si="28"/>
        <v>0.05669828573592782</v>
      </c>
      <c r="AW49" s="11">
        <f>+'SECURED LOANS'!AW109+'RETAIL CREDIT'!AX47+'UCL LOANS'!AW48+'UNSECURED LOANS'!AX48+'CAR FINANCE'!AW44</f>
        <v>3993</v>
      </c>
      <c r="AX49" s="15">
        <f t="shared" si="29"/>
        <v>0.06319537864999604</v>
      </c>
      <c r="AY49" s="57"/>
      <c r="AZ49" s="56"/>
      <c r="BA49" s="57"/>
      <c r="BB49" s="10">
        <f>+'SECURED LOANS'!BB109+'RETAIL CREDIT'!BC47+'UCL LOANS'!BB48+'UNSECURED LOANS'!BC48+'CAR FINANCE'!BB44</f>
        <v>21225704.820000004</v>
      </c>
      <c r="BC49" s="15">
        <f t="shared" si="30"/>
        <v>0.05881826745724962</v>
      </c>
      <c r="BD49" s="11">
        <f>+'SECURED LOANS'!BD109+'RETAIL CREDIT'!BE47+'UCL LOANS'!BD48+'UNSECURED LOANS'!BE48+'CAR FINANCE'!BD44</f>
        <v>3838</v>
      </c>
      <c r="BE49" s="15">
        <f t="shared" si="31"/>
        <v>0.06426980591791283</v>
      </c>
      <c r="BF49" s="57"/>
      <c r="BG49" s="56"/>
      <c r="BH49" s="57"/>
      <c r="BI49" s="10">
        <f>+'SECURED LOANS'!BI109+'RETAIL CREDIT'!BJ47+'UCL LOANS'!BI48+'UNSECURED LOANS'!BJ48+'CAR FINANCE'!BI44</f>
        <v>20231382.530000016</v>
      </c>
      <c r="BJ49" s="15">
        <f t="shared" si="32"/>
        <v>0.05606291422455898</v>
      </c>
      <c r="BK49" s="11">
        <f>+'SECURED LOANS'!BK109+'RETAIL CREDIT'!BL47+'UCL LOANS'!BK48+'UNSECURED LOANS'!BL48+'CAR FINANCE'!BK44</f>
        <v>3579</v>
      </c>
      <c r="BL49" s="15">
        <f t="shared" si="33"/>
        <v>0.05993268248572433</v>
      </c>
      <c r="BM49" s="57"/>
      <c r="BN49" s="56"/>
      <c r="BO49" s="57"/>
      <c r="BP49" s="10">
        <f>+'SECURED LOANS'!BP109+'RETAIL CREDIT'!BQ47+'UCL LOANS'!BP48+'UNSECURED LOANS'!BQ48+'CAR FINANCE'!BP44</f>
        <v>19947480.310000017</v>
      </c>
      <c r="BQ49" s="15">
        <f t="shared" si="34"/>
        <v>0.058682706847521665</v>
      </c>
      <c r="BR49" s="11">
        <f>+'SECURED LOANS'!BR109+'RETAIL CREDIT'!BS47+'UCL LOANS'!BR48+'UNSECURED LOANS'!BS48+'CAR FINANCE'!BR44</f>
        <v>3210</v>
      </c>
      <c r="BS49" s="15">
        <f t="shared" si="35"/>
        <v>0.06444100937506274</v>
      </c>
      <c r="BT49" s="57"/>
      <c r="BU49" s="56"/>
      <c r="BV49" s="57"/>
      <c r="BW49" s="10">
        <f>+'SECURED LOANS'!BW109+'RETAIL CREDIT'!BX47+'UCL LOANS'!BW48+'UNSECURED LOANS'!BX48+'CAR FINANCE'!BW44</f>
        <v>19192659.89</v>
      </c>
      <c r="BX49" s="15">
        <f t="shared" si="47"/>
        <v>0.05836175962974697</v>
      </c>
      <c r="BY49" s="11">
        <f>+'SECURED LOANS'!BY109+'RETAIL CREDIT'!BZ47+'UCL LOANS'!BY48+'UNSECURED LOANS'!BZ48+'CAR FINANCE'!BY44</f>
        <v>2885</v>
      </c>
      <c r="BZ49" s="15">
        <f t="shared" si="48"/>
        <v>0.06347634763476348</v>
      </c>
      <c r="CA49" s="57"/>
      <c r="CB49" s="56"/>
      <c r="CC49" s="57"/>
      <c r="CD49" s="10">
        <f>+'SECURED LOANS'!CD109+'RETAIL CREDIT'!CE47+'UCL LOANS'!CD48+'UNSECURED LOANS'!CE48+'CAR FINANCE'!CD44</f>
        <v>18820200.890000015</v>
      </c>
      <c r="CE49" s="15">
        <f t="shared" si="36"/>
        <v>0.056809454466282536</v>
      </c>
      <c r="CF49" s="11">
        <f>+'SECURED LOANS'!CF109+'RETAIL CREDIT'!CG47+'UCL LOANS'!CF48+'UNSECURED LOANS'!CG48+'CAR FINANCE'!CF44</f>
        <v>3557</v>
      </c>
      <c r="CG49" s="15">
        <f t="shared" si="37"/>
        <v>0.06353033631606209</v>
      </c>
      <c r="CH49" s="57"/>
      <c r="CI49" s="56"/>
      <c r="CJ49" s="57"/>
      <c r="CK49" s="10">
        <f>+'SECURED LOANS'!CK109+'RETAIL CREDIT'!CL47+'UCL LOANS'!CK48+'UNSECURED LOANS'!CL48+'CAR FINANCE'!CK44</f>
        <v>18439444.880000006</v>
      </c>
      <c r="CL49" s="15">
        <f t="shared" si="38"/>
        <v>0.05566012873170166</v>
      </c>
      <c r="CM49" s="11">
        <f>+'SECURED LOANS'!CM109+'RETAIL CREDIT'!CN47+'UCL LOANS'!CM48+'UNSECURED LOANS'!CN48+'CAR FINANCE'!CM44</f>
        <v>3489</v>
      </c>
      <c r="CN49" s="15">
        <f t="shared" si="39"/>
        <v>0.06231581203450678</v>
      </c>
      <c r="CO49" s="57"/>
      <c r="CP49" s="56"/>
      <c r="CQ49" s="57"/>
    </row>
    <row r="50" spans="1:95" ht="12.75">
      <c r="A50" s="9" t="s">
        <v>38</v>
      </c>
      <c r="B50" s="9"/>
      <c r="C50" s="9"/>
      <c r="D50" s="10">
        <f>+'SECURED LOANS'!D110+'RETAIL CREDIT'!D48+'UNSECURED LOANS'!D49+'CAR FINANCE'!D45+'UCL LOANS'!D49</f>
        <v>40442263.57999997</v>
      </c>
      <c r="E50" s="15">
        <v>0.1248</v>
      </c>
      <c r="F50" s="11">
        <f>+'SECURED LOANS'!F110+'RETAIL CREDIT'!F48+'UNSECURED LOANS'!F49+'CAR FINANCE'!F45+'UCL LOANS'!F49</f>
        <v>7852</v>
      </c>
      <c r="G50" s="15">
        <v>0.1459</v>
      </c>
      <c r="H50" s="15"/>
      <c r="I50" s="10">
        <f>+'SECURED LOANS'!J110+'RETAIL CREDIT'!J48+'UCL LOANS'!J49+'UNSECURED LOANS'!J49+'CAR FINANCE'!I45</f>
        <v>37568446.839999996</v>
      </c>
      <c r="J50" s="15">
        <f t="shared" si="40"/>
        <v>0.10593185870791359</v>
      </c>
      <c r="K50" s="11">
        <f>+'SECURED LOANS'!L110+'RETAIL CREDIT'!L48+'UCL LOANS'!L49+'UNSECURED LOANS'!L49+'CAR FINANCE'!K45</f>
        <v>6949</v>
      </c>
      <c r="L50" s="15">
        <v>0.1562</v>
      </c>
      <c r="M50" s="57"/>
      <c r="N50" s="56"/>
      <c r="O50" s="57"/>
      <c r="P50" s="15"/>
      <c r="Q50" s="10">
        <f>+'SECURED LOANS'!R110+'RETAIL CREDIT'!R48+'UCL LOANS'!R49+'UNSECURED LOANS'!R49+'CAR FINANCE'!Q45</f>
        <v>38498308.309999995</v>
      </c>
      <c r="R50" s="15">
        <f t="shared" si="41"/>
        <v>0.10762439776545173</v>
      </c>
      <c r="S50" s="11">
        <f>+'SECURED LOANS'!T110+'RETAIL CREDIT'!T48+'UCL LOANS'!T49+'UNSECURED LOANS'!T49+'CAR FINANCE'!S45</f>
        <v>7105</v>
      </c>
      <c r="T50" s="15">
        <f t="shared" si="42"/>
        <v>0.11416589002795899</v>
      </c>
      <c r="U50" s="57"/>
      <c r="V50" s="56"/>
      <c r="W50" s="57"/>
      <c r="X50" s="15"/>
      <c r="Y50" s="10">
        <f>+'SECURED LOANS'!Y110+'RETAIL CREDIT'!Z48+'UCL LOANS'!Z49+'UNSECURED LOANS'!Z49+'CAR FINANCE'!Y45</f>
        <v>38477183.24999998</v>
      </c>
      <c r="Z50" s="15">
        <f t="shared" si="43"/>
        <v>0.10742653357708089</v>
      </c>
      <c r="AA50" s="11">
        <f>+'SECURED LOANS'!AA110+'RETAIL CREDIT'!AB48+'UCL LOANS'!AB49+'UNSECURED LOANS'!AB49+'CAR FINANCE'!AA45</f>
        <v>6758</v>
      </c>
      <c r="AB50" s="15">
        <f t="shared" si="44"/>
        <v>0.11106728462018867</v>
      </c>
      <c r="AC50" s="57"/>
      <c r="AD50" s="56"/>
      <c r="AE50" s="57"/>
      <c r="AF50" s="15"/>
      <c r="AG50" s="10">
        <f>+'SECURED LOANS'!AG110+'RETAIL CREDIT'!AH48+'UCL LOANS'!AG49+'UNSECURED LOANS'!AH49+'CAR FINANCE'!AG45</f>
        <v>45087721.10000002</v>
      </c>
      <c r="AH50" s="15">
        <f t="shared" si="45"/>
        <v>0.11836449311163649</v>
      </c>
      <c r="AI50" s="11">
        <f>+'SECURED LOANS'!AI110+'RETAIL CREDIT'!AJ48+'UCL LOANS'!AI49+'UNSECURED LOANS'!AJ49+'CAR FINANCE'!AI45</f>
        <v>7459</v>
      </c>
      <c r="AJ50" s="15">
        <f t="shared" si="46"/>
        <v>0.11922572807774688</v>
      </c>
      <c r="AK50" s="57"/>
      <c r="AL50" s="56"/>
      <c r="AM50" s="57"/>
      <c r="AN50" s="10">
        <f>+'SECURED LOANS'!AN110+'RETAIL CREDIT'!AO48+'UCL LOANS'!AN49+'UNSECURED LOANS'!AO49+'CAR FINANCE'!AN45</f>
        <v>46825259.320000075</v>
      </c>
      <c r="AO50" s="15">
        <f t="shared" si="26"/>
        <v>0.12318235294964096</v>
      </c>
      <c r="AP50" s="11">
        <f>+'SECURED LOANS'!AP110+'RETAIL CREDIT'!AQ48+'UCL LOANS'!AP49+'UNSECURED LOANS'!AQ49+'CAR FINANCE'!AP45</f>
        <v>8062</v>
      </c>
      <c r="AQ50" s="15">
        <f t="shared" si="27"/>
        <v>0.1296183157014695</v>
      </c>
      <c r="AR50" s="57"/>
      <c r="AS50" s="56"/>
      <c r="AT50" s="57"/>
      <c r="AU50" s="10">
        <f>+'SECURED LOANS'!AU110+'RETAIL CREDIT'!AV48+'UCL LOANS'!AU49+'UNSECURED LOANS'!AV49+'CAR FINANCE'!AU45</f>
        <v>45771189.22999999</v>
      </c>
      <c r="AV50" s="15">
        <f t="shared" si="28"/>
        <v>0.1198655069591569</v>
      </c>
      <c r="AW50" s="11">
        <f>+'SECURED LOANS'!AW110+'RETAIL CREDIT'!AX48+'UCL LOANS'!AW49+'UNSECURED LOANS'!AX49+'CAR FINANCE'!AW45</f>
        <v>8047</v>
      </c>
      <c r="AX50" s="15">
        <f t="shared" si="29"/>
        <v>0.12735617630766796</v>
      </c>
      <c r="AY50" s="57"/>
      <c r="AZ50" s="56"/>
      <c r="BA50" s="57"/>
      <c r="BB50" s="10">
        <f>+'SECURED LOANS'!BB110+'RETAIL CREDIT'!BC48+'UCL LOANS'!BB49+'UNSECURED LOANS'!BC49+'CAR FINANCE'!BB45</f>
        <v>42716945.59000002</v>
      </c>
      <c r="BC50" s="15">
        <f t="shared" si="30"/>
        <v>0.11837235804306263</v>
      </c>
      <c r="BD50" s="11">
        <f>+'SECURED LOANS'!BD110+'RETAIL CREDIT'!BE48+'UCL LOANS'!BD49+'UNSECURED LOANS'!BE49+'CAR FINANCE'!BD45</f>
        <v>7565</v>
      </c>
      <c r="BE50" s="15">
        <f t="shared" si="31"/>
        <v>0.126680844650602</v>
      </c>
      <c r="BF50" s="57"/>
      <c r="BG50" s="56"/>
      <c r="BH50" s="57"/>
      <c r="BI50" s="10">
        <f>+'SECURED LOANS'!BI110+'RETAIL CREDIT'!BJ48+'UCL LOANS'!BI49+'UNSECURED LOANS'!BJ49+'CAR FINANCE'!BI45</f>
        <v>40188161.650000036</v>
      </c>
      <c r="BJ50" s="15">
        <f t="shared" si="32"/>
        <v>0.11136487860311645</v>
      </c>
      <c r="BK50" s="11">
        <f>+'SECURED LOANS'!BK110+'RETAIL CREDIT'!BL48+'UCL LOANS'!BK49+'UNSECURED LOANS'!BL49+'CAR FINANCE'!BK45</f>
        <v>7075</v>
      </c>
      <c r="BL50" s="15">
        <f t="shared" si="33"/>
        <v>0.11847547599511027</v>
      </c>
      <c r="BM50" s="57"/>
      <c r="BN50" s="56"/>
      <c r="BO50" s="57"/>
      <c r="BP50" s="10">
        <f>+'SECURED LOANS'!BP110+'RETAIL CREDIT'!BQ48+'UCL LOANS'!BP49+'UNSECURED LOANS'!BQ49+'CAR FINANCE'!BP45</f>
        <v>38734854.78999999</v>
      </c>
      <c r="BQ50" s="15">
        <f t="shared" si="34"/>
        <v>0.11395254403551723</v>
      </c>
      <c r="BR50" s="11">
        <f>+'SECURED LOANS'!BR110+'RETAIL CREDIT'!BS48+'UCL LOANS'!BR49+'UNSECURED LOANS'!BS49+'CAR FINANCE'!BR45</f>
        <v>6483</v>
      </c>
      <c r="BS50" s="15">
        <f t="shared" si="35"/>
        <v>0.13014674884066407</v>
      </c>
      <c r="BT50" s="57"/>
      <c r="BU50" s="56"/>
      <c r="BV50" s="57"/>
      <c r="BW50" s="10">
        <f>+'SECURED LOANS'!BW110+'RETAIL CREDIT'!BX48+'UCL LOANS'!BW49+'UNSECURED LOANS'!BX49+'CAR FINANCE'!BW45</f>
        <v>36511726.18000002</v>
      </c>
      <c r="BX50" s="15">
        <f t="shared" si="47"/>
        <v>0.11102622560901854</v>
      </c>
      <c r="BY50" s="11">
        <f>+'SECURED LOANS'!BY110+'RETAIL CREDIT'!BZ48+'UCL LOANS'!BY49+'UNSECURED LOANS'!BZ49+'CAR FINANCE'!BY45</f>
        <v>5918</v>
      </c>
      <c r="BZ50" s="15">
        <f t="shared" si="48"/>
        <v>0.13020902090209022</v>
      </c>
      <c r="CA50" s="57"/>
      <c r="CB50" s="56"/>
      <c r="CC50" s="57"/>
      <c r="CD50" s="10">
        <f>+'SECURED LOANS'!CD110+'RETAIL CREDIT'!CE48+'UCL LOANS'!CD49+'UNSECURED LOANS'!CE49+'CAR FINANCE'!CD45</f>
        <v>35667787.16000001</v>
      </c>
      <c r="CE50" s="15">
        <f t="shared" si="36"/>
        <v>0.10766450063005018</v>
      </c>
      <c r="CF50" s="11">
        <f>+'SECURED LOANS'!CF110+'RETAIL CREDIT'!CG48+'UCL LOANS'!CF49+'UNSECURED LOANS'!CG49+'CAR FINANCE'!CF45</f>
        <v>6721</v>
      </c>
      <c r="CG50" s="15">
        <f t="shared" si="37"/>
        <v>0.12004143671078248</v>
      </c>
      <c r="CH50" s="57"/>
      <c r="CI50" s="56"/>
      <c r="CJ50" s="57"/>
      <c r="CK50" s="10">
        <f>+'SECURED LOANS'!CK110+'RETAIL CREDIT'!CL48+'UCL LOANS'!CK49+'UNSECURED LOANS'!CL49+'CAR FINANCE'!CK45</f>
        <v>36739992.30000001</v>
      </c>
      <c r="CL50" s="15">
        <f t="shared" si="38"/>
        <v>0.11090099047600654</v>
      </c>
      <c r="CM50" s="11">
        <f>+'SECURED LOANS'!CM110+'RETAIL CREDIT'!CN48+'UCL LOANS'!CM49+'UNSECURED LOANS'!CN49+'CAR FINANCE'!CM45</f>
        <v>7032</v>
      </c>
      <c r="CN50" s="15">
        <f t="shared" si="39"/>
        <v>0.12559609923377807</v>
      </c>
      <c r="CO50" s="57"/>
      <c r="CP50" s="56"/>
      <c r="CQ50" s="57"/>
    </row>
    <row r="51" spans="1:95" ht="12.75">
      <c r="A51" s="9" t="s">
        <v>39</v>
      </c>
      <c r="B51" s="9"/>
      <c r="C51" s="9"/>
      <c r="D51" s="10">
        <f>+'SECURED LOANS'!D111+'RETAIL CREDIT'!D49+'UNSECURED LOANS'!D50+'CAR FINANCE'!D46+'UCL LOANS'!D50</f>
        <v>72947.59</v>
      </c>
      <c r="E51" s="15">
        <v>0.0015</v>
      </c>
      <c r="F51" s="11">
        <f>+'SECURED LOANS'!F111+'RETAIL CREDIT'!F49+'UNSECURED LOANS'!F50+'CAR FINANCE'!F46+'UCL LOANS'!F50</f>
        <v>44</v>
      </c>
      <c r="G51" s="15">
        <v>0.0035</v>
      </c>
      <c r="H51" s="15"/>
      <c r="I51" s="10">
        <f>+'SECURED LOANS'!J111+'RETAIL CREDIT'!J49+'UCL LOANS'!J50+'UNSECURED LOANS'!J50+'CAR FINANCE'!I46</f>
        <v>61551.31</v>
      </c>
      <c r="J51" s="15">
        <f t="shared" si="40"/>
        <v>0.0001735564076411254</v>
      </c>
      <c r="K51" s="11">
        <f>+'SECURED LOANS'!L111+'RETAIL CREDIT'!L49+'UCL LOANS'!L50+'UNSECURED LOANS'!L50+'CAR FINANCE'!K46</f>
        <v>42</v>
      </c>
      <c r="L51" s="15">
        <v>0.0041</v>
      </c>
      <c r="M51" s="57"/>
      <c r="N51" s="56"/>
      <c r="O51" s="57"/>
      <c r="P51" s="15"/>
      <c r="Q51" s="10">
        <f>+'SECURED LOANS'!R111+'RETAIL CREDIT'!R49+'UCL LOANS'!R50+'UNSECURED LOANS'!R50+'CAR FINANCE'!Q46</f>
        <v>94303.83</v>
      </c>
      <c r="R51" s="15">
        <f t="shared" si="41"/>
        <v>0.00026363217908172913</v>
      </c>
      <c r="S51" s="11">
        <f>+'SECURED LOANS'!T111+'RETAIL CREDIT'!T49+'UCL LOANS'!T50+'UNSECURED LOANS'!T50+'CAR FINANCE'!S46</f>
        <v>72</v>
      </c>
      <c r="T51" s="15">
        <f t="shared" si="42"/>
        <v>0.001156923867982132</v>
      </c>
      <c r="U51" s="57"/>
      <c r="V51" s="56"/>
      <c r="W51" s="57"/>
      <c r="X51" s="15"/>
      <c r="Y51" s="10">
        <f>+'SECURED LOANS'!Y111+'RETAIL CREDIT'!Z49+'UCL LOANS'!Z50+'UNSECURED LOANS'!Z50+'CAR FINANCE'!Y46</f>
        <v>102126.03</v>
      </c>
      <c r="Z51" s="15">
        <f t="shared" si="43"/>
        <v>0.0002851311989135529</v>
      </c>
      <c r="AA51" s="11">
        <f>+'SECURED LOANS'!AA111+'RETAIL CREDIT'!AB49+'UCL LOANS'!AB50+'UNSECURED LOANS'!AB50+'CAR FINANCE'!AA46</f>
        <v>81</v>
      </c>
      <c r="AB51" s="15">
        <f t="shared" si="44"/>
        <v>0.0013312296617690564</v>
      </c>
      <c r="AC51" s="57"/>
      <c r="AD51" s="56"/>
      <c r="AE51" s="57"/>
      <c r="AF51" s="15"/>
      <c r="AG51" s="10">
        <f>+'SECURED LOANS'!AG111+'RETAIL CREDIT'!AH49+'UCL LOANS'!AG50+'UNSECURED LOANS'!AH50+'CAR FINANCE'!AG46</f>
        <v>116732.48000000001</v>
      </c>
      <c r="AH51" s="15">
        <f t="shared" si="45"/>
        <v>0.0003064466441810083</v>
      </c>
      <c r="AI51" s="11">
        <f>+'SECURED LOANS'!AI111+'RETAIL CREDIT'!AJ49+'UCL LOANS'!AI50+'UNSECURED LOANS'!AJ50+'CAR FINANCE'!AI46</f>
        <v>91</v>
      </c>
      <c r="AJ51" s="15">
        <f t="shared" si="46"/>
        <v>0.0014545570793772578</v>
      </c>
      <c r="AK51" s="57"/>
      <c r="AL51" s="56"/>
      <c r="AM51" s="57"/>
      <c r="AN51" s="10">
        <f>+'SECURED LOANS'!AN111+'RETAIL CREDIT'!AO49+'UCL LOANS'!AN50+'UNSECURED LOANS'!AO50+'CAR FINANCE'!AN46</f>
        <v>0</v>
      </c>
      <c r="AO51" s="15">
        <f t="shared" si="26"/>
        <v>0</v>
      </c>
      <c r="AP51" s="11">
        <f>+'SECURED LOANS'!AP111+'RETAIL CREDIT'!AQ49+'UCL LOANS'!AP50+'UNSECURED LOANS'!AQ50+'CAR FINANCE'!AP46</f>
        <v>0</v>
      </c>
      <c r="AQ51" s="15">
        <f t="shared" si="27"/>
        <v>0</v>
      </c>
      <c r="AR51" s="57"/>
      <c r="AS51" s="56"/>
      <c r="AT51" s="57"/>
      <c r="AU51" s="10">
        <f>+'SECURED LOANS'!AU111+'RETAIL CREDIT'!AV49+'UCL LOANS'!AU50+'UNSECURED LOANS'!AV50+'CAR FINANCE'!AU46</f>
        <v>103638.24</v>
      </c>
      <c r="AV51" s="15">
        <f t="shared" si="28"/>
        <v>0.0002714076340802731</v>
      </c>
      <c r="AW51" s="11">
        <f>+'SECURED LOANS'!AW111+'RETAIL CREDIT'!AX49+'UCL LOANS'!AW50+'UNSECURED LOANS'!AX50+'CAR FINANCE'!AW46</f>
        <v>85</v>
      </c>
      <c r="AX51" s="15">
        <f t="shared" si="29"/>
        <v>0.0013452559943024451</v>
      </c>
      <c r="AY51" s="57"/>
      <c r="AZ51" s="56"/>
      <c r="BA51" s="57"/>
      <c r="BB51" s="10">
        <f>+'SECURED LOANS'!BB111+'RETAIL CREDIT'!BC49+'UCL LOANS'!BB50+'UNSECURED LOANS'!BC50+'CAR FINANCE'!BB46</f>
        <v>99321.33</v>
      </c>
      <c r="BC51" s="15">
        <f t="shared" si="30"/>
        <v>0.00027522801252965643</v>
      </c>
      <c r="BD51" s="11">
        <f>+'SECURED LOANS'!BD111+'RETAIL CREDIT'!BE49+'UCL LOANS'!BD50+'UNSECURED LOANS'!BE50+'CAR FINANCE'!BD46</f>
        <v>84</v>
      </c>
      <c r="BE51" s="15">
        <f t="shared" si="31"/>
        <v>0.0014066346266557261</v>
      </c>
      <c r="BF51" s="57"/>
      <c r="BG51" s="56"/>
      <c r="BH51" s="57"/>
      <c r="BI51" s="10">
        <f>+'SECURED LOANS'!BI111+'RETAIL CREDIT'!BJ49+'UCL LOANS'!BI50+'UNSECURED LOANS'!BJ50+'CAR FINANCE'!BI46</f>
        <v>90745.33</v>
      </c>
      <c r="BJ51" s="15">
        <f t="shared" si="32"/>
        <v>0.0002514631733409914</v>
      </c>
      <c r="BK51" s="11">
        <f>+'SECURED LOANS'!BK111+'RETAIL CREDIT'!BL49+'UCL LOANS'!BK50+'UNSECURED LOANS'!BL50+'CAR FINANCE'!BK46</f>
        <v>86</v>
      </c>
      <c r="BL51" s="15">
        <f t="shared" si="33"/>
        <v>0.0014401259272903864</v>
      </c>
      <c r="BM51" s="57"/>
      <c r="BN51" s="56"/>
      <c r="BO51" s="57"/>
      <c r="BP51" s="10">
        <f>+'SECURED LOANS'!BP111+'RETAIL CREDIT'!BQ49+'UCL LOANS'!BP50+'UNSECURED LOANS'!BQ50+'CAR FINANCE'!BP46</f>
        <v>81720.99</v>
      </c>
      <c r="BQ51" s="15">
        <f t="shared" si="34"/>
        <v>0.00024041176253499687</v>
      </c>
      <c r="BR51" s="11">
        <f>+'SECURED LOANS'!BR111+'RETAIL CREDIT'!BS49+'UCL LOANS'!BR50+'UNSECURED LOANS'!BS50+'CAR FINANCE'!BR46</f>
        <v>75</v>
      </c>
      <c r="BS51" s="15">
        <f t="shared" si="35"/>
        <v>0.0015056310601650172</v>
      </c>
      <c r="BT51" s="57"/>
      <c r="BU51" s="56"/>
      <c r="BV51" s="57"/>
      <c r="BW51" s="10">
        <f>+'SECURED LOANS'!BW111+'RETAIL CREDIT'!BX49+'UCL LOANS'!BW50+'UNSECURED LOANS'!BX50+'CAR FINANCE'!BW46</f>
        <v>0</v>
      </c>
      <c r="BX51" s="15">
        <f t="shared" si="47"/>
        <v>0</v>
      </c>
      <c r="BY51" s="11">
        <f>+'SECURED LOANS'!BY111+'RETAIL CREDIT'!BZ49+'UCL LOANS'!BY50+'UNSECURED LOANS'!BZ50+'CAR FINANCE'!BY46</f>
        <v>0</v>
      </c>
      <c r="BZ51" s="15">
        <f t="shared" si="48"/>
        <v>0</v>
      </c>
      <c r="CA51" s="57"/>
      <c r="CB51" s="56"/>
      <c r="CC51" s="57"/>
      <c r="CD51" s="10">
        <f>+'SECURED LOANS'!CD111+'RETAIL CREDIT'!CE49+'UCL LOANS'!CD50+'UNSECURED LOANS'!CE50+'CAR FINANCE'!CD46</f>
        <v>110424.21</v>
      </c>
      <c r="CE51" s="15">
        <f t="shared" si="36"/>
        <v>0.0003333194563987577</v>
      </c>
      <c r="CF51" s="11">
        <f>+'SECURED LOANS'!CF111+'RETAIL CREDIT'!CG49+'UCL LOANS'!CF50+'UNSECURED LOANS'!CG50+'CAR FINANCE'!CF46</f>
        <v>92</v>
      </c>
      <c r="CG51" s="15">
        <f t="shared" si="37"/>
        <v>0.001643179910339531</v>
      </c>
      <c r="CH51" s="57"/>
      <c r="CI51" s="56"/>
      <c r="CJ51" s="57"/>
      <c r="CK51" s="10">
        <f>+'SECURED LOANS'!CK111+'RETAIL CREDIT'!CL49+'UCL LOANS'!CK50+'UNSECURED LOANS'!CL50+'CAR FINANCE'!CK46</f>
        <v>94104</v>
      </c>
      <c r="CL51" s="15">
        <f t="shared" si="38"/>
        <v>0.0002840563145070152</v>
      </c>
      <c r="CM51" s="11">
        <f>+'SECURED LOANS'!CM111+'RETAIL CREDIT'!CN49+'UCL LOANS'!CM50+'UNSECURED LOANS'!CN50+'CAR FINANCE'!CM46</f>
        <v>87</v>
      </c>
      <c r="CN51" s="15">
        <f t="shared" si="39"/>
        <v>0.0015538766543428174</v>
      </c>
      <c r="CO51" s="57"/>
      <c r="CP51" s="56"/>
      <c r="CQ51" s="57"/>
    </row>
    <row r="52" spans="1:95" ht="12.75">
      <c r="A52" s="9" t="s">
        <v>101</v>
      </c>
      <c r="B52" s="9"/>
      <c r="C52" s="9"/>
      <c r="D52" s="10">
        <f>+'SECURED LOANS'!D112+'RETAIL CREDIT'!D50+'UNSECURED LOANS'!D51+'CAR FINANCE'!D47+'UCL LOANS'!D51</f>
        <v>14336978.550000012</v>
      </c>
      <c r="E52" s="15">
        <v>0.0375</v>
      </c>
      <c r="F52" s="11">
        <f>+'SECURED LOANS'!F112+'RETAIL CREDIT'!F50+'UNSECURED LOANS'!F51+'CAR FINANCE'!F47+'UCL LOANS'!F51</f>
        <v>2296</v>
      </c>
      <c r="G52" s="15">
        <v>0.0347</v>
      </c>
      <c r="H52" s="15"/>
      <c r="I52" s="10">
        <f>+'SECURED LOANS'!J112+'RETAIL CREDIT'!J50+'UCL LOANS'!J51+'UNSECURED LOANS'!J51+'CAR FINANCE'!I47</f>
        <v>13433669.159999998</v>
      </c>
      <c r="J52" s="15">
        <f t="shared" si="40"/>
        <v>0.03787895596127807</v>
      </c>
      <c r="K52" s="11">
        <f>+'SECURED LOANS'!L112+'RETAIL CREDIT'!L50+'UCL LOANS'!L51+'UNSECURED LOANS'!L51+'CAR FINANCE'!K47</f>
        <v>1944</v>
      </c>
      <c r="L52" s="15">
        <v>0.0331</v>
      </c>
      <c r="M52" s="57"/>
      <c r="N52" s="56"/>
      <c r="O52" s="57"/>
      <c r="P52" s="15"/>
      <c r="Q52" s="10">
        <f>+'SECURED LOANS'!R112+'RETAIL CREDIT'!R50+'UCL LOANS'!R51+'UNSECURED LOANS'!R51+'CAR FINANCE'!Q47</f>
        <v>12969959.659999995</v>
      </c>
      <c r="R52" s="15">
        <f t="shared" si="41"/>
        <v>0.036258322994600765</v>
      </c>
      <c r="S52" s="11">
        <f>+'SECURED LOANS'!T112+'RETAIL CREDIT'!T50+'UCL LOANS'!T51+'UNSECURED LOANS'!T51+'CAR FINANCE'!S47</f>
        <v>2229</v>
      </c>
      <c r="T52" s="15">
        <f t="shared" si="42"/>
        <v>0.03581643474628017</v>
      </c>
      <c r="U52" s="57"/>
      <c r="V52" s="56"/>
      <c r="W52" s="57"/>
      <c r="X52" s="15"/>
      <c r="Y52" s="10">
        <f>+'SECURED LOANS'!Y112+'RETAIL CREDIT'!Z50+'UCL LOANS'!Z51+'UNSECURED LOANS'!Z51+'CAR FINANCE'!Y47</f>
        <v>12505391.079999994</v>
      </c>
      <c r="Z52" s="15">
        <f t="shared" si="43"/>
        <v>0.03491447921282408</v>
      </c>
      <c r="AA52" s="11">
        <f>+'SECURED LOANS'!AA112+'RETAIL CREDIT'!AB50+'UCL LOANS'!AB51+'UNSECURED LOANS'!AB51+'CAR FINANCE'!AA47</f>
        <v>2475</v>
      </c>
      <c r="AB52" s="15">
        <f t="shared" si="44"/>
        <v>0.040676461887387834</v>
      </c>
      <c r="AC52" s="57"/>
      <c r="AD52" s="56"/>
      <c r="AE52" s="57"/>
      <c r="AF52" s="15"/>
      <c r="AG52" s="10">
        <f>+'SECURED LOANS'!AG112+'RETAIL CREDIT'!AH50+'UCL LOANS'!AG51+'UNSECURED LOANS'!AH51+'CAR FINANCE'!AG47</f>
        <v>13233131.64</v>
      </c>
      <c r="AH52" s="15">
        <f t="shared" si="45"/>
        <v>0.03473967813485607</v>
      </c>
      <c r="AI52" s="11">
        <f>+'SECURED LOANS'!AI112+'RETAIL CREDIT'!AJ50+'UCL LOANS'!AI51+'UNSECURED LOANS'!AJ51+'CAR FINANCE'!AI47</f>
        <v>2587</v>
      </c>
      <c r="AJ52" s="15">
        <f t="shared" si="46"/>
        <v>0.041350979828010614</v>
      </c>
      <c r="AK52" s="57"/>
      <c r="AL52" s="56"/>
      <c r="AM52" s="57"/>
      <c r="AN52" s="10">
        <f>+'SECURED LOANS'!AN112+'RETAIL CREDIT'!AO50+'UCL LOANS'!AN51+'UNSECURED LOANS'!AO51+'CAR FINANCE'!AN47</f>
        <v>12686234.239999998</v>
      </c>
      <c r="AO52" s="15">
        <f t="shared" si="26"/>
        <v>0.033373444300094424</v>
      </c>
      <c r="AP52" s="11">
        <f>+'SECURED LOANS'!AP112+'RETAIL CREDIT'!AQ50+'UCL LOANS'!AP51+'UNSECURED LOANS'!AQ51+'CAR FINANCE'!AP47</f>
        <v>1826</v>
      </c>
      <c r="AQ52" s="15">
        <f t="shared" si="27"/>
        <v>0.029357857165825268</v>
      </c>
      <c r="AR52" s="57"/>
      <c r="AS52" s="56"/>
      <c r="AT52" s="57"/>
      <c r="AU52" s="10">
        <f>+'SECURED LOANS'!AU112+'RETAIL CREDIT'!AV50+'UCL LOANS'!AU51+'UNSECURED LOANS'!AV51+'CAR FINANCE'!AU47</f>
        <v>11935214.619999997</v>
      </c>
      <c r="AV52" s="15">
        <f t="shared" si="28"/>
        <v>0.03125591830056632</v>
      </c>
      <c r="AW52" s="11">
        <f>+'SECURED LOANS'!AW112+'RETAIL CREDIT'!AX50+'UCL LOANS'!AW51+'UNSECURED LOANS'!AX51+'CAR FINANCE'!AW47</f>
        <v>1680</v>
      </c>
      <c r="AX52" s="15">
        <f t="shared" si="29"/>
        <v>0.026588589063860094</v>
      </c>
      <c r="AY52" s="57"/>
      <c r="AZ52" s="56"/>
      <c r="BA52" s="57"/>
      <c r="BB52" s="10">
        <f>+'SECURED LOANS'!BB112+'RETAIL CREDIT'!BC50+'UCL LOANS'!BB51+'UNSECURED LOANS'!BC51+'CAR FINANCE'!BB47</f>
        <v>10820034.650000004</v>
      </c>
      <c r="BC52" s="15">
        <f t="shared" si="30"/>
        <v>0.029983253669896667</v>
      </c>
      <c r="BD52" s="11">
        <f>+'SECURED LOANS'!BD112+'RETAIL CREDIT'!BE50+'UCL LOANS'!BD51+'UNSECURED LOANS'!BE51+'CAR FINANCE'!BD47</f>
        <v>1543</v>
      </c>
      <c r="BE52" s="15">
        <f t="shared" si="31"/>
        <v>0.025838538439640305</v>
      </c>
      <c r="BF52" s="57"/>
      <c r="BG52" s="56"/>
      <c r="BH52" s="57"/>
      <c r="BI52" s="10">
        <f>+'SECURED LOANS'!BI112+'RETAIL CREDIT'!BJ50+'UCL LOANS'!BI51+'UNSECURED LOANS'!BJ51+'CAR FINANCE'!BI47</f>
        <v>10339496.57</v>
      </c>
      <c r="BJ52" s="15">
        <f t="shared" si="32"/>
        <v>0.02865164100720661</v>
      </c>
      <c r="BK52" s="11">
        <f>+'SECURED LOANS'!BK112+'RETAIL CREDIT'!BL50+'UCL LOANS'!BK51+'UNSECURED LOANS'!BL51+'CAR FINANCE'!BK47</f>
        <v>1435</v>
      </c>
      <c r="BL52" s="15">
        <f t="shared" si="33"/>
        <v>0.024030008205368655</v>
      </c>
      <c r="BM52" s="57"/>
      <c r="BN52" s="56"/>
      <c r="BO52" s="57"/>
      <c r="BP52" s="10">
        <f>+'SECURED LOANS'!BP112+'RETAIL CREDIT'!BQ50+'UCL LOANS'!BP51+'UNSECURED LOANS'!BQ51+'CAR FINANCE'!BP47</f>
        <v>9439955.26</v>
      </c>
      <c r="BQ52" s="15">
        <f t="shared" si="34"/>
        <v>0.027771032660129476</v>
      </c>
      <c r="BR52" s="11">
        <f>+'SECURED LOANS'!BR112+'RETAIL CREDIT'!BS50+'UCL LOANS'!BR51+'UNSECURED LOANS'!BS51+'CAR FINANCE'!BR47</f>
        <v>1284</v>
      </c>
      <c r="BS52" s="15">
        <f t="shared" si="35"/>
        <v>0.025776403750025094</v>
      </c>
      <c r="BT52" s="57"/>
      <c r="BU52" s="56"/>
      <c r="BV52" s="57"/>
      <c r="BW52" s="10">
        <f>+'SECURED LOANS'!BW112+'RETAIL CREDIT'!BX50+'UCL LOANS'!BW51+'UNSECURED LOANS'!BX51+'CAR FINANCE'!BW47</f>
        <v>8935939.22</v>
      </c>
      <c r="BX52" s="15">
        <f t="shared" si="47"/>
        <v>0.027172738943568527</v>
      </c>
      <c r="BY52" s="11">
        <f>+'SECURED LOANS'!BY112+'RETAIL CREDIT'!BZ50+'UCL LOANS'!BY51+'UNSECURED LOANS'!BZ51+'CAR FINANCE'!BY47</f>
        <v>1201</v>
      </c>
      <c r="BZ52" s="15">
        <f t="shared" si="48"/>
        <v>0.026424642464246424</v>
      </c>
      <c r="CA52" s="57"/>
      <c r="CB52" s="56"/>
      <c r="CC52" s="57"/>
      <c r="CD52" s="10">
        <f>+'SECURED LOANS'!CD112+'RETAIL CREDIT'!CE50+'UCL LOANS'!CD51+'UNSECURED LOANS'!CE51+'CAR FINANCE'!CD47</f>
        <v>8206285.82</v>
      </c>
      <c r="CE52" s="15">
        <f t="shared" si="36"/>
        <v>0.02477096941490669</v>
      </c>
      <c r="CF52" s="11">
        <f>+'SECURED LOANS'!CF112+'RETAIL CREDIT'!CG50+'UCL LOANS'!CF51+'UNSECURED LOANS'!CG51+'CAR FINANCE'!CF47</f>
        <v>1191</v>
      </c>
      <c r="CG52" s="15">
        <f t="shared" si="37"/>
        <v>0.02127203557841719</v>
      </c>
      <c r="CH52" s="57"/>
      <c r="CI52" s="56"/>
      <c r="CJ52" s="57"/>
      <c r="CK52" s="10">
        <f>+'SECURED LOANS'!CK112+'RETAIL CREDIT'!CL50+'UCL LOANS'!CK51+'UNSECURED LOANS'!CL51+'CAR FINANCE'!CK47</f>
        <v>8307635.449999999</v>
      </c>
      <c r="CL52" s="15">
        <f t="shared" si="38"/>
        <v>0.025076896924624125</v>
      </c>
      <c r="CM52" s="11">
        <f>+'SECURED LOANS'!CM112+'RETAIL CREDIT'!CN50+'UCL LOANS'!CM51+'UNSECURED LOANS'!CN51+'CAR FINANCE'!CM47</f>
        <v>1206</v>
      </c>
      <c r="CN52" s="15">
        <f t="shared" si="39"/>
        <v>0.02153994534640733</v>
      </c>
      <c r="CO52" s="57"/>
      <c r="CP52" s="56"/>
      <c r="CQ52" s="57"/>
    </row>
    <row r="53" spans="1:95" ht="12.75">
      <c r="A53" s="9"/>
      <c r="B53" s="9"/>
      <c r="C53" s="9"/>
      <c r="D53" s="10"/>
      <c r="E53" s="9"/>
      <c r="F53" s="11"/>
      <c r="G53" s="9"/>
      <c r="H53" s="9"/>
      <c r="I53" s="10"/>
      <c r="J53" s="9"/>
      <c r="K53" s="11"/>
      <c r="L53" s="9"/>
      <c r="M53" s="55"/>
      <c r="N53" s="56"/>
      <c r="O53" s="55"/>
      <c r="P53" s="9"/>
      <c r="Q53" s="10"/>
      <c r="R53" s="9"/>
      <c r="S53" s="11"/>
      <c r="T53" s="9"/>
      <c r="U53" s="55"/>
      <c r="V53" s="56"/>
      <c r="W53" s="55"/>
      <c r="X53" s="9"/>
      <c r="Y53" s="10"/>
      <c r="Z53" s="9"/>
      <c r="AA53" s="11"/>
      <c r="AB53" s="9"/>
      <c r="AC53" s="55"/>
      <c r="AD53" s="56"/>
      <c r="AE53" s="55"/>
      <c r="AF53" s="9"/>
      <c r="AG53" s="10"/>
      <c r="AH53" s="9"/>
      <c r="AI53" s="11"/>
      <c r="AJ53" s="9"/>
      <c r="AK53" s="55"/>
      <c r="AL53" s="56"/>
      <c r="AM53" s="55"/>
      <c r="AN53" s="10"/>
      <c r="AO53" s="15"/>
      <c r="AP53" s="11"/>
      <c r="AQ53" s="15"/>
      <c r="AR53" s="55"/>
      <c r="AS53" s="56"/>
      <c r="AT53" s="55"/>
      <c r="AU53" s="10"/>
      <c r="AV53" s="15"/>
      <c r="AW53" s="11"/>
      <c r="AX53" s="15"/>
      <c r="AY53" s="55"/>
      <c r="AZ53" s="56"/>
      <c r="BA53" s="55"/>
      <c r="BB53" s="10"/>
      <c r="BC53" s="15"/>
      <c r="BD53" s="11"/>
      <c r="BE53" s="15"/>
      <c r="BF53" s="55"/>
      <c r="BG53" s="56"/>
      <c r="BH53" s="55"/>
      <c r="BI53" s="10"/>
      <c r="BJ53" s="15"/>
      <c r="BK53" s="11"/>
      <c r="BL53" s="15"/>
      <c r="BM53" s="55"/>
      <c r="BN53" s="56"/>
      <c r="BO53" s="55"/>
      <c r="BP53" s="10"/>
      <c r="BQ53" s="15"/>
      <c r="BR53" s="11"/>
      <c r="BS53" s="15"/>
      <c r="BT53" s="55"/>
      <c r="BU53" s="56"/>
      <c r="BV53" s="55"/>
      <c r="BW53" s="10"/>
      <c r="BX53" s="15"/>
      <c r="BY53" s="11"/>
      <c r="BZ53" s="15"/>
      <c r="CA53" s="55"/>
      <c r="CB53" s="56"/>
      <c r="CC53" s="55"/>
      <c r="CD53" s="10"/>
      <c r="CE53" s="15"/>
      <c r="CF53" s="11"/>
      <c r="CG53" s="15"/>
      <c r="CH53" s="55"/>
      <c r="CI53" s="56"/>
      <c r="CJ53" s="55"/>
      <c r="CK53" s="10"/>
      <c r="CL53" s="15"/>
      <c r="CM53" s="11"/>
      <c r="CN53" s="15"/>
      <c r="CO53" s="55"/>
      <c r="CP53" s="56"/>
      <c r="CQ53" s="55"/>
    </row>
    <row r="54" spans="1:95" ht="13.5" thickBot="1">
      <c r="A54" s="9"/>
      <c r="B54" s="13"/>
      <c r="C54" s="13"/>
      <c r="D54" s="22">
        <f>SUM(D40:D53)</f>
        <v>382317263.87</v>
      </c>
      <c r="E54" s="24"/>
      <c r="F54" s="23">
        <f>SUM(F40:F53)</f>
        <v>68386</v>
      </c>
      <c r="G54" s="24"/>
      <c r="H54" s="24"/>
      <c r="I54" s="22">
        <f>SUM(I40:I53)</f>
        <v>354647292.12</v>
      </c>
      <c r="J54" s="24"/>
      <c r="K54" s="23">
        <f>SUM(K40:K53)</f>
        <v>60818</v>
      </c>
      <c r="L54" s="24"/>
      <c r="M54" s="58"/>
      <c r="N54" s="32"/>
      <c r="O54" s="58"/>
      <c r="P54" s="24"/>
      <c r="Q54" s="22">
        <f>SUM(Q40:Q53)</f>
        <v>357709860.4899999</v>
      </c>
      <c r="R54" s="24"/>
      <c r="S54" s="23">
        <f>SUM(S40:S53)</f>
        <v>62234</v>
      </c>
      <c r="T54" s="24"/>
      <c r="U54" s="58"/>
      <c r="V54" s="32"/>
      <c r="W54" s="58"/>
      <c r="X54" s="24"/>
      <c r="Y54" s="22">
        <f>SUM(Y40:Y53)</f>
        <v>358172063.91</v>
      </c>
      <c r="Z54" s="24"/>
      <c r="AA54" s="23">
        <f>SUM(AA40:AA53)</f>
        <v>60846</v>
      </c>
      <c r="AB54" s="24"/>
      <c r="AC54" s="58"/>
      <c r="AD54" s="32"/>
      <c r="AE54" s="58"/>
      <c r="AF54" s="24"/>
      <c r="AG54" s="22">
        <f>SUM(AG40:AG53)</f>
        <v>380922689.86</v>
      </c>
      <c r="AH54" s="24"/>
      <c r="AI54" s="23">
        <f>SUM(AI40:AI53)</f>
        <v>62562</v>
      </c>
      <c r="AJ54" s="24"/>
      <c r="AK54" s="58"/>
      <c r="AL54" s="32"/>
      <c r="AM54" s="58"/>
      <c r="AN54" s="22">
        <f>SUM(AN40:AN53)</f>
        <v>380129606.22000015</v>
      </c>
      <c r="AO54" s="101"/>
      <c r="AP54" s="23">
        <f>SUM(AP40:AP53)</f>
        <v>62198</v>
      </c>
      <c r="AQ54" s="101"/>
      <c r="AR54" s="58"/>
      <c r="AS54" s="32"/>
      <c r="AT54" s="58"/>
      <c r="AU54" s="22">
        <f>SUM(AU40:AU53)</f>
        <v>381854550.08000004</v>
      </c>
      <c r="AV54" s="101"/>
      <c r="AW54" s="23">
        <f>SUM(AW40:AW53)</f>
        <v>63185</v>
      </c>
      <c r="AX54" s="101"/>
      <c r="AY54" s="58"/>
      <c r="AZ54" s="32"/>
      <c r="BA54" s="58"/>
      <c r="BB54" s="22">
        <f>SUM(BB40:BB53)</f>
        <v>360869262.86</v>
      </c>
      <c r="BC54" s="101"/>
      <c r="BD54" s="23">
        <f>SUM(BD40:BD53)</f>
        <v>59717</v>
      </c>
      <c r="BE54" s="101"/>
      <c r="BF54" s="58"/>
      <c r="BG54" s="32"/>
      <c r="BH54" s="58"/>
      <c r="BI54" s="22">
        <f>SUM(BI40:BI53)</f>
        <v>343991119.43000007</v>
      </c>
      <c r="BJ54" s="101"/>
      <c r="BK54" s="23">
        <f>SUM(BK40:BK53)</f>
        <v>55288</v>
      </c>
      <c r="BL54" s="101"/>
      <c r="BM54" s="58"/>
      <c r="BN54" s="32"/>
      <c r="BO54" s="58"/>
      <c r="BP54" s="22">
        <f>SUM(BP40:BP53)</f>
        <v>339920930.4000001</v>
      </c>
      <c r="BQ54" s="101"/>
      <c r="BR54" s="23">
        <f>SUM(BR40:BR53)</f>
        <v>49813</v>
      </c>
      <c r="BS54" s="101"/>
      <c r="BT54" s="58"/>
      <c r="BU54" s="32"/>
      <c r="BV54" s="58"/>
      <c r="BW54" s="22">
        <f>SUM(BW40:BW53)</f>
        <v>328856772.1700001</v>
      </c>
      <c r="BX54" s="101"/>
      <c r="BY54" s="23">
        <f>SUM(BY40:BY53)</f>
        <v>45450</v>
      </c>
      <c r="BZ54" s="101"/>
      <c r="CA54" s="58"/>
      <c r="CB54" s="32"/>
      <c r="CC54" s="58"/>
      <c r="CD54" s="22">
        <f>SUM(CD40:CD53)</f>
        <v>331286421.71999997</v>
      </c>
      <c r="CE54" s="101"/>
      <c r="CF54" s="23">
        <f>SUM(CF40:CF53)</f>
        <v>55989</v>
      </c>
      <c r="CG54" s="101"/>
      <c r="CH54" s="58"/>
      <c r="CI54" s="32"/>
      <c r="CJ54" s="58"/>
      <c r="CK54" s="22">
        <f>SUM(CK40:CK53)</f>
        <v>330666497.96</v>
      </c>
      <c r="CL54" s="101"/>
      <c r="CM54" s="23">
        <f>SUM(CM40:CM53)</f>
        <v>55375</v>
      </c>
      <c r="CN54" s="101"/>
      <c r="CO54" s="58"/>
      <c r="CP54" s="32"/>
      <c r="CQ54" s="58"/>
    </row>
    <row r="55" spans="1:95" ht="13.5" thickTop="1">
      <c r="A55" s="20"/>
      <c r="B55" s="9"/>
      <c r="C55" s="9"/>
      <c r="D55" s="10"/>
      <c r="E55" s="9"/>
      <c r="F55" s="11"/>
      <c r="G55" s="9"/>
      <c r="H55" s="9"/>
      <c r="I55" s="10"/>
      <c r="J55" s="9"/>
      <c r="K55" s="11"/>
      <c r="L55" s="9"/>
      <c r="M55" s="9"/>
      <c r="N55" s="11"/>
      <c r="O55" s="9"/>
      <c r="P55" s="9"/>
      <c r="Q55" s="10"/>
      <c r="R55" s="9"/>
      <c r="S55" s="11"/>
      <c r="T55" s="9"/>
      <c r="U55" s="9"/>
      <c r="V55" s="11"/>
      <c r="W55" s="9"/>
      <c r="X55" s="9"/>
      <c r="Y55" s="10"/>
      <c r="Z55" s="9"/>
      <c r="AA55" s="11"/>
      <c r="AB55" s="9"/>
      <c r="AC55" s="9"/>
      <c r="AD55" s="11"/>
      <c r="AE55" s="9"/>
      <c r="AF55" s="9"/>
      <c r="AG55" s="10"/>
      <c r="AH55" s="9"/>
      <c r="AI55" s="11"/>
      <c r="AJ55" s="9"/>
      <c r="AK55" s="9"/>
      <c r="AL55" s="11"/>
      <c r="AM55" s="9"/>
      <c r="AN55" s="10"/>
      <c r="AO55" s="15"/>
      <c r="AP55" s="11"/>
      <c r="AQ55" s="15"/>
      <c r="AR55" s="9"/>
      <c r="AS55" s="11"/>
      <c r="AT55" s="9"/>
      <c r="AU55" s="10"/>
      <c r="AV55" s="15"/>
      <c r="AW55" s="11"/>
      <c r="AX55" s="15"/>
      <c r="AY55" s="9"/>
      <c r="AZ55" s="11"/>
      <c r="BA55" s="9"/>
      <c r="BB55" s="10"/>
      <c r="BC55" s="15"/>
      <c r="BD55" s="11"/>
      <c r="BE55" s="15"/>
      <c r="BF55" s="9"/>
      <c r="BG55" s="11"/>
      <c r="BH55" s="9"/>
      <c r="BI55" s="10"/>
      <c r="BJ55" s="15"/>
      <c r="BK55" s="11"/>
      <c r="BL55" s="15"/>
      <c r="BM55" s="9"/>
      <c r="BN55" s="11"/>
      <c r="BO55" s="9"/>
      <c r="BP55" s="10"/>
      <c r="BQ55" s="15"/>
      <c r="BR55" s="11"/>
      <c r="BS55" s="15"/>
      <c r="BT55" s="9"/>
      <c r="BU55" s="11"/>
      <c r="BV55" s="9"/>
      <c r="BW55" s="10"/>
      <c r="BX55" s="15"/>
      <c r="BY55" s="11"/>
      <c r="BZ55" s="15"/>
      <c r="CA55" s="9"/>
      <c r="CB55" s="11"/>
      <c r="CC55" s="9"/>
      <c r="CD55" s="10"/>
      <c r="CE55" s="15"/>
      <c r="CF55" s="11"/>
      <c r="CG55" s="15"/>
      <c r="CH55" s="9"/>
      <c r="CI55" s="11"/>
      <c r="CJ55" s="9"/>
      <c r="CK55" s="10"/>
      <c r="CL55" s="15"/>
      <c r="CM55" s="11"/>
      <c r="CN55" s="15"/>
      <c r="CO55" s="9"/>
      <c r="CP55" s="11"/>
      <c r="CQ55" s="9"/>
    </row>
    <row r="56" spans="1:95" ht="12.75">
      <c r="A56" s="20"/>
      <c r="B56" s="9"/>
      <c r="C56" s="9"/>
      <c r="D56" s="10"/>
      <c r="E56" s="9"/>
      <c r="F56" s="11"/>
      <c r="G56" s="9"/>
      <c r="H56" s="9"/>
      <c r="I56" s="20"/>
      <c r="J56" s="9"/>
      <c r="K56" s="9"/>
      <c r="L56" s="10"/>
      <c r="M56" s="9"/>
      <c r="N56" s="11"/>
      <c r="O56" s="9"/>
      <c r="P56" s="9"/>
      <c r="Q56" s="20"/>
      <c r="R56" s="9"/>
      <c r="S56" s="9"/>
      <c r="T56" s="10"/>
      <c r="U56" s="9"/>
      <c r="V56" s="11"/>
      <c r="W56" s="9"/>
      <c r="X56" s="9"/>
      <c r="Y56" s="20"/>
      <c r="Z56" s="9"/>
      <c r="AA56" s="9"/>
      <c r="AB56" s="10"/>
      <c r="AC56" s="9"/>
      <c r="AD56" s="11"/>
      <c r="AE56" s="9"/>
      <c r="AF56" s="9"/>
      <c r="AG56" s="20"/>
      <c r="AH56" s="9"/>
      <c r="AI56" s="9"/>
      <c r="AJ56" s="10"/>
      <c r="AK56" s="9"/>
      <c r="AL56" s="11"/>
      <c r="AM56" s="9"/>
      <c r="AN56" s="20"/>
      <c r="AO56" s="15"/>
      <c r="AP56" s="9"/>
      <c r="AQ56" s="15"/>
      <c r="AR56" s="9"/>
      <c r="AS56" s="11"/>
      <c r="AT56" s="9"/>
      <c r="AU56" s="20"/>
      <c r="AV56" s="15"/>
      <c r="AW56" s="9"/>
      <c r="AX56" s="15"/>
      <c r="AY56" s="9"/>
      <c r="AZ56" s="11"/>
      <c r="BA56" s="9"/>
      <c r="BB56" s="20"/>
      <c r="BC56" s="15"/>
      <c r="BD56" s="9"/>
      <c r="BE56" s="15"/>
      <c r="BF56" s="9"/>
      <c r="BG56" s="11"/>
      <c r="BH56" s="9"/>
      <c r="BI56" s="20"/>
      <c r="BJ56" s="15"/>
      <c r="BK56" s="9"/>
      <c r="BL56" s="15"/>
      <c r="BM56" s="9"/>
      <c r="BN56" s="11"/>
      <c r="BO56" s="9"/>
      <c r="BP56" s="20"/>
      <c r="BQ56" s="15"/>
      <c r="BR56" s="9"/>
      <c r="BS56" s="15"/>
      <c r="BT56" s="9"/>
      <c r="BU56" s="11"/>
      <c r="BV56" s="9"/>
      <c r="BW56" s="20"/>
      <c r="BX56" s="15"/>
      <c r="BY56" s="9"/>
      <c r="BZ56" s="15"/>
      <c r="CA56" s="9"/>
      <c r="CB56" s="11"/>
      <c r="CC56" s="9"/>
      <c r="CD56" s="20"/>
      <c r="CE56" s="15"/>
      <c r="CF56" s="9"/>
      <c r="CG56" s="15"/>
      <c r="CH56" s="9"/>
      <c r="CI56" s="11"/>
      <c r="CJ56" s="9"/>
      <c r="CK56" s="20"/>
      <c r="CL56" s="15"/>
      <c r="CM56" s="9"/>
      <c r="CN56" s="15"/>
      <c r="CO56" s="9"/>
      <c r="CP56" s="11"/>
      <c r="CQ56" s="9"/>
    </row>
    <row r="57" spans="1:95" ht="12.75">
      <c r="A57" s="20" t="s">
        <v>121</v>
      </c>
      <c r="B57" s="9"/>
      <c r="C57" s="9"/>
      <c r="D57" s="10"/>
      <c r="E57" s="9"/>
      <c r="F57" s="11"/>
      <c r="G57" s="9"/>
      <c r="H57" s="9"/>
      <c r="I57" s="20" t="s">
        <v>121</v>
      </c>
      <c r="J57" s="9"/>
      <c r="K57" s="9"/>
      <c r="L57" s="10"/>
      <c r="M57" s="9"/>
      <c r="N57" s="11"/>
      <c r="O57" s="9"/>
      <c r="P57" s="9"/>
      <c r="Q57" s="20" t="s">
        <v>121</v>
      </c>
      <c r="R57" s="9"/>
      <c r="S57" s="9"/>
      <c r="T57" s="10"/>
      <c r="U57" s="9"/>
      <c r="V57" s="11"/>
      <c r="W57" s="9"/>
      <c r="X57" s="9"/>
      <c r="Y57" s="20" t="s">
        <v>121</v>
      </c>
      <c r="Z57" s="9"/>
      <c r="AA57" s="9"/>
      <c r="AB57" s="10"/>
      <c r="AC57" s="9"/>
      <c r="AD57" s="11"/>
      <c r="AE57" s="9"/>
      <c r="AF57" s="9"/>
      <c r="AG57" s="20" t="s">
        <v>121</v>
      </c>
      <c r="AH57" s="9"/>
      <c r="AI57" s="9"/>
      <c r="AJ57" s="10"/>
      <c r="AK57" s="9"/>
      <c r="AL57" s="11"/>
      <c r="AM57" s="9"/>
      <c r="AN57" s="20" t="s">
        <v>121</v>
      </c>
      <c r="AO57" s="15"/>
      <c r="AP57" s="9"/>
      <c r="AQ57" s="15"/>
      <c r="AR57" s="9"/>
      <c r="AS57" s="11"/>
      <c r="AT57" s="9"/>
      <c r="AU57" s="20" t="s">
        <v>121</v>
      </c>
      <c r="AV57" s="15"/>
      <c r="AW57" s="9"/>
      <c r="AX57" s="15"/>
      <c r="AY57" s="9"/>
      <c r="AZ57" s="11"/>
      <c r="BA57" s="9"/>
      <c r="BB57" s="20" t="s">
        <v>121</v>
      </c>
      <c r="BC57" s="15"/>
      <c r="BD57" s="9"/>
      <c r="BE57" s="15"/>
      <c r="BF57" s="9"/>
      <c r="BG57" s="11"/>
      <c r="BH57" s="9"/>
      <c r="BI57" s="20" t="s">
        <v>121</v>
      </c>
      <c r="BJ57" s="15"/>
      <c r="BK57" s="9"/>
      <c r="BL57" s="15"/>
      <c r="BM57" s="9"/>
      <c r="BN57" s="11"/>
      <c r="BO57" s="9"/>
      <c r="BP57" s="20" t="s">
        <v>121</v>
      </c>
      <c r="BQ57" s="15"/>
      <c r="BR57" s="9"/>
      <c r="BS57" s="15"/>
      <c r="BT57" s="9"/>
      <c r="BU57" s="11"/>
      <c r="BV57" s="9"/>
      <c r="BW57" s="20" t="s">
        <v>121</v>
      </c>
      <c r="BX57" s="15"/>
      <c r="BY57" s="9"/>
      <c r="BZ57" s="15"/>
      <c r="CA57" s="9"/>
      <c r="CB57" s="11"/>
      <c r="CC57" s="9"/>
      <c r="CD57" s="20" t="s">
        <v>121</v>
      </c>
      <c r="CE57" s="15"/>
      <c r="CF57" s="9"/>
      <c r="CG57" s="15"/>
      <c r="CH57" s="9"/>
      <c r="CI57" s="11"/>
      <c r="CJ57" s="9"/>
      <c r="CK57" s="20" t="s">
        <v>121</v>
      </c>
      <c r="CL57" s="15"/>
      <c r="CM57" s="9"/>
      <c r="CN57" s="15"/>
      <c r="CO57" s="9"/>
      <c r="CP57" s="11"/>
      <c r="CQ57" s="9"/>
    </row>
    <row r="58" spans="1:95" ht="12.75">
      <c r="A58" s="20"/>
      <c r="B58" s="9"/>
      <c r="C58" s="9"/>
      <c r="D58" s="10"/>
      <c r="E58" s="9"/>
      <c r="F58" s="11"/>
      <c r="G58" s="9"/>
      <c r="H58" s="9"/>
      <c r="I58" s="20"/>
      <c r="J58" s="9"/>
      <c r="K58" s="9"/>
      <c r="L58" s="10"/>
      <c r="M58" s="9"/>
      <c r="N58" s="11"/>
      <c r="O58" s="9"/>
      <c r="P58" s="9"/>
      <c r="Q58" s="20"/>
      <c r="R58" s="9"/>
      <c r="S58" s="9"/>
      <c r="T58" s="10"/>
      <c r="U58" s="9"/>
      <c r="V58" s="11"/>
      <c r="W58" s="9"/>
      <c r="X58" s="9"/>
      <c r="Y58" s="20"/>
      <c r="Z58" s="9"/>
      <c r="AA58" s="9"/>
      <c r="AB58" s="10"/>
      <c r="AC58" s="9"/>
      <c r="AD58" s="11"/>
      <c r="AE58" s="9"/>
      <c r="AF58" s="9"/>
      <c r="AG58" s="20"/>
      <c r="AH58" s="9"/>
      <c r="AI58" s="9"/>
      <c r="AJ58" s="10"/>
      <c r="AK58" s="9"/>
      <c r="AL58" s="11"/>
      <c r="AM58" s="9"/>
      <c r="AN58" s="20"/>
      <c r="AO58" s="15"/>
      <c r="AP58" s="9"/>
      <c r="AQ58" s="15"/>
      <c r="AR58" s="9"/>
      <c r="AS58" s="11"/>
      <c r="AT58" s="9"/>
      <c r="AU58" s="20"/>
      <c r="AV58" s="15"/>
      <c r="AW58" s="9"/>
      <c r="AX58" s="15"/>
      <c r="AY58" s="9"/>
      <c r="AZ58" s="11"/>
      <c r="BA58" s="9"/>
      <c r="BB58" s="20"/>
      <c r="BC58" s="15"/>
      <c r="BD58" s="9"/>
      <c r="BE58" s="15"/>
      <c r="BF58" s="9"/>
      <c r="BG58" s="11"/>
      <c r="BH58" s="9"/>
      <c r="BI58" s="20"/>
      <c r="BJ58" s="15"/>
      <c r="BK58" s="9"/>
      <c r="BL58" s="15"/>
      <c r="BM58" s="9"/>
      <c r="BN58" s="11"/>
      <c r="BO58" s="9"/>
      <c r="BP58" s="20"/>
      <c r="BQ58" s="15"/>
      <c r="BR58" s="9"/>
      <c r="BS58" s="15"/>
      <c r="BT58" s="9"/>
      <c r="BU58" s="11"/>
      <c r="BV58" s="9"/>
      <c r="BW58" s="20"/>
      <c r="BX58" s="15"/>
      <c r="BY58" s="9"/>
      <c r="BZ58" s="15"/>
      <c r="CA58" s="9"/>
      <c r="CB58" s="11"/>
      <c r="CC58" s="9"/>
      <c r="CD58" s="20"/>
      <c r="CE58" s="15"/>
      <c r="CF58" s="9"/>
      <c r="CG58" s="15"/>
      <c r="CH58" s="9"/>
      <c r="CI58" s="11"/>
      <c r="CJ58" s="9"/>
      <c r="CK58" s="20"/>
      <c r="CL58" s="15"/>
      <c r="CM58" s="9"/>
      <c r="CN58" s="15"/>
      <c r="CO58" s="9"/>
      <c r="CP58" s="11"/>
      <c r="CQ58" s="9"/>
    </row>
    <row r="59" spans="1:95" s="30" customFormat="1" ht="12.75">
      <c r="A59" s="26"/>
      <c r="B59" s="27"/>
      <c r="C59" s="27"/>
      <c r="D59" s="28" t="s">
        <v>143</v>
      </c>
      <c r="E59" s="27" t="s">
        <v>96</v>
      </c>
      <c r="F59" s="29" t="s">
        <v>97</v>
      </c>
      <c r="G59" s="27" t="s">
        <v>96</v>
      </c>
      <c r="H59" s="27"/>
      <c r="I59" s="28" t="s">
        <v>143</v>
      </c>
      <c r="J59" s="27" t="s">
        <v>96</v>
      </c>
      <c r="K59" s="29" t="s">
        <v>97</v>
      </c>
      <c r="L59" s="27" t="s">
        <v>96</v>
      </c>
      <c r="M59" s="54"/>
      <c r="N59" s="32"/>
      <c r="O59" s="54"/>
      <c r="P59" s="27"/>
      <c r="Q59" s="28" t="s">
        <v>143</v>
      </c>
      <c r="R59" s="27" t="s">
        <v>96</v>
      </c>
      <c r="S59" s="29" t="s">
        <v>97</v>
      </c>
      <c r="T59" s="27" t="s">
        <v>96</v>
      </c>
      <c r="U59" s="54"/>
      <c r="V59" s="32"/>
      <c r="W59" s="54"/>
      <c r="X59" s="27"/>
      <c r="Y59" s="28" t="s">
        <v>143</v>
      </c>
      <c r="Z59" s="27" t="s">
        <v>96</v>
      </c>
      <c r="AA59" s="29" t="s">
        <v>97</v>
      </c>
      <c r="AB59" s="27" t="s">
        <v>96</v>
      </c>
      <c r="AC59" s="54"/>
      <c r="AD59" s="32"/>
      <c r="AE59" s="54"/>
      <c r="AF59" s="27"/>
      <c r="AG59" s="28" t="s">
        <v>143</v>
      </c>
      <c r="AH59" s="27" t="s">
        <v>96</v>
      </c>
      <c r="AI59" s="29" t="s">
        <v>97</v>
      </c>
      <c r="AJ59" s="27" t="s">
        <v>96</v>
      </c>
      <c r="AK59" s="54"/>
      <c r="AL59" s="32"/>
      <c r="AM59" s="54"/>
      <c r="AN59" s="28" t="s">
        <v>143</v>
      </c>
      <c r="AO59" s="102" t="s">
        <v>96</v>
      </c>
      <c r="AP59" s="93" t="s">
        <v>97</v>
      </c>
      <c r="AQ59" s="102" t="s">
        <v>96</v>
      </c>
      <c r="AR59" s="54"/>
      <c r="AS59" s="32"/>
      <c r="AT59" s="54"/>
      <c r="AU59" s="28" t="s">
        <v>143</v>
      </c>
      <c r="AV59" s="104" t="s">
        <v>96</v>
      </c>
      <c r="AW59" s="29" t="s">
        <v>97</v>
      </c>
      <c r="AX59" s="104" t="s">
        <v>96</v>
      </c>
      <c r="AY59" s="54"/>
      <c r="AZ59" s="32"/>
      <c r="BA59" s="54"/>
      <c r="BB59" s="28" t="s">
        <v>143</v>
      </c>
      <c r="BC59" s="104" t="s">
        <v>96</v>
      </c>
      <c r="BD59" s="29" t="s">
        <v>97</v>
      </c>
      <c r="BE59" s="104" t="s">
        <v>96</v>
      </c>
      <c r="BF59" s="54"/>
      <c r="BG59" s="32"/>
      <c r="BH59" s="54"/>
      <c r="BI59" s="28" t="s">
        <v>143</v>
      </c>
      <c r="BJ59" s="104" t="s">
        <v>96</v>
      </c>
      <c r="BK59" s="29" t="s">
        <v>97</v>
      </c>
      <c r="BL59" s="104" t="s">
        <v>96</v>
      </c>
      <c r="BM59" s="54"/>
      <c r="BN59" s="32"/>
      <c r="BO59" s="54"/>
      <c r="BP59" s="28" t="s">
        <v>143</v>
      </c>
      <c r="BQ59" s="104" t="s">
        <v>96</v>
      </c>
      <c r="BR59" s="29" t="s">
        <v>97</v>
      </c>
      <c r="BS59" s="104" t="s">
        <v>96</v>
      </c>
      <c r="BT59" s="54"/>
      <c r="BU59" s="32"/>
      <c r="BV59" s="54"/>
      <c r="BW59" s="28" t="s">
        <v>143</v>
      </c>
      <c r="BX59" s="104" t="s">
        <v>96</v>
      </c>
      <c r="BY59" s="29" t="s">
        <v>97</v>
      </c>
      <c r="BZ59" s="104" t="s">
        <v>96</v>
      </c>
      <c r="CA59" s="54"/>
      <c r="CB59" s="32"/>
      <c r="CC59" s="54"/>
      <c r="CD59" s="28" t="s">
        <v>143</v>
      </c>
      <c r="CE59" s="104" t="s">
        <v>96</v>
      </c>
      <c r="CF59" s="29" t="s">
        <v>97</v>
      </c>
      <c r="CG59" s="104" t="s">
        <v>96</v>
      </c>
      <c r="CH59" s="54"/>
      <c r="CI59" s="32"/>
      <c r="CJ59" s="54"/>
      <c r="CK59" s="28" t="s">
        <v>143</v>
      </c>
      <c r="CL59" s="104" t="s">
        <v>96</v>
      </c>
      <c r="CM59" s="29" t="s">
        <v>97</v>
      </c>
      <c r="CN59" s="104" t="s">
        <v>96</v>
      </c>
      <c r="CO59" s="54"/>
      <c r="CP59" s="32"/>
      <c r="CQ59" s="54"/>
    </row>
    <row r="60" spans="1:95" ht="12.75">
      <c r="A60" s="13"/>
      <c r="B60" s="9"/>
      <c r="C60" s="9"/>
      <c r="D60" s="10"/>
      <c r="E60" s="9"/>
      <c r="F60" s="11"/>
      <c r="G60" s="9"/>
      <c r="H60" s="9"/>
      <c r="I60" s="10"/>
      <c r="J60" s="9"/>
      <c r="K60" s="11"/>
      <c r="L60" s="9"/>
      <c r="M60" s="55"/>
      <c r="N60" s="56"/>
      <c r="O60" s="55"/>
      <c r="P60" s="9"/>
      <c r="Q60" s="10"/>
      <c r="R60" s="9"/>
      <c r="S60" s="11"/>
      <c r="T60" s="9"/>
      <c r="U60" s="55"/>
      <c r="V60" s="56"/>
      <c r="W60" s="55"/>
      <c r="X60" s="9"/>
      <c r="Y60" s="10"/>
      <c r="Z60" s="9"/>
      <c r="AA60" s="11"/>
      <c r="AB60" s="9"/>
      <c r="AC60" s="55"/>
      <c r="AD60" s="56"/>
      <c r="AE60" s="55"/>
      <c r="AF60" s="9"/>
      <c r="AG60" s="10"/>
      <c r="AH60" s="9"/>
      <c r="AI60" s="11"/>
      <c r="AJ60" s="9"/>
      <c r="AK60" s="55"/>
      <c r="AL60" s="56"/>
      <c r="AM60" s="55"/>
      <c r="AN60" s="10"/>
      <c r="AO60" s="15"/>
      <c r="AP60" s="11"/>
      <c r="AQ60" s="15"/>
      <c r="AR60" s="55"/>
      <c r="AS60" s="56"/>
      <c r="AT60" s="55"/>
      <c r="AU60" s="10"/>
      <c r="AV60" s="15"/>
      <c r="AW60" s="11"/>
      <c r="AX60" s="15"/>
      <c r="AY60" s="55"/>
      <c r="AZ60" s="56"/>
      <c r="BA60" s="55"/>
      <c r="BB60" s="10"/>
      <c r="BC60" s="15"/>
      <c r="BD60" s="11"/>
      <c r="BE60" s="15"/>
      <c r="BF60" s="55"/>
      <c r="BG60" s="56"/>
      <c r="BH60" s="55"/>
      <c r="BI60" s="10"/>
      <c r="BJ60" s="15"/>
      <c r="BK60" s="11"/>
      <c r="BL60" s="15"/>
      <c r="BM60" s="55"/>
      <c r="BN60" s="56"/>
      <c r="BO60" s="55"/>
      <c r="BP60" s="10"/>
      <c r="BQ60" s="15"/>
      <c r="BR60" s="11"/>
      <c r="BS60" s="15"/>
      <c r="BT60" s="55"/>
      <c r="BU60" s="56"/>
      <c r="BV60" s="55"/>
      <c r="BW60" s="10"/>
      <c r="BX60" s="15"/>
      <c r="BY60" s="11"/>
      <c r="BZ60" s="15"/>
      <c r="CA60" s="55"/>
      <c r="CB60" s="56"/>
      <c r="CC60" s="55"/>
      <c r="CD60" s="10"/>
      <c r="CE60" s="15"/>
      <c r="CF60" s="11"/>
      <c r="CG60" s="15"/>
      <c r="CH60" s="55"/>
      <c r="CI60" s="56"/>
      <c r="CJ60" s="55"/>
      <c r="CK60" s="10"/>
      <c r="CL60" s="15"/>
      <c r="CM60" s="11"/>
      <c r="CN60" s="15"/>
      <c r="CO60" s="55"/>
      <c r="CP60" s="56"/>
      <c r="CQ60" s="55"/>
    </row>
    <row r="61" spans="1:95" ht="12.75">
      <c r="A61" s="9" t="s">
        <v>15</v>
      </c>
      <c r="B61" s="9"/>
      <c r="C61" s="9"/>
      <c r="D61" s="10">
        <f>+'SECURED LOANS'!D41+'RETAIL CREDIT'!D59+'UNSECURED LOANS'!D60+'CAR FINANCE'!D58+'UCL LOANS'!D60</f>
        <v>16547108.69999997</v>
      </c>
      <c r="E61" s="15">
        <f>+D61/$D$76</f>
        <v>0.04328109207651818</v>
      </c>
      <c r="F61" s="11">
        <f>+'SECURED LOANS'!F41+'RETAIL CREDIT'!F59+'UNSECURED LOANS'!F60+'CAR FINANCE'!F58+'UCL LOANS'!F60</f>
        <v>20964</v>
      </c>
      <c r="G61" s="15">
        <f>+F61/$F$76</f>
        <v>0.3065539730354166</v>
      </c>
      <c r="H61" s="15"/>
      <c r="I61" s="10">
        <f>+'SECURED LOANS'!J41+'RETAIL CREDIT'!J59+'UCL LOANS'!J60+'UNSECURED LOANS'!J60+'CAR FINANCE'!I58</f>
        <v>14762280.03</v>
      </c>
      <c r="J61" s="15">
        <f>+I61/$I$76</f>
        <v>0.04162524389162675</v>
      </c>
      <c r="K61" s="11">
        <f>+'SECURED LOANS'!L41+'RETAIL CREDIT'!L59+'UCL LOANS'!L60+'UNSECURED LOANS'!L60+'CAR FINANCE'!K58</f>
        <v>17045</v>
      </c>
      <c r="L61" s="15">
        <f>+K61/$K$76</f>
        <v>0.2802624223091848</v>
      </c>
      <c r="M61" s="57"/>
      <c r="N61" s="56"/>
      <c r="O61" s="57"/>
      <c r="P61" s="15"/>
      <c r="Q61" s="10">
        <f>+'SECURED LOANS'!R41+'RETAIL CREDIT'!R59+'UCL LOANS'!R60+'UNSECURED LOANS'!R60+'CAR FINANCE'!Q58</f>
        <v>15420466.619999975</v>
      </c>
      <c r="R61" s="15">
        <f>+Q61/$Q$76</f>
        <v>0.04310886649553531</v>
      </c>
      <c r="S61" s="11">
        <f>+'SECURED LOANS'!T41+'RETAIL CREDIT'!T59+'UCL LOANS'!T60+'UNSECURED LOANS'!T60+'CAR FINANCE'!S58</f>
        <v>19253</v>
      </c>
      <c r="T61" s="15">
        <f>+S61/$S$76</f>
        <v>0.3093646559758331</v>
      </c>
      <c r="U61" s="57"/>
      <c r="V61" s="56"/>
      <c r="W61" s="57"/>
      <c r="X61" s="15"/>
      <c r="Y61" s="10">
        <f>+'SECURED LOANS'!Y41+'RETAIL CREDIT'!Z59+'UCL LOANS'!Z60+'UNSECURED LOANS'!Z60+'CAR FINANCE'!Y58</f>
        <v>15458096.199999979</v>
      </c>
      <c r="Z61" s="15">
        <f>+Y61/$Y$76</f>
        <v>0.043158296689169554</v>
      </c>
      <c r="AA61" s="11">
        <f>+'SECURED LOANS'!AA41+'RETAIL CREDIT'!AB59+'UCL LOANS'!AB60+'UNSECURED LOANS'!AB60+'CAR FINANCE'!AA58</f>
        <v>19149</v>
      </c>
      <c r="AB61" s="15">
        <f>+AA61/$AA$76</f>
        <v>0.31471255300266243</v>
      </c>
      <c r="AC61" s="57"/>
      <c r="AD61" s="56"/>
      <c r="AE61" s="57"/>
      <c r="AF61" s="15"/>
      <c r="AG61" s="10">
        <f>+'SECURED LOANS'!AG41+'RETAIL CREDIT'!AH59+'UCL LOANS'!AG60+'UNSECURED LOANS'!AH60+'CAR FINANCE'!AG58</f>
        <v>15493985.329999987</v>
      </c>
      <c r="AH61" s="15">
        <f>+AG61/$AG$76</f>
        <v>0.04067488165563063</v>
      </c>
      <c r="AI61" s="11">
        <f>+'SECURED LOANS'!AI41+'RETAIL CREDIT'!AJ59+'UCL LOANS'!AI60+'UNSECURED LOANS'!AJ60+'CAR FINANCE'!AI58</f>
        <v>19088</v>
      </c>
      <c r="AJ61" s="15">
        <f>+AI61/$AI$76</f>
        <v>0.3051053355071769</v>
      </c>
      <c r="AK61" s="57"/>
      <c r="AL61" s="56"/>
      <c r="AM61" s="57"/>
      <c r="AN61" s="10">
        <f>+'SECURED LOANS'!AN41+'RETAIL CREDIT'!AO59+'UCL LOANS'!AN60+'UNSECURED LOANS'!AO60+'CAR FINANCE'!AN58</f>
        <v>16764546.369999982</v>
      </c>
      <c r="AO61" s="15">
        <f aca="true" t="shared" si="49" ref="AO61:AO74">+AN61/$AN$33</f>
        <v>0.04410218540120103</v>
      </c>
      <c r="AP61" s="11">
        <f>+'SECURED LOANS'!AP41+'RETAIL CREDIT'!AQ59+'UCL LOANS'!AP60+'UNSECURED LOANS'!AQ60+'CAR FINANCE'!AP58</f>
        <v>19073</v>
      </c>
      <c r="AQ61" s="15">
        <f aca="true" t="shared" si="50" ref="AQ61:AQ74">+AP61/$AP$33</f>
        <v>0.30664973150262065</v>
      </c>
      <c r="AR61" s="57"/>
      <c r="AS61" s="56"/>
      <c r="AT61" s="57"/>
      <c r="AU61" s="10">
        <f>+'SECURED LOANS'!AU41+'RETAIL CREDIT'!AV59+'UCL LOANS'!AU60+'UNSECURED LOANS'!AV60+'CAR FINANCE'!AU58</f>
        <v>18541371.729999963</v>
      </c>
      <c r="AV61" s="15">
        <f aca="true" t="shared" si="51" ref="AV61:AV74">+AU61/$AU$33</f>
        <v>0.048556110503634085</v>
      </c>
      <c r="AW61" s="11">
        <f>+'SECURED LOANS'!AW41+'RETAIL CREDIT'!AX59+'UCL LOANS'!AW60+'UNSECURED LOANS'!AX60+'CAR FINANCE'!AW58</f>
        <v>21353</v>
      </c>
      <c r="AX61" s="15">
        <f aca="true" t="shared" si="52" ref="AX61:AX74">+AW61/$AW$33</f>
        <v>0.3379441323098837</v>
      </c>
      <c r="AY61" s="57"/>
      <c r="AZ61" s="56"/>
      <c r="BA61" s="57"/>
      <c r="BB61" s="10">
        <f>+'SECURED LOANS'!BB41+'RETAIL CREDIT'!BC59+'UCL LOANS'!BB60+'UNSECURED LOANS'!BC60+'CAR FINANCE'!BB58</f>
        <v>17856367.730000015</v>
      </c>
      <c r="BC61" s="15">
        <f aca="true" t="shared" si="53" ref="BC61:BC74">+BB61/$BB$33</f>
        <v>0.04948154239705205</v>
      </c>
      <c r="BD61" s="11">
        <f>+'SECURED LOANS'!BD41+'RETAIL CREDIT'!BE59+'UCL LOANS'!BD60+'UNSECURED LOANS'!BE60+'CAR FINANCE'!BD58</f>
        <v>20893</v>
      </c>
      <c r="BE61" s="15">
        <f aca="true" t="shared" si="54" ref="BE61:BE74">+BD61/$BD$33</f>
        <v>0.34986687207997724</v>
      </c>
      <c r="BF61" s="57"/>
      <c r="BG61" s="56"/>
      <c r="BH61" s="57"/>
      <c r="BI61" s="10">
        <f>+'SECURED LOANS'!BI41+'RETAIL CREDIT'!BJ59+'UCL LOANS'!BI60+'UNSECURED LOANS'!BJ60+'CAR FINANCE'!BI58</f>
        <v>15816710.849999994</v>
      </c>
      <c r="BJ61" s="15">
        <f aca="true" t="shared" si="55" ref="BJ61:BJ74">+BI61/$BB$33</f>
        <v>0.043829476427689314</v>
      </c>
      <c r="BK61" s="11">
        <f>+'SECURED LOANS'!BK41+'RETAIL CREDIT'!BL59+'UCL LOANS'!BK60+'UNSECURED LOANS'!BL60+'CAR FINANCE'!BK58</f>
        <v>18915</v>
      </c>
      <c r="BL61" s="15">
        <f aca="true" t="shared" si="56" ref="BL61:BL74">+BK61/$BD$33</f>
        <v>0.31674397575229835</v>
      </c>
      <c r="BM61" s="57"/>
      <c r="BN61" s="56"/>
      <c r="BO61" s="57"/>
      <c r="BP61" s="10">
        <f>+'SECURED LOANS'!BP41+'RETAIL CREDIT'!BQ59+'UCL LOANS'!BP60+'UNSECURED LOANS'!BQ60+'CAR FINANCE'!BP58</f>
        <v>13013653.43</v>
      </c>
      <c r="BQ61" s="15">
        <f aca="true" t="shared" si="57" ref="BQ61:BQ74">+BP61/$BP$33</f>
        <v>0.03828435458412713</v>
      </c>
      <c r="BR61" s="11">
        <f>+'SECURED LOANS'!BR41+'RETAIL CREDIT'!BS59+'UCL LOANS'!BR60+'UNSECURED LOANS'!BS60+'CAR FINANCE'!BR58</f>
        <v>15344</v>
      </c>
      <c r="BS61" s="15">
        <f aca="true" t="shared" si="58" ref="BS61:BS74">+BR61/$BR$33</f>
        <v>0.3080320398289603</v>
      </c>
      <c r="BT61" s="57"/>
      <c r="BU61" s="56"/>
      <c r="BV61" s="57"/>
      <c r="BW61" s="10">
        <f>+'SECURED LOANS'!BW41+'RETAIL CREDIT'!BX59+'UCL LOANS'!BW60+'UNSECURED LOANS'!BX60+'CAR FINANCE'!BW58</f>
        <v>11261236.96</v>
      </c>
      <c r="BX61" s="15">
        <f>+BW61/$BW$33</f>
        <v>0.03424359147507108</v>
      </c>
      <c r="BY61" s="11">
        <f>+'SECURED LOANS'!BY41+'RETAIL CREDIT'!BZ59+'UCL LOANS'!BY60+'UNSECURED LOANS'!BZ60+'CAR FINANCE'!BY58</f>
        <v>12941</v>
      </c>
      <c r="BZ61" s="15">
        <f>+BY61/$BY$33</f>
        <v>0.28473047304730476</v>
      </c>
      <c r="CA61" s="57"/>
      <c r="CB61" s="56"/>
      <c r="CC61" s="57"/>
      <c r="CD61" s="10">
        <f>+'SECURED LOANS'!CD41+'RETAIL CREDIT'!CE59+'UCL LOANS'!CD60+'UNSECURED LOANS'!CE60+'CAR FINANCE'!CD58</f>
        <v>19248502.290000066</v>
      </c>
      <c r="CE61" s="15">
        <f aca="true" t="shared" si="59" ref="CE61:CE74">+CD61/$CD$33</f>
        <v>0.058102297673608576</v>
      </c>
      <c r="CF61" s="11">
        <f>+'SECURED LOANS'!CF41+'RETAIL CREDIT'!CG59+'UCL LOANS'!CF60+'UNSECURED LOANS'!CG60+'CAR FINANCE'!CF58</f>
        <v>24099</v>
      </c>
      <c r="CG61" s="15">
        <f aca="true" t="shared" si="60" ref="CG61:CG74">+CF61/$CF$33</f>
        <v>0.4304238332529604</v>
      </c>
      <c r="CH61" s="57"/>
      <c r="CI61" s="56"/>
      <c r="CJ61" s="57"/>
      <c r="CK61" s="10">
        <f>+'SECURED LOANS'!CK41+'RETAIL CREDIT'!CL59+'UCL LOANS'!CK60+'UNSECURED LOANS'!CL60+'CAR FINANCE'!CK58</f>
        <v>19075204.47000002</v>
      </c>
      <c r="CL61" s="15">
        <f aca="true" t="shared" si="61" ref="CL61:CL74">+CK61/$CD$33</f>
        <v>0.057579191960128666</v>
      </c>
      <c r="CM61" s="11">
        <f>+'SECURED LOANS'!CM41+'RETAIL CREDIT'!CN59+'UCL LOANS'!CM60+'UNSECURED LOANS'!CN60+'CAR FINANCE'!CM58</f>
        <v>23428</v>
      </c>
      <c r="CN61" s="15">
        <f aca="true" t="shared" si="62" ref="CN61:CN74">+CM61/$CF$33</f>
        <v>0.41843933629820146</v>
      </c>
      <c r="CO61" s="57"/>
      <c r="CP61" s="56"/>
      <c r="CQ61" s="57"/>
    </row>
    <row r="62" spans="1:95" ht="12.75">
      <c r="A62" s="9" t="s">
        <v>16</v>
      </c>
      <c r="B62" s="9"/>
      <c r="C62" s="9"/>
      <c r="D62" s="10">
        <f>+'SECURED LOANS'!D42+'RETAIL CREDIT'!D60+'UNSECURED LOANS'!D61+'CAR FINANCE'!D59+'UCL LOANS'!D61</f>
        <v>37633382.77999998</v>
      </c>
      <c r="E62" s="15">
        <f aca="true" t="shared" si="63" ref="E62:E74">+D62/$D$76</f>
        <v>0.09843495530140778</v>
      </c>
      <c r="F62" s="11">
        <f>+'SECURED LOANS'!F42+'RETAIL CREDIT'!F60+'UNSECURED LOANS'!F61+'CAR FINANCE'!F59+'UCL LOANS'!F61</f>
        <v>12657</v>
      </c>
      <c r="G62" s="15">
        <f aca="true" t="shared" si="64" ref="G62:G74">+F62/$F$76</f>
        <v>0.18508174187699236</v>
      </c>
      <c r="H62" s="15"/>
      <c r="I62" s="10">
        <f>+'SECURED LOANS'!J42+'RETAIL CREDIT'!J60+'UCL LOANS'!J61+'UNSECURED LOANS'!J61+'CAR FINANCE'!I59</f>
        <v>34381279.52999998</v>
      </c>
      <c r="J62" s="15">
        <f aca="true" t="shared" si="65" ref="J62:J74">+I62/$I$76</f>
        <v>0.09694499378375791</v>
      </c>
      <c r="K62" s="11">
        <f>+'SECURED LOANS'!L42+'RETAIL CREDIT'!L60+'UCL LOANS'!L61+'UNSECURED LOANS'!L61+'CAR FINANCE'!K59</f>
        <v>11546</v>
      </c>
      <c r="L62" s="15">
        <f aca="true" t="shared" si="66" ref="L62:L74">+K62/$K$76</f>
        <v>0.1898451116445789</v>
      </c>
      <c r="M62" s="57"/>
      <c r="N62" s="56"/>
      <c r="O62" s="57"/>
      <c r="P62" s="15"/>
      <c r="Q62" s="10">
        <f>+'SECURED LOANS'!R42+'RETAIL CREDIT'!R60+'UCL LOANS'!R61+'UNSECURED LOANS'!R61+'CAR FINANCE'!Q59</f>
        <v>32916960.32</v>
      </c>
      <c r="R62" s="15">
        <f aca="true" t="shared" si="67" ref="R62:R74">+Q62/$Q$76</f>
        <v>0.0920213948670845</v>
      </c>
      <c r="S62" s="11">
        <f>+'SECURED LOANS'!T42+'RETAIL CREDIT'!T60+'UCL LOANS'!T61+'UNSECURED LOANS'!T61+'CAR FINANCE'!S59</f>
        <v>11093</v>
      </c>
      <c r="T62" s="15">
        <f aca="true" t="shared" si="68" ref="T62:T74">+S62/$S$76</f>
        <v>0.17824661760452487</v>
      </c>
      <c r="U62" s="57"/>
      <c r="V62" s="56"/>
      <c r="W62" s="57"/>
      <c r="X62" s="15"/>
      <c r="Y62" s="10">
        <f>+'SECURED LOANS'!Y42+'RETAIL CREDIT'!Z60+'UCL LOANS'!Z61+'UNSECURED LOANS'!Z61+'CAR FINANCE'!Y59</f>
        <v>31586855.709999956</v>
      </c>
      <c r="Z62" s="15">
        <f aca="true" t="shared" si="69" ref="Z62:Z74">+Y62/$Y$76</f>
        <v>0.08818905462693195</v>
      </c>
      <c r="AA62" s="11">
        <f>+'SECURED LOANS'!AA42+'RETAIL CREDIT'!AB60+'UCL LOANS'!AB61+'UNSECURED LOANS'!AB61+'CAR FINANCE'!AA59</f>
        <v>10657</v>
      </c>
      <c r="AB62" s="15">
        <f aca="true" t="shared" si="70" ref="AB62:AB74">+AA62/$AA$76</f>
        <v>0.17514709266015843</v>
      </c>
      <c r="AC62" s="57"/>
      <c r="AD62" s="56"/>
      <c r="AE62" s="57"/>
      <c r="AF62" s="15"/>
      <c r="AG62" s="10">
        <f>+'SECURED LOANS'!AG42+'RETAIL CREDIT'!AH60+'UCL LOANS'!AG61+'UNSECURED LOANS'!AH61+'CAR FINANCE'!AG59</f>
        <v>31556008.77000003</v>
      </c>
      <c r="AH62" s="15">
        <f aca="true" t="shared" si="71" ref="AH62:AH74">+AG62/$AG$76</f>
        <v>0.08284097957409092</v>
      </c>
      <c r="AI62" s="11">
        <f>+'SECURED LOANS'!AI42+'RETAIL CREDIT'!AJ60+'UCL LOANS'!AI61+'UNSECURED LOANS'!AJ61+'CAR FINANCE'!AI59</f>
        <v>10627</v>
      </c>
      <c r="AJ62" s="15">
        <f aca="true" t="shared" si="72" ref="AJ62:AJ74">+AI62/$AI$76</f>
        <v>0.16986349541255075</v>
      </c>
      <c r="AK62" s="57"/>
      <c r="AL62" s="56"/>
      <c r="AM62" s="57"/>
      <c r="AN62" s="10">
        <f>+'SECURED LOANS'!AN42+'RETAIL CREDIT'!AO60+'UCL LOANS'!AN61+'UNSECURED LOANS'!AO61+'CAR FINANCE'!AN59</f>
        <v>32040878.73000005</v>
      </c>
      <c r="AO62" s="15">
        <f t="shared" si="49"/>
        <v>0.08428935343556584</v>
      </c>
      <c r="AP62" s="11">
        <f>+'SECURED LOANS'!AP42+'RETAIL CREDIT'!AQ60+'UCL LOANS'!AP61+'UNSECURED LOANS'!AQ61+'CAR FINANCE'!AP59</f>
        <v>10772</v>
      </c>
      <c r="AQ62" s="15">
        <f t="shared" si="50"/>
        <v>0.17318884851602945</v>
      </c>
      <c r="AR62" s="57"/>
      <c r="AS62" s="56"/>
      <c r="AT62" s="57"/>
      <c r="AU62" s="10">
        <f>+'SECURED LOANS'!AU42+'RETAIL CREDIT'!AV60+'UCL LOANS'!AU61+'UNSECURED LOANS'!AV61+'CAR FINANCE'!AU59</f>
        <v>31829492.619999994</v>
      </c>
      <c r="AV62" s="15">
        <f t="shared" si="51"/>
        <v>0.08335501727904401</v>
      </c>
      <c r="AW62" s="11">
        <f>+'SECURED LOANS'!AW42+'RETAIL CREDIT'!AX60+'UCL LOANS'!AW61+'UNSECURED LOANS'!AX61+'CAR FINANCE'!AW59</f>
        <v>10733</v>
      </c>
      <c r="AX62" s="15">
        <f t="shared" si="52"/>
        <v>0.16986626572762523</v>
      </c>
      <c r="AY62" s="57"/>
      <c r="AZ62" s="56"/>
      <c r="BA62" s="57"/>
      <c r="BB62" s="10">
        <f>+'SECURED LOANS'!BB42+'RETAIL CREDIT'!BC60+'UCL LOANS'!BB61+'UNSECURED LOANS'!BC61+'CAR FINANCE'!BB59</f>
        <v>30248206.949999977</v>
      </c>
      <c r="BC62" s="15">
        <f t="shared" si="53"/>
        <v>0.08382040274162895</v>
      </c>
      <c r="BD62" s="11">
        <f>+'SECURED LOANS'!BD42+'RETAIL CREDIT'!BE60+'UCL LOANS'!BD61+'UNSECURED LOANS'!BE61+'CAR FINANCE'!BD59</f>
        <v>10198</v>
      </c>
      <c r="BE62" s="15">
        <f t="shared" si="54"/>
        <v>0.17077214193613208</v>
      </c>
      <c r="BF62" s="57"/>
      <c r="BG62" s="56"/>
      <c r="BH62" s="57"/>
      <c r="BI62" s="10">
        <f>+'SECURED LOANS'!BI42+'RETAIL CREDIT'!BJ60+'UCL LOANS'!BI61+'UNSECURED LOANS'!BJ61+'CAR FINANCE'!BI59</f>
        <v>28323451.299999993</v>
      </c>
      <c r="BJ62" s="15">
        <f t="shared" si="55"/>
        <v>0.07848673803783651</v>
      </c>
      <c r="BK62" s="11">
        <f>+'SECURED LOANS'!BK42+'RETAIL CREDIT'!BL60+'UCL LOANS'!BK61+'UNSECURED LOANS'!BL61+'CAR FINANCE'!BK59</f>
        <v>9532</v>
      </c>
      <c r="BL62" s="15">
        <f t="shared" si="56"/>
        <v>0.15961953882479027</v>
      </c>
      <c r="BM62" s="57"/>
      <c r="BN62" s="56"/>
      <c r="BO62" s="57"/>
      <c r="BP62" s="10">
        <f>+'SECURED LOANS'!BP42+'RETAIL CREDIT'!BQ60+'UCL LOANS'!BP61+'UNSECURED LOANS'!BQ61+'CAR FINANCE'!BP59</f>
        <v>26462986.140000023</v>
      </c>
      <c r="BQ62" s="15">
        <f t="shared" si="57"/>
        <v>0.07785041688624426</v>
      </c>
      <c r="BR62" s="11">
        <f>+'SECURED LOANS'!BR42+'RETAIL CREDIT'!BS60+'UCL LOANS'!BR61+'UNSECURED LOANS'!BS61+'CAR FINANCE'!BR59</f>
        <v>8885</v>
      </c>
      <c r="BS62" s="15">
        <f t="shared" si="58"/>
        <v>0.17836709292754904</v>
      </c>
      <c r="BT62" s="57"/>
      <c r="BU62" s="56"/>
      <c r="BV62" s="57"/>
      <c r="BW62" s="10">
        <f>+'SECURED LOANS'!BW42+'RETAIL CREDIT'!BX60+'UCL LOANS'!BW61+'UNSECURED LOANS'!BX61+'CAR FINANCE'!BW59</f>
        <v>24890479.89999997</v>
      </c>
      <c r="BX62" s="15">
        <f aca="true" t="shared" si="73" ref="BX62:BX74">+BW62/$BW$33</f>
        <v>0.07568790429875359</v>
      </c>
      <c r="BY62" s="11">
        <f>+'SECURED LOANS'!BY42+'RETAIL CREDIT'!BZ60+'UCL LOANS'!BY61+'UNSECURED LOANS'!BZ61+'CAR FINANCE'!BY59</f>
        <v>8352</v>
      </c>
      <c r="BZ62" s="15">
        <f aca="true" t="shared" si="74" ref="BZ62:BZ74">+BY62/$BY$33</f>
        <v>0.18376237623762376</v>
      </c>
      <c r="CA62" s="57"/>
      <c r="CB62" s="56"/>
      <c r="CC62" s="57"/>
      <c r="CD62" s="10">
        <f>+'SECURED LOANS'!CD42+'RETAIL CREDIT'!CE60+'UCL LOANS'!CD61+'UNSECURED LOANS'!CE61+'CAR FINANCE'!CD59</f>
        <v>26784337.450000014</v>
      </c>
      <c r="CE62" s="15">
        <f t="shared" si="59"/>
        <v>0.08084948761539605</v>
      </c>
      <c r="CF62" s="11">
        <f>+'SECURED LOANS'!CF42+'RETAIL CREDIT'!CG60+'UCL LOANS'!CF61+'UNSECURED LOANS'!CG61+'CAR FINANCE'!CF59</f>
        <v>9128</v>
      </c>
      <c r="CG62" s="15">
        <f t="shared" si="60"/>
        <v>0.16303202414760043</v>
      </c>
      <c r="CH62" s="57"/>
      <c r="CI62" s="56"/>
      <c r="CJ62" s="57"/>
      <c r="CK62" s="10">
        <f>+'SECURED LOANS'!CK42+'RETAIL CREDIT'!CL60+'UCL LOANS'!CK61+'UNSECURED LOANS'!CL61+'CAR FINANCE'!CK59</f>
        <v>27924763.70000003</v>
      </c>
      <c r="CL62" s="15">
        <f t="shared" si="61"/>
        <v>0.08429190533985048</v>
      </c>
      <c r="CM62" s="11">
        <f>+'SECURED LOANS'!CM42+'RETAIL CREDIT'!CN60+'UCL LOANS'!CM61+'UNSECURED LOANS'!CN61+'CAR FINANCE'!CM59</f>
        <v>9530</v>
      </c>
      <c r="CN62" s="15">
        <f t="shared" si="62"/>
        <v>0.1702120059297362</v>
      </c>
      <c r="CO62" s="57"/>
      <c r="CP62" s="56"/>
      <c r="CQ62" s="57"/>
    </row>
    <row r="63" spans="1:95" ht="12.75">
      <c r="A63" s="9" t="s">
        <v>17</v>
      </c>
      <c r="B63" s="9"/>
      <c r="C63" s="9"/>
      <c r="D63" s="10">
        <f>+'SECURED LOANS'!D43+'RETAIL CREDIT'!D61+'UNSECURED LOANS'!D62+'CAR FINANCE'!D60+'UCL LOANS'!D62</f>
        <v>52633207.91</v>
      </c>
      <c r="E63" s="15">
        <f t="shared" si="63"/>
        <v>0.1376689280971025</v>
      </c>
      <c r="F63" s="11">
        <f>+'SECURED LOANS'!F43+'RETAIL CREDIT'!F61+'UNSECURED LOANS'!F62+'CAR FINANCE'!F60+'UCL LOANS'!F62</f>
        <v>10605</v>
      </c>
      <c r="G63" s="15">
        <f t="shared" si="64"/>
        <v>0.15507560026906092</v>
      </c>
      <c r="H63" s="15"/>
      <c r="I63" s="10">
        <f>+'SECURED LOANS'!J43+'RETAIL CREDIT'!J61+'UCL LOANS'!J62+'UNSECURED LOANS'!J62+'CAR FINANCE'!I60</f>
        <v>48585194.41999994</v>
      </c>
      <c r="J63" s="15">
        <f t="shared" si="65"/>
        <v>0.13699581386782575</v>
      </c>
      <c r="K63" s="11">
        <f>+'SECURED LOANS'!L43+'RETAIL CREDIT'!L61+'UCL LOANS'!L62+'UNSECURED LOANS'!L62+'CAR FINANCE'!K60</f>
        <v>9803</v>
      </c>
      <c r="L63" s="15">
        <f t="shared" si="66"/>
        <v>0.16118583314150417</v>
      </c>
      <c r="M63" s="57"/>
      <c r="N63" s="56"/>
      <c r="O63" s="57"/>
      <c r="P63" s="15"/>
      <c r="Q63" s="10">
        <f>+'SECURED LOANS'!R43+'RETAIL CREDIT'!R61+'UCL LOANS'!R62+'UNSECURED LOANS'!R62+'CAR FINANCE'!Q60</f>
        <v>47220960.82999994</v>
      </c>
      <c r="R63" s="15">
        <f t="shared" si="67"/>
        <v>0.1320091114215176</v>
      </c>
      <c r="S63" s="11">
        <f>+'SECURED LOANS'!T43+'RETAIL CREDIT'!T61+'UCL LOANS'!T62+'UNSECURED LOANS'!T62+'CAR FINANCE'!S60</f>
        <v>9532</v>
      </c>
      <c r="T63" s="15">
        <f t="shared" si="68"/>
        <v>0.15316386541119004</v>
      </c>
      <c r="U63" s="57"/>
      <c r="V63" s="56"/>
      <c r="W63" s="57"/>
      <c r="X63" s="15"/>
      <c r="Y63" s="10">
        <f>+'SECURED LOANS'!Y43+'RETAIL CREDIT'!Z61+'UCL LOANS'!Z62+'UNSECURED LOANS'!Z62+'CAR FINANCE'!Y60</f>
        <v>45135960.19999991</v>
      </c>
      <c r="Z63" s="15">
        <f t="shared" si="69"/>
        <v>0.12601753388377462</v>
      </c>
      <c r="AA63" s="11">
        <f>+'SECURED LOANS'!AA43+'RETAIL CREDIT'!AB61+'UCL LOANS'!AB62+'UNSECURED LOANS'!AB62+'CAR FINANCE'!AA60</f>
        <v>9103</v>
      </c>
      <c r="AB63" s="15">
        <f t="shared" si="70"/>
        <v>0.14960720507510764</v>
      </c>
      <c r="AC63" s="57"/>
      <c r="AD63" s="56"/>
      <c r="AE63" s="57"/>
      <c r="AF63" s="15"/>
      <c r="AG63" s="10">
        <f>+'SECURED LOANS'!AG43+'RETAIL CREDIT'!AH61+'UCL LOANS'!AG62+'UNSECURED LOANS'!AH62+'CAR FINANCE'!AG60</f>
        <v>47823842.99000002</v>
      </c>
      <c r="AH63" s="15">
        <f t="shared" si="71"/>
        <v>0.12554737290019835</v>
      </c>
      <c r="AI63" s="11">
        <f>+'SECURED LOANS'!AI43+'RETAIL CREDIT'!AJ61+'UCL LOANS'!AI62+'UNSECURED LOANS'!AJ62+'CAR FINANCE'!AI60</f>
        <v>9634</v>
      </c>
      <c r="AJ63" s="15">
        <f t="shared" si="72"/>
        <v>0.15399124068923628</v>
      </c>
      <c r="AK63" s="57"/>
      <c r="AL63" s="56"/>
      <c r="AM63" s="57"/>
      <c r="AN63" s="10">
        <f>+'SECURED LOANS'!AN43+'RETAIL CREDIT'!AO61+'UCL LOANS'!AN62+'UNSECURED LOANS'!AO62+'CAR FINANCE'!AN60</f>
        <v>47641072.56999999</v>
      </c>
      <c r="AO63" s="15">
        <f t="shared" si="49"/>
        <v>0.1253284979397993</v>
      </c>
      <c r="AP63" s="11">
        <f>+'SECURED LOANS'!AP43+'RETAIL CREDIT'!AQ61+'UCL LOANS'!AP62+'UNSECURED LOANS'!AQ62+'CAR FINANCE'!AP60</f>
        <v>9601</v>
      </c>
      <c r="AQ63" s="15">
        <f t="shared" si="50"/>
        <v>0.15436187658767164</v>
      </c>
      <c r="AR63" s="57"/>
      <c r="AS63" s="56"/>
      <c r="AT63" s="57"/>
      <c r="AU63" s="10">
        <f>+'SECURED LOANS'!AU43+'RETAIL CREDIT'!AV61+'UCL LOANS'!AU62+'UNSECURED LOANS'!AV62+'CAR FINANCE'!AU60</f>
        <v>44818974.59000005</v>
      </c>
      <c r="AV63" s="15">
        <f t="shared" si="51"/>
        <v>0.11737184899488635</v>
      </c>
      <c r="AW63" s="11">
        <f>+'SECURED LOANS'!AW43+'RETAIL CREDIT'!AX61+'UCL LOANS'!AW62+'UNSECURED LOANS'!AX62+'CAR FINANCE'!AW60</f>
        <v>9037</v>
      </c>
      <c r="AX63" s="15">
        <f t="shared" si="52"/>
        <v>0.14302445200601407</v>
      </c>
      <c r="AY63" s="57"/>
      <c r="AZ63" s="56"/>
      <c r="BA63" s="57"/>
      <c r="BB63" s="10">
        <f>+'SECURED LOANS'!BB43+'RETAIL CREDIT'!BC61+'UCL LOANS'!BB62+'UNSECURED LOANS'!BC62+'CAR FINANCE'!BB60</f>
        <v>41124188.42</v>
      </c>
      <c r="BC63" s="15">
        <f t="shared" si="53"/>
        <v>0.11395868989804821</v>
      </c>
      <c r="BD63" s="11">
        <f>+'SECURED LOANS'!BD43+'RETAIL CREDIT'!BE61+'UCL LOANS'!BD62+'UNSECURED LOANS'!BE62+'CAR FINANCE'!BD60</f>
        <v>8308</v>
      </c>
      <c r="BE63" s="15">
        <f t="shared" si="54"/>
        <v>0.13912286283637826</v>
      </c>
      <c r="BF63" s="57"/>
      <c r="BG63" s="56"/>
      <c r="BH63" s="57"/>
      <c r="BI63" s="10">
        <f>+'SECURED LOANS'!BI43+'RETAIL CREDIT'!BJ61+'UCL LOANS'!BI62+'UNSECURED LOANS'!BJ62+'CAR FINANCE'!BI60</f>
        <v>38162832.159999974</v>
      </c>
      <c r="BJ63" s="15">
        <f t="shared" si="55"/>
        <v>0.1057525150730427</v>
      </c>
      <c r="BK63" s="11">
        <f>+'SECURED LOANS'!BK43+'RETAIL CREDIT'!BL61+'UCL LOANS'!BK62+'UNSECURED LOANS'!BL62+'CAR FINANCE'!BK60</f>
        <v>7725</v>
      </c>
      <c r="BL63" s="15">
        <f t="shared" si="56"/>
        <v>0.12936014870137483</v>
      </c>
      <c r="BM63" s="57"/>
      <c r="BN63" s="56"/>
      <c r="BO63" s="57"/>
      <c r="BP63" s="10">
        <f>+'SECURED LOANS'!BP43+'RETAIL CREDIT'!BQ61+'UCL LOANS'!BP62+'UNSECURED LOANS'!BQ62+'CAR FINANCE'!BP60</f>
        <v>35112053.740000024</v>
      </c>
      <c r="BQ63" s="15">
        <f t="shared" si="57"/>
        <v>0.10329476828238295</v>
      </c>
      <c r="BR63" s="11">
        <f>+'SECURED LOANS'!BR43+'RETAIL CREDIT'!BS61+'UCL LOANS'!BR62+'UNSECURED LOANS'!BS62+'CAR FINANCE'!BR60</f>
        <v>7116</v>
      </c>
      <c r="BS63" s="15">
        <f t="shared" si="58"/>
        <v>0.14285427498845682</v>
      </c>
      <c r="BT63" s="57"/>
      <c r="BU63" s="56"/>
      <c r="BV63" s="57"/>
      <c r="BW63" s="10">
        <f>+'SECURED LOANS'!BW43+'RETAIL CREDIT'!BX61+'UCL LOANS'!BW62+'UNSECURED LOANS'!BX62+'CAR FINANCE'!BW60</f>
        <v>32521025.44000002</v>
      </c>
      <c r="BX63" s="15">
        <f t="shared" si="73"/>
        <v>0.09889115320753841</v>
      </c>
      <c r="BY63" s="11">
        <f>+'SECURED LOANS'!BY43+'RETAIL CREDIT'!BZ61+'UCL LOANS'!BY62+'UNSECURED LOANS'!BZ62+'CAR FINANCE'!BY60</f>
        <v>6585</v>
      </c>
      <c r="BZ63" s="15">
        <f t="shared" si="74"/>
        <v>0.14488448844884488</v>
      </c>
      <c r="CA63" s="57"/>
      <c r="CB63" s="56"/>
      <c r="CC63" s="57"/>
      <c r="CD63" s="10">
        <f>+'SECURED LOANS'!CD43+'RETAIL CREDIT'!CE61+'UCL LOANS'!CD62+'UNSECURED LOANS'!CE62+'CAR FINANCE'!CD60</f>
        <v>30212714.490000013</v>
      </c>
      <c r="CE63" s="15">
        <f t="shared" si="59"/>
        <v>0.09119816723287107</v>
      </c>
      <c r="CF63" s="11">
        <f>+'SECURED LOANS'!CF43+'RETAIL CREDIT'!CG61+'UCL LOANS'!CF62+'UNSECURED LOANS'!CG62+'CAR FINANCE'!CF60</f>
        <v>6130</v>
      </c>
      <c r="CG63" s="15">
        <f t="shared" si="60"/>
        <v>0.10948579185197092</v>
      </c>
      <c r="CH63" s="57"/>
      <c r="CI63" s="56"/>
      <c r="CJ63" s="57"/>
      <c r="CK63" s="10">
        <f>+'SECURED LOANS'!CK43+'RETAIL CREDIT'!CL61+'UCL LOANS'!CK62+'UNSECURED LOANS'!CL62+'CAR FINANCE'!CK60</f>
        <v>29820386.570000015</v>
      </c>
      <c r="CL63" s="15">
        <f t="shared" si="61"/>
        <v>0.0900139112710267</v>
      </c>
      <c r="CM63" s="11">
        <f>+'SECURED LOANS'!CM43+'RETAIL CREDIT'!CN61+'UCL LOANS'!CM62+'UNSECURED LOANS'!CN62+'CAR FINANCE'!CM60</f>
        <v>6059</v>
      </c>
      <c r="CN63" s="15">
        <f t="shared" si="62"/>
        <v>0.10821768561681759</v>
      </c>
      <c r="CO63" s="57"/>
      <c r="CP63" s="56"/>
      <c r="CQ63" s="57"/>
    </row>
    <row r="64" spans="1:95" ht="12.75">
      <c r="A64" s="9" t="s">
        <v>18</v>
      </c>
      <c r="B64" s="9"/>
      <c r="C64" s="9"/>
      <c r="D64" s="10">
        <f>+'SECURED LOANS'!D44+'RETAIL CREDIT'!D62+'UNSECURED LOANS'!D63+'CAR FINANCE'!D61+'UCL LOANS'!D63</f>
        <v>50044509.19000011</v>
      </c>
      <c r="E64" s="15">
        <f t="shared" si="63"/>
        <v>0.13089785348279961</v>
      </c>
      <c r="F64" s="11">
        <f>+'SECURED LOANS'!F44+'RETAIL CREDIT'!F62+'UNSECURED LOANS'!F63+'CAR FINANCE'!F61+'UCL LOANS'!F63</f>
        <v>7236</v>
      </c>
      <c r="G64" s="15">
        <f t="shared" si="64"/>
        <v>0.10581113093323195</v>
      </c>
      <c r="H64" s="15"/>
      <c r="I64" s="10">
        <f>+'SECURED LOANS'!J44+'RETAIL CREDIT'!J62+'UCL LOANS'!J63+'UNSECURED LOANS'!J63+'CAR FINANCE'!I61</f>
        <v>45534007.08999995</v>
      </c>
      <c r="J64" s="15">
        <f t="shared" si="65"/>
        <v>0.12839237208835888</v>
      </c>
      <c r="K64" s="11">
        <f>+'SECURED LOANS'!L44+'RETAIL CREDIT'!L62+'UCL LOANS'!L63+'UNSECURED LOANS'!L63+'CAR FINANCE'!K61</f>
        <v>6587</v>
      </c>
      <c r="L64" s="15">
        <f t="shared" si="66"/>
        <v>0.10830675129073629</v>
      </c>
      <c r="M64" s="57"/>
      <c r="N64" s="56"/>
      <c r="O64" s="57"/>
      <c r="P64" s="15"/>
      <c r="Q64" s="10">
        <f>+'SECURED LOANS'!R44+'RETAIL CREDIT'!R62+'UCL LOANS'!R63+'UNSECURED LOANS'!R63+'CAR FINANCE'!Q61</f>
        <v>43679701.06999992</v>
      </c>
      <c r="R64" s="15">
        <f t="shared" si="67"/>
        <v>0.12210930112512512</v>
      </c>
      <c r="S64" s="11">
        <f>+'SECURED LOANS'!T44+'RETAIL CREDIT'!T62+'UCL LOANS'!T63+'UNSECURED LOANS'!T63+'CAR FINANCE'!S61</f>
        <v>6319</v>
      </c>
      <c r="T64" s="15">
        <f t="shared" si="68"/>
        <v>0.10153613780248738</v>
      </c>
      <c r="U64" s="57"/>
      <c r="V64" s="56"/>
      <c r="W64" s="57"/>
      <c r="X64" s="15"/>
      <c r="Y64" s="10">
        <f>+'SECURED LOANS'!Y44+'RETAIL CREDIT'!Z62+'UCL LOANS'!Z63+'UNSECURED LOANS'!Z63+'CAR FINANCE'!Y61</f>
        <v>41219910.87999999</v>
      </c>
      <c r="Z64" s="15">
        <f t="shared" si="69"/>
        <v>0.11508410351723454</v>
      </c>
      <c r="AA64" s="11">
        <f>+'SECURED LOANS'!AA44+'RETAIL CREDIT'!AB62+'UCL LOANS'!AB63+'UNSECURED LOANS'!AB63+'CAR FINANCE'!AA61</f>
        <v>5959</v>
      </c>
      <c r="AB64" s="15">
        <f t="shared" si="70"/>
        <v>0.09793577227755317</v>
      </c>
      <c r="AC64" s="57"/>
      <c r="AD64" s="56"/>
      <c r="AE64" s="57"/>
      <c r="AF64" s="15"/>
      <c r="AG64" s="10">
        <f>+'SECURED LOANS'!AG44+'RETAIL CREDIT'!AH62+'UCL LOANS'!AG63+'UNSECURED LOANS'!AH63+'CAR FINANCE'!AG61</f>
        <v>44266559.45999996</v>
      </c>
      <c r="AH64" s="15">
        <f t="shared" si="71"/>
        <v>0.1162087757919309</v>
      </c>
      <c r="AI64" s="11">
        <f>+'SECURED LOANS'!AI44+'RETAIL CREDIT'!AJ62+'UCL LOANS'!AI63+'UNSECURED LOANS'!AJ63+'CAR FINANCE'!AI61</f>
        <v>6390</v>
      </c>
      <c r="AJ64" s="15">
        <f t="shared" si="72"/>
        <v>0.10213867843099646</v>
      </c>
      <c r="AK64" s="57"/>
      <c r="AL64" s="56"/>
      <c r="AM64" s="57"/>
      <c r="AN64" s="10">
        <f>+'SECURED LOANS'!AN44+'RETAIL CREDIT'!AO62+'UCL LOANS'!AN63+'UNSECURED LOANS'!AO63+'CAR FINANCE'!AN61</f>
        <v>44024829.00999998</v>
      </c>
      <c r="AO64" s="15">
        <f t="shared" si="49"/>
        <v>0.11581531217150345</v>
      </c>
      <c r="AP64" s="11">
        <f>+'SECURED LOANS'!AP44+'RETAIL CREDIT'!AQ62+'UCL LOANS'!AP63+'UNSECURED LOANS'!AQ63+'CAR FINANCE'!AP61</f>
        <v>6345</v>
      </c>
      <c r="AQ64" s="15">
        <f t="shared" si="50"/>
        <v>0.1020129264606579</v>
      </c>
      <c r="AR64" s="57"/>
      <c r="AS64" s="56"/>
      <c r="AT64" s="57"/>
      <c r="AU64" s="10">
        <f>+'SECURED LOANS'!AU44+'RETAIL CREDIT'!AV62+'UCL LOANS'!AU63+'UNSECURED LOANS'!AV63+'CAR FINANCE'!AU61</f>
        <v>41182991.34999996</v>
      </c>
      <c r="AV64" s="15">
        <f t="shared" si="51"/>
        <v>0.1078499427108357</v>
      </c>
      <c r="AW64" s="11">
        <f>+'SECURED LOANS'!AW44+'RETAIL CREDIT'!AX62+'UCL LOANS'!AW63+'UNSECURED LOANS'!AX63+'CAR FINANCE'!AW61</f>
        <v>5935</v>
      </c>
      <c r="AX64" s="15">
        <f t="shared" si="52"/>
        <v>0.09393052148452956</v>
      </c>
      <c r="AY64" s="57"/>
      <c r="AZ64" s="56"/>
      <c r="BA64" s="57"/>
      <c r="BB64" s="10">
        <f>+'SECURED LOANS'!BB44+'RETAIL CREDIT'!BC62+'UCL LOANS'!BB63+'UNSECURED LOANS'!BC63+'CAR FINANCE'!BB61</f>
        <v>37077950.240000024</v>
      </c>
      <c r="BC64" s="15">
        <f t="shared" si="53"/>
        <v>0.10274621325780378</v>
      </c>
      <c r="BD64" s="11">
        <f>+'SECURED LOANS'!BD44+'RETAIL CREDIT'!BE62+'UCL LOANS'!BD63+'UNSECURED LOANS'!BE63+'CAR FINANCE'!BD61</f>
        <v>5341</v>
      </c>
      <c r="BE64" s="15">
        <f t="shared" si="54"/>
        <v>0.08943851834485993</v>
      </c>
      <c r="BF64" s="57"/>
      <c r="BG64" s="56"/>
      <c r="BH64" s="57"/>
      <c r="BI64" s="10">
        <f>+'SECURED LOANS'!BI44+'RETAIL CREDIT'!BJ62+'UCL LOANS'!BI63+'UNSECURED LOANS'!BJ63+'CAR FINANCE'!BI61</f>
        <v>34205058.28000001</v>
      </c>
      <c r="BJ64" s="15">
        <f t="shared" si="55"/>
        <v>0.09478518067433724</v>
      </c>
      <c r="BK64" s="11">
        <f>+'SECURED LOANS'!BK44+'RETAIL CREDIT'!BL62+'UCL LOANS'!BK63+'UNSECURED LOANS'!BL63+'CAR FINANCE'!BK61</f>
        <v>4929</v>
      </c>
      <c r="BL64" s="15">
        <f t="shared" si="56"/>
        <v>0.08253931041411994</v>
      </c>
      <c r="BM64" s="57"/>
      <c r="BN64" s="56"/>
      <c r="BO64" s="57"/>
      <c r="BP64" s="10">
        <f>+'SECURED LOANS'!BP44+'RETAIL CREDIT'!BQ62+'UCL LOANS'!BP63+'UNSECURED LOANS'!BQ63+'CAR FINANCE'!BP61</f>
        <v>31344440.17999998</v>
      </c>
      <c r="BQ64" s="15">
        <f t="shared" si="57"/>
        <v>0.09221097430839456</v>
      </c>
      <c r="BR64" s="11">
        <f>+'SECURED LOANS'!BR44+'RETAIL CREDIT'!BS62+'UCL LOANS'!BR63+'UNSECURED LOANS'!BS63+'CAR FINANCE'!BR61</f>
        <v>4526</v>
      </c>
      <c r="BS64" s="15">
        <f t="shared" si="58"/>
        <v>0.09085981571075824</v>
      </c>
      <c r="BT64" s="57"/>
      <c r="BU64" s="56"/>
      <c r="BV64" s="57"/>
      <c r="BW64" s="10">
        <f>+'SECURED LOANS'!BW44+'RETAIL CREDIT'!BX62+'UCL LOANS'!BW63+'UNSECURED LOANS'!BX63+'CAR FINANCE'!BW61</f>
        <v>28831450.160000004</v>
      </c>
      <c r="BX64" s="15">
        <f t="shared" si="73"/>
        <v>0.08767175439250438</v>
      </c>
      <c r="BY64" s="11">
        <f>+'SECURED LOANS'!BY44+'RETAIL CREDIT'!BZ62+'UCL LOANS'!BY63+'UNSECURED LOANS'!BZ63+'CAR FINANCE'!BY61</f>
        <v>4158</v>
      </c>
      <c r="BZ64" s="15">
        <f t="shared" si="74"/>
        <v>0.09148514851485148</v>
      </c>
      <c r="CA64" s="57"/>
      <c r="CB64" s="56"/>
      <c r="CC64" s="57"/>
      <c r="CD64" s="10">
        <f>+'SECURED LOANS'!CD44+'RETAIL CREDIT'!CE62+'UCL LOANS'!CD63+'UNSECURED LOANS'!CE63+'CAR FINANCE'!CD61</f>
        <v>26143286.83999998</v>
      </c>
      <c r="CE64" s="15">
        <f t="shared" si="59"/>
        <v>0.07891445325246692</v>
      </c>
      <c r="CF64" s="11">
        <f>+'SECURED LOANS'!CF44+'RETAIL CREDIT'!CG62+'UCL LOANS'!CF63+'UNSECURED LOANS'!CG63+'CAR FINANCE'!CF61</f>
        <v>3775</v>
      </c>
      <c r="CG64" s="15">
        <f t="shared" si="60"/>
        <v>0.06742395827751879</v>
      </c>
      <c r="CH64" s="57"/>
      <c r="CI64" s="56"/>
      <c r="CJ64" s="57"/>
      <c r="CK64" s="10">
        <f>+'SECURED LOANS'!CK44+'RETAIL CREDIT'!CL62+'UCL LOANS'!CK63+'UNSECURED LOANS'!CL63+'CAR FINANCE'!CK61</f>
        <v>25590038.019999977</v>
      </c>
      <c r="CL64" s="15">
        <f t="shared" si="61"/>
        <v>0.07724445175609528</v>
      </c>
      <c r="CM64" s="11">
        <f>+'SECURED LOANS'!CM44+'RETAIL CREDIT'!CN62+'UCL LOANS'!CM63+'UNSECURED LOANS'!CN63+'CAR FINANCE'!CM61</f>
        <v>3699</v>
      </c>
      <c r="CN64" s="15">
        <f t="shared" si="62"/>
        <v>0.06606654878636875</v>
      </c>
      <c r="CO64" s="57"/>
      <c r="CP64" s="56"/>
      <c r="CQ64" s="57"/>
    </row>
    <row r="65" spans="1:95" ht="12.75">
      <c r="A65" s="9" t="s">
        <v>19</v>
      </c>
      <c r="B65" s="9"/>
      <c r="C65" s="9"/>
      <c r="D65" s="10">
        <f>+'SECURED LOANS'!D45+'RETAIL CREDIT'!D63+'UNSECURED LOANS'!D64+'CAR FINANCE'!D62+'UCL LOANS'!D64</f>
        <v>41553706.48</v>
      </c>
      <c r="E65" s="15">
        <f t="shared" si="63"/>
        <v>0.10868906640357619</v>
      </c>
      <c r="F65" s="11">
        <f>+'SECURED LOANS'!F45+'RETAIL CREDIT'!F63+'UNSECURED LOANS'!F64+'CAR FINANCE'!F62+'UCL LOANS'!F64</f>
        <v>4649</v>
      </c>
      <c r="G65" s="15">
        <f t="shared" si="64"/>
        <v>0.06798175065071799</v>
      </c>
      <c r="H65" s="15"/>
      <c r="I65" s="10">
        <f>+'SECURED LOANS'!J45+'RETAIL CREDIT'!J63+'UCL LOANS'!J64+'UNSECURED LOANS'!J64+'CAR FINANCE'!I62</f>
        <v>38105370.20000002</v>
      </c>
      <c r="J65" s="15">
        <f t="shared" si="65"/>
        <v>0.1074458230661085</v>
      </c>
      <c r="K65" s="11">
        <f>+'SECURED LOANS'!L45+'RETAIL CREDIT'!L63+'UCL LOANS'!L64+'UNSECURED LOANS'!L64+'CAR FINANCE'!K62</f>
        <v>4264</v>
      </c>
      <c r="L65" s="15">
        <f t="shared" si="66"/>
        <v>0.07011082245387878</v>
      </c>
      <c r="M65" s="57"/>
      <c r="N65" s="56"/>
      <c r="O65" s="57"/>
      <c r="P65" s="15"/>
      <c r="Q65" s="10">
        <f>+'SECURED LOANS'!R45+'RETAIL CREDIT'!R63+'UCL LOANS'!R64+'UNSECURED LOANS'!R64+'CAR FINANCE'!Q62</f>
        <v>37903740.91000005</v>
      </c>
      <c r="R65" s="15">
        <f t="shared" si="67"/>
        <v>0.10596224789017149</v>
      </c>
      <c r="S65" s="11">
        <f>+'SECURED LOANS'!T45+'RETAIL CREDIT'!T63+'UCL LOANS'!T64+'UNSECURED LOANS'!T64+'CAR FINANCE'!S62</f>
        <v>4246</v>
      </c>
      <c r="T65" s="15">
        <f t="shared" si="68"/>
        <v>0.06822637143683517</v>
      </c>
      <c r="U65" s="57"/>
      <c r="V65" s="56"/>
      <c r="W65" s="57"/>
      <c r="X65" s="15"/>
      <c r="Y65" s="10">
        <f>+'SECURED LOANS'!Y45+'RETAIL CREDIT'!Z63+'UCL LOANS'!Z64+'UNSECURED LOANS'!Z64+'CAR FINANCE'!Y62</f>
        <v>36443008.74000005</v>
      </c>
      <c r="Z65" s="15">
        <f t="shared" si="69"/>
        <v>0.10174721149988206</v>
      </c>
      <c r="AA65" s="11">
        <f>+'SECURED LOANS'!AA45+'RETAIL CREDIT'!AB63+'UCL LOANS'!AB64+'UNSECURED LOANS'!AB64+'CAR FINANCE'!AA62</f>
        <v>4082</v>
      </c>
      <c r="AB65" s="15">
        <f t="shared" si="70"/>
        <v>0.06708740097952207</v>
      </c>
      <c r="AC65" s="57"/>
      <c r="AD65" s="56"/>
      <c r="AE65" s="57"/>
      <c r="AF65" s="15"/>
      <c r="AG65" s="10">
        <f>+'SECURED LOANS'!AG45+'RETAIL CREDIT'!AH63+'UCL LOANS'!AG64+'UNSECURED LOANS'!AH64+'CAR FINANCE'!AG62</f>
        <v>38765248.45</v>
      </c>
      <c r="AH65" s="15">
        <f t="shared" si="71"/>
        <v>0.10176670878872389</v>
      </c>
      <c r="AI65" s="11">
        <f>+'SECURED LOANS'!AI45+'RETAIL CREDIT'!AJ63+'UCL LOANS'!AI64+'UNSECURED LOANS'!AJ64+'CAR FINANCE'!AI62</f>
        <v>4344</v>
      </c>
      <c r="AJ65" s="15">
        <f t="shared" si="72"/>
        <v>0.06943512036060229</v>
      </c>
      <c r="AK65" s="57"/>
      <c r="AL65" s="56"/>
      <c r="AM65" s="57"/>
      <c r="AN65" s="10">
        <f>+'SECURED LOANS'!AN45+'RETAIL CREDIT'!AO63+'UCL LOANS'!AN64+'UNSECURED LOANS'!AO64+'CAR FINANCE'!AN62</f>
        <v>37285654.84999997</v>
      </c>
      <c r="AO65" s="15">
        <f t="shared" si="49"/>
        <v>0.0980866900128292</v>
      </c>
      <c r="AP65" s="11">
        <f>+'SECURED LOANS'!AP45+'RETAIL CREDIT'!AQ63+'UCL LOANS'!AP64+'UNSECURED LOANS'!AQ64+'CAR FINANCE'!AP62</f>
        <v>4176</v>
      </c>
      <c r="AQ65" s="15">
        <f t="shared" si="50"/>
        <v>0.06714042252162448</v>
      </c>
      <c r="AR65" s="57"/>
      <c r="AS65" s="56"/>
      <c r="AT65" s="57"/>
      <c r="AU65" s="10">
        <f>+'SECURED LOANS'!AU45+'RETAIL CREDIT'!AV63+'UCL LOANS'!AU64+'UNSECURED LOANS'!AV64+'CAR FINANCE'!AU62</f>
        <v>35496953.950000025</v>
      </c>
      <c r="AV65" s="15">
        <f t="shared" si="51"/>
        <v>0.09295935832783257</v>
      </c>
      <c r="AW65" s="11">
        <f>+'SECURED LOANS'!AW45+'RETAIL CREDIT'!AX63+'UCL LOANS'!AW64+'UNSECURED LOANS'!AX64+'CAR FINANCE'!AW62</f>
        <v>3975</v>
      </c>
      <c r="AX65" s="15">
        <f t="shared" si="52"/>
        <v>0.06291050091002612</v>
      </c>
      <c r="AY65" s="57"/>
      <c r="AZ65" s="56"/>
      <c r="BA65" s="57"/>
      <c r="BB65" s="10">
        <f>+'SECURED LOANS'!BB45+'RETAIL CREDIT'!BC63+'UCL LOANS'!BB64+'UNSECURED LOANS'!BC64+'CAR FINANCE'!BB62</f>
        <v>32058493.630000014</v>
      </c>
      <c r="BC65" s="15">
        <f t="shared" si="53"/>
        <v>0.08883686400977066</v>
      </c>
      <c r="BD65" s="11">
        <f>+'SECURED LOANS'!BD45+'RETAIL CREDIT'!BE63+'UCL LOANS'!BD64+'UNSECURED LOANS'!BE64+'CAR FINANCE'!BD62</f>
        <v>3583</v>
      </c>
      <c r="BE65" s="15">
        <f t="shared" si="54"/>
        <v>0.059999665086993656</v>
      </c>
      <c r="BF65" s="57"/>
      <c r="BG65" s="56"/>
      <c r="BH65" s="57"/>
      <c r="BI65" s="10">
        <f>+'SECURED LOANS'!BI45+'RETAIL CREDIT'!BJ63+'UCL LOANS'!BI64+'UNSECURED LOANS'!BJ64+'CAR FINANCE'!BI62</f>
        <v>29290625.469999976</v>
      </c>
      <c r="BJ65" s="15">
        <f t="shared" si="55"/>
        <v>0.08116686147737477</v>
      </c>
      <c r="BK65" s="11">
        <f>+'SECURED LOANS'!BK45+'RETAIL CREDIT'!BL63+'UCL LOANS'!BK64+'UNSECURED LOANS'!BL64+'CAR FINANCE'!BK62</f>
        <v>3271</v>
      </c>
      <c r="BL65" s="15">
        <f t="shared" si="56"/>
        <v>0.05477502218798667</v>
      </c>
      <c r="BM65" s="57"/>
      <c r="BN65" s="56"/>
      <c r="BO65" s="57"/>
      <c r="BP65" s="10">
        <f>+'SECURED LOANS'!BP45+'RETAIL CREDIT'!BQ63+'UCL LOANS'!BP64+'UNSECURED LOANS'!BQ64+'CAR FINANCE'!BP62</f>
        <v>27419802.090000004</v>
      </c>
      <c r="BQ65" s="15">
        <f t="shared" si="57"/>
        <v>0.08066523605279</v>
      </c>
      <c r="BR65" s="11">
        <f>+'SECURED LOANS'!BR45+'RETAIL CREDIT'!BS63+'UCL LOANS'!BR64+'UNSECURED LOANS'!BS64+'CAR FINANCE'!BR62</f>
        <v>3057</v>
      </c>
      <c r="BS65" s="15">
        <f t="shared" si="58"/>
        <v>0.0613695220123261</v>
      </c>
      <c r="BT65" s="57"/>
      <c r="BU65" s="56"/>
      <c r="BV65" s="57"/>
      <c r="BW65" s="10">
        <f>+'SECURED LOANS'!BW45+'RETAIL CREDIT'!BX63+'UCL LOANS'!BW64+'UNSECURED LOANS'!BX64+'CAR FINANCE'!BW62</f>
        <v>25367369.630000025</v>
      </c>
      <c r="BX65" s="15">
        <f t="shared" si="73"/>
        <v>0.07713804846593386</v>
      </c>
      <c r="BY65" s="11">
        <f>+'SECURED LOANS'!BY45+'RETAIL CREDIT'!BZ63+'UCL LOANS'!BY64+'UNSECURED LOANS'!BZ64+'CAR FINANCE'!BY62</f>
        <v>2823</v>
      </c>
      <c r="BZ65" s="15">
        <f t="shared" si="74"/>
        <v>0.062112211221122114</v>
      </c>
      <c r="CA65" s="57"/>
      <c r="CB65" s="56"/>
      <c r="CC65" s="57"/>
      <c r="CD65" s="10">
        <f>+'SECURED LOANS'!CD45+'RETAIL CREDIT'!CE63+'UCL LOANS'!CD64+'UNSECURED LOANS'!CE64+'CAR FINANCE'!CD62</f>
        <v>23776071.04000001</v>
      </c>
      <c r="CE65" s="15">
        <f t="shared" si="59"/>
        <v>0.07176892707089368</v>
      </c>
      <c r="CF65" s="11">
        <f>+'SECURED LOANS'!CF45+'RETAIL CREDIT'!CG63+'UCL LOANS'!CF64+'UNSECURED LOANS'!CG64+'CAR FINANCE'!CF62</f>
        <v>2642</v>
      </c>
      <c r="CG65" s="15">
        <f t="shared" si="60"/>
        <v>0.047187840468663485</v>
      </c>
      <c r="CH65" s="57"/>
      <c r="CI65" s="56"/>
      <c r="CJ65" s="57"/>
      <c r="CK65" s="10">
        <f>+'SECURED LOANS'!CK45+'RETAIL CREDIT'!CL63+'UCL LOANS'!CK64+'UNSECURED LOANS'!CL64+'CAR FINANCE'!CK62</f>
        <v>23003095.700000003</v>
      </c>
      <c r="CL65" s="15">
        <f t="shared" si="61"/>
        <v>0.06943567315729586</v>
      </c>
      <c r="CM65" s="11">
        <f>+'SECURED LOANS'!CM45+'RETAIL CREDIT'!CN63+'UCL LOANS'!CM64+'UNSECURED LOANS'!CN64+'CAR FINANCE'!CM62</f>
        <v>2561</v>
      </c>
      <c r="CN65" s="15">
        <f t="shared" si="62"/>
        <v>0.04574112772151673</v>
      </c>
      <c r="CO65" s="57"/>
      <c r="CP65" s="56"/>
      <c r="CQ65" s="57"/>
    </row>
    <row r="66" spans="1:95" ht="12.75">
      <c r="A66" s="9" t="s">
        <v>20</v>
      </c>
      <c r="B66" s="9"/>
      <c r="C66" s="9"/>
      <c r="D66" s="10">
        <f>+'SECURED LOANS'!D46+'RETAIL CREDIT'!D64+'UNSECURED LOANS'!D65+'CAR FINANCE'!D63+'UCL LOANS'!D65</f>
        <v>38613505.08999997</v>
      </c>
      <c r="E66" s="15">
        <f t="shared" si="63"/>
        <v>0.10099859132474273</v>
      </c>
      <c r="F66" s="11">
        <f>+'SECURED LOANS'!F46+'RETAIL CREDIT'!F64+'UNSECURED LOANS'!F65+'CAR FINANCE'!F63+'UCL LOANS'!F65</f>
        <v>3508</v>
      </c>
      <c r="G66" s="15">
        <f t="shared" si="64"/>
        <v>0.0512970491036177</v>
      </c>
      <c r="H66" s="15"/>
      <c r="I66" s="10">
        <f>+'SECURED LOANS'!J46+'RETAIL CREDIT'!J64+'UCL LOANS'!J65+'UNSECURED LOANS'!J65+'CAR FINANCE'!I63</f>
        <v>37034738.04000002</v>
      </c>
      <c r="J66" s="15">
        <f t="shared" si="65"/>
        <v>0.10442695845389054</v>
      </c>
      <c r="K66" s="11">
        <f>+'SECURED LOANS'!L46+'RETAIL CREDIT'!L64+'UCL LOANS'!L65+'UNSECURED LOANS'!L65+'CAR FINANCE'!K63</f>
        <v>3366</v>
      </c>
      <c r="L66" s="15">
        <f t="shared" si="66"/>
        <v>0.05534545693709099</v>
      </c>
      <c r="M66" s="57"/>
      <c r="N66" s="56"/>
      <c r="O66" s="57"/>
      <c r="P66" s="15"/>
      <c r="Q66" s="10">
        <f>+'SECURED LOANS'!R46+'RETAIL CREDIT'!R64+'UCL LOANS'!R65+'UNSECURED LOANS'!R65+'CAR FINANCE'!Q63</f>
        <v>37190458.38000002</v>
      </c>
      <c r="R66" s="15">
        <f t="shared" si="67"/>
        <v>0.10396822253950613</v>
      </c>
      <c r="S66" s="11">
        <f>+'SECURED LOANS'!T46+'RETAIL CREDIT'!T64+'UCL LOANS'!T65+'UNSECURED LOANS'!T65+'CAR FINANCE'!S63</f>
        <v>3384</v>
      </c>
      <c r="T66" s="15">
        <f t="shared" si="68"/>
        <v>0.0543754217951602</v>
      </c>
      <c r="U66" s="57"/>
      <c r="V66" s="56"/>
      <c r="W66" s="57"/>
      <c r="X66" s="15"/>
      <c r="Y66" s="10">
        <f>+'SECURED LOANS'!Y46+'RETAIL CREDIT'!Z64+'UCL LOANS'!Z65+'UNSECURED LOANS'!Z65+'CAR FINANCE'!Y63</f>
        <v>37078926.34</v>
      </c>
      <c r="Z66" s="15">
        <f t="shared" si="69"/>
        <v>0.10352266431732945</v>
      </c>
      <c r="AA66" s="11">
        <f>+'SECURED LOANS'!AA46+'RETAIL CREDIT'!AB64+'UCL LOANS'!AB65+'UNSECURED LOANS'!AB65+'CAR FINANCE'!AA63</f>
        <v>3371</v>
      </c>
      <c r="AB66" s="15">
        <f t="shared" si="70"/>
        <v>0.055402162837327025</v>
      </c>
      <c r="AC66" s="57"/>
      <c r="AD66" s="56"/>
      <c r="AE66" s="57"/>
      <c r="AF66" s="15"/>
      <c r="AG66" s="10">
        <f>+'SECURED LOANS'!AG46+'RETAIL CREDIT'!AH64+'UCL LOANS'!AG65+'UNSECURED LOANS'!AH65+'CAR FINANCE'!AG63</f>
        <v>39566575.56999998</v>
      </c>
      <c r="AH66" s="15">
        <f t="shared" si="71"/>
        <v>0.10387035643516492</v>
      </c>
      <c r="AI66" s="11">
        <f>+'SECURED LOANS'!AI46+'RETAIL CREDIT'!AJ64+'UCL LOANS'!AI65+'UNSECURED LOANS'!AJ65+'CAR FINANCE'!AI63</f>
        <v>3597</v>
      </c>
      <c r="AJ66" s="15">
        <f t="shared" si="72"/>
        <v>0.057494964994725235</v>
      </c>
      <c r="AK66" s="57"/>
      <c r="AL66" s="56"/>
      <c r="AM66" s="57"/>
      <c r="AN66" s="10">
        <f>+'SECURED LOANS'!AN46+'RETAIL CREDIT'!AO64+'UCL LOANS'!AN65+'UNSECURED LOANS'!AO65+'CAR FINANCE'!AN63</f>
        <v>39394981.67000001</v>
      </c>
      <c r="AO66" s="15">
        <f t="shared" si="49"/>
        <v>0.10363565748467422</v>
      </c>
      <c r="AP66" s="11">
        <f>+'SECURED LOANS'!AP46+'RETAIL CREDIT'!AQ64+'UCL LOANS'!AP65+'UNSECURED LOANS'!AQ65+'CAR FINANCE'!AP63</f>
        <v>3583</v>
      </c>
      <c r="AQ66" s="15">
        <f t="shared" si="50"/>
        <v>0.05760635390205473</v>
      </c>
      <c r="AR66" s="57"/>
      <c r="AS66" s="56"/>
      <c r="AT66" s="57"/>
      <c r="AU66" s="10">
        <f>+'SECURED LOANS'!AU46+'RETAIL CREDIT'!AV64+'UCL LOANS'!AU65+'UNSECURED LOANS'!AV65+'CAR FINANCE'!AU63</f>
        <v>37216852.09999997</v>
      </c>
      <c r="AV66" s="15">
        <f t="shared" si="51"/>
        <v>0.09746342446935065</v>
      </c>
      <c r="AW66" s="11">
        <f>+'SECURED LOANS'!AW46+'RETAIL CREDIT'!AX64+'UCL LOANS'!AW65+'UNSECURED LOANS'!AX65+'CAR FINANCE'!AW63</f>
        <v>3388</v>
      </c>
      <c r="AX66" s="15">
        <f t="shared" si="52"/>
        <v>0.05362032127878452</v>
      </c>
      <c r="AY66" s="57"/>
      <c r="AZ66" s="56"/>
      <c r="BA66" s="57"/>
      <c r="BB66" s="10">
        <f>+'SECURED LOANS'!BB46+'RETAIL CREDIT'!BC64+'UCL LOANS'!BB65+'UNSECURED LOANS'!BC65+'CAR FINANCE'!BB63</f>
        <v>33540806.330000028</v>
      </c>
      <c r="BC66" s="15">
        <f t="shared" si="53"/>
        <v>0.09294448095739383</v>
      </c>
      <c r="BD66" s="11">
        <f>+'SECURED LOANS'!BD46+'RETAIL CREDIT'!BE64+'UCL LOANS'!BD65+'UNSECURED LOANS'!BE65+'CAR FINANCE'!BD63</f>
        <v>3055</v>
      </c>
      <c r="BE66" s="15">
        <f t="shared" si="54"/>
        <v>0.051157961719443375</v>
      </c>
      <c r="BF66" s="57"/>
      <c r="BG66" s="56"/>
      <c r="BH66" s="57"/>
      <c r="BI66" s="10">
        <f>+'SECURED LOANS'!BI46+'RETAIL CREDIT'!BJ64+'UCL LOANS'!BI65+'UNSECURED LOANS'!BJ65+'CAR FINANCE'!BI63</f>
        <v>31456318.01000001</v>
      </c>
      <c r="BJ66" s="15">
        <f t="shared" si="55"/>
        <v>0.08716818318273768</v>
      </c>
      <c r="BK66" s="11">
        <f>+'SECURED LOANS'!BK46+'RETAIL CREDIT'!BL64+'UCL LOANS'!BK65+'UNSECURED LOANS'!BL65+'CAR FINANCE'!BK63</f>
        <v>2866</v>
      </c>
      <c r="BL66" s="15">
        <f t="shared" si="56"/>
        <v>0.04799303380946799</v>
      </c>
      <c r="BM66" s="57"/>
      <c r="BN66" s="56"/>
      <c r="BO66" s="57"/>
      <c r="BP66" s="10">
        <f>+'SECURED LOANS'!BP46+'RETAIL CREDIT'!BQ64+'UCL LOANS'!BP65+'UNSECURED LOANS'!BQ65+'CAR FINANCE'!BP63</f>
        <v>29861625.800000004</v>
      </c>
      <c r="BQ66" s="15">
        <f t="shared" si="57"/>
        <v>0.0878487410729916</v>
      </c>
      <c r="BR66" s="11">
        <f>+'SECURED LOANS'!BR46+'RETAIL CREDIT'!BS64+'UCL LOANS'!BR65+'UNSECURED LOANS'!BS65+'CAR FINANCE'!BR63</f>
        <v>2715</v>
      </c>
      <c r="BS66" s="15">
        <f t="shared" si="58"/>
        <v>0.05450384437797362</v>
      </c>
      <c r="BT66" s="57"/>
      <c r="BU66" s="56"/>
      <c r="BV66" s="57"/>
      <c r="BW66" s="10">
        <f>+'SECURED LOANS'!BW46+'RETAIL CREDIT'!BX64+'UCL LOANS'!BW65+'UNSECURED LOANS'!BX65+'CAR FINANCE'!BW63</f>
        <v>27919146.819999997</v>
      </c>
      <c r="BX66" s="15">
        <f t="shared" si="73"/>
        <v>0.08489758819857117</v>
      </c>
      <c r="BY66" s="11">
        <f>+'SECURED LOANS'!BY46+'RETAIL CREDIT'!BZ64+'UCL LOANS'!BY65+'UNSECURED LOANS'!BZ65+'CAR FINANCE'!BY63</f>
        <v>2539</v>
      </c>
      <c r="BZ66" s="15">
        <f t="shared" si="74"/>
        <v>0.055863586358635864</v>
      </c>
      <c r="CA66" s="57"/>
      <c r="CB66" s="56"/>
      <c r="CC66" s="57"/>
      <c r="CD66" s="10">
        <f>+'SECURED LOANS'!CD46+'RETAIL CREDIT'!CE64+'UCL LOANS'!CD65+'UNSECURED LOANS'!CE65+'CAR FINANCE'!CD63</f>
        <v>25494739.589999985</v>
      </c>
      <c r="CE66" s="15">
        <f t="shared" si="59"/>
        <v>0.07695679001159873</v>
      </c>
      <c r="CF66" s="11">
        <f>+'SECURED LOANS'!CF46+'RETAIL CREDIT'!CG64+'UCL LOANS'!CF65+'UNSECURED LOANS'!CG65+'CAR FINANCE'!CF63</f>
        <v>2320</v>
      </c>
      <c r="CG66" s="15">
        <f t="shared" si="60"/>
        <v>0.04143671078247513</v>
      </c>
      <c r="CH66" s="57"/>
      <c r="CI66" s="56"/>
      <c r="CJ66" s="57"/>
      <c r="CK66" s="10">
        <f>+'SECURED LOANS'!CK46+'RETAIL CREDIT'!CL64+'UCL LOANS'!CK65+'UNSECURED LOANS'!CL65+'CAR FINANCE'!CK63</f>
        <v>24387235.999999996</v>
      </c>
      <c r="CL66" s="15">
        <f t="shared" si="61"/>
        <v>0.0736137505225368</v>
      </c>
      <c r="CM66" s="11">
        <f>+'SECURED LOANS'!CM46+'RETAIL CREDIT'!CN64+'UCL LOANS'!CM65+'UNSECURED LOANS'!CN65+'CAR FINANCE'!CM63</f>
        <v>2226</v>
      </c>
      <c r="CN66" s="15">
        <f t="shared" si="62"/>
        <v>0.039757809569736915</v>
      </c>
      <c r="CO66" s="57"/>
      <c r="CP66" s="56"/>
      <c r="CQ66" s="57"/>
    </row>
    <row r="67" spans="1:95" ht="12.75">
      <c r="A67" s="9" t="s">
        <v>21</v>
      </c>
      <c r="B67" s="9"/>
      <c r="C67" s="9"/>
      <c r="D67" s="10">
        <f>+'SECURED LOANS'!D47+'RETAIL CREDIT'!D65+'UNSECURED LOANS'!D66+'CAR FINANCE'!D64+'UCL LOANS'!D66</f>
        <v>51074668.04000003</v>
      </c>
      <c r="E67" s="15">
        <f t="shared" si="63"/>
        <v>0.13359236651517528</v>
      </c>
      <c r="F67" s="11">
        <f>+'SECURED LOANS'!F47+'RETAIL CREDIT'!F65+'UNSECURED LOANS'!F66+'CAR FINANCE'!F64+'UCL LOANS'!F66</f>
        <v>3907</v>
      </c>
      <c r="G67" s="15">
        <f t="shared" si="64"/>
        <v>0.05713157663849326</v>
      </c>
      <c r="H67" s="15"/>
      <c r="I67" s="10">
        <f>+'SECURED LOANS'!J47+'RETAIL CREDIT'!J65+'UCL LOANS'!J66+'UNSECURED LOANS'!J66+'CAR FINANCE'!I64</f>
        <v>49794521.28000003</v>
      </c>
      <c r="J67" s="15">
        <f t="shared" si="65"/>
        <v>0.1404057563286042</v>
      </c>
      <c r="K67" s="11">
        <f>+'SECURED LOANS'!L47+'RETAIL CREDIT'!L65+'UCL LOANS'!L66+'UNSECURED LOANS'!L66+'CAR FINANCE'!K64</f>
        <v>3809</v>
      </c>
      <c r="L67" s="15">
        <f t="shared" si="66"/>
        <v>0.06262948469203196</v>
      </c>
      <c r="M67" s="57"/>
      <c r="N67" s="56"/>
      <c r="O67" s="57"/>
      <c r="P67" s="15"/>
      <c r="Q67" s="10">
        <f>+'SECURED LOANS'!R47+'RETAIL CREDIT'!R65+'UCL LOANS'!R66+'UNSECURED LOANS'!R66+'CAR FINANCE'!Q64</f>
        <v>48752259.10000008</v>
      </c>
      <c r="R67" s="15">
        <f t="shared" si="67"/>
        <v>0.13628995027763002</v>
      </c>
      <c r="S67" s="11">
        <f>+'SECURED LOANS'!T47+'RETAIL CREDIT'!T65+'UCL LOANS'!T66+'UNSECURED LOANS'!T66+'CAR FINANCE'!S64</f>
        <v>3742</v>
      </c>
      <c r="T67" s="15">
        <f t="shared" si="68"/>
        <v>0.060127904360960244</v>
      </c>
      <c r="U67" s="57"/>
      <c r="V67" s="56"/>
      <c r="W67" s="57"/>
      <c r="X67" s="15"/>
      <c r="Y67" s="10">
        <f>+'SECURED LOANS'!Y47+'RETAIL CREDIT'!Z65+'UCL LOANS'!Z66+'UNSECURED LOANS'!Z66+'CAR FINANCE'!Y64</f>
        <v>45794101.38000013</v>
      </c>
      <c r="Z67" s="15">
        <f t="shared" si="69"/>
        <v>0.12785503391885716</v>
      </c>
      <c r="AA67" s="11">
        <f>+'SECURED LOANS'!AA47+'RETAIL CREDIT'!AB65+'UCL LOANS'!AB66+'UNSECURED LOANS'!AB66+'CAR FINANCE'!AA64</f>
        <v>3521</v>
      </c>
      <c r="AB67" s="15">
        <f t="shared" si="70"/>
        <v>0.057867402951714164</v>
      </c>
      <c r="AC67" s="57"/>
      <c r="AD67" s="56"/>
      <c r="AE67" s="57"/>
      <c r="AF67" s="15"/>
      <c r="AG67" s="10">
        <f>+'SECURED LOANS'!AG47+'RETAIL CREDIT'!AH65+'UCL LOANS'!AG66+'UNSECURED LOANS'!AH66+'CAR FINANCE'!AG64</f>
        <v>44027468.39000001</v>
      </c>
      <c r="AH67" s="15">
        <f t="shared" si="71"/>
        <v>0.1155811128136824</v>
      </c>
      <c r="AI67" s="11">
        <f>+'SECURED LOANS'!AI47+'RETAIL CREDIT'!AJ65+'UCL LOANS'!AI66+'UNSECURED LOANS'!AJ66+'CAR FINANCE'!AI64</f>
        <v>3391</v>
      </c>
      <c r="AJ67" s="15">
        <f t="shared" si="72"/>
        <v>0.05420223138646463</v>
      </c>
      <c r="AK67" s="57"/>
      <c r="AL67" s="56"/>
      <c r="AM67" s="57"/>
      <c r="AN67" s="10">
        <f>+'SECURED LOANS'!AN47+'RETAIL CREDIT'!AO65+'UCL LOANS'!AN66+'UNSECURED LOANS'!AO66+'CAR FINANCE'!AN64</f>
        <v>40507757.93000008</v>
      </c>
      <c r="AO67" s="15">
        <f t="shared" si="49"/>
        <v>0.10656301763182374</v>
      </c>
      <c r="AP67" s="11">
        <f>+'SECURED LOANS'!AP47+'RETAIL CREDIT'!AQ65+'UCL LOANS'!AP66+'UNSECURED LOANS'!AQ66+'CAR FINANCE'!AP64</f>
        <v>3122</v>
      </c>
      <c r="AQ67" s="15">
        <f t="shared" si="50"/>
        <v>0.050194540017363905</v>
      </c>
      <c r="AR67" s="57"/>
      <c r="AS67" s="56"/>
      <c r="AT67" s="57"/>
      <c r="AU67" s="10">
        <f>+'SECURED LOANS'!AU47+'RETAIL CREDIT'!AV65+'UCL LOANS'!AU66+'UNSECURED LOANS'!AV66+'CAR FINANCE'!AU64</f>
        <v>37397634.490000054</v>
      </c>
      <c r="AV67" s="15">
        <f t="shared" si="51"/>
        <v>0.09793685706289237</v>
      </c>
      <c r="AW67" s="11">
        <f>+'SECURED LOANS'!AW47+'RETAIL CREDIT'!AX65+'UCL LOANS'!AW66+'UNSECURED LOANS'!AX66+'CAR FINANCE'!AW64</f>
        <v>2885</v>
      </c>
      <c r="AX67" s="15">
        <f t="shared" si="52"/>
        <v>0.045659571100735936</v>
      </c>
      <c r="AY67" s="57"/>
      <c r="AZ67" s="56"/>
      <c r="BA67" s="57"/>
      <c r="BB67" s="10">
        <f>+'SECURED LOANS'!BB47+'RETAIL CREDIT'!BC65+'UCL LOANS'!BB66+'UNSECURED LOANS'!BC66+'CAR FINANCE'!BB64</f>
        <v>33189985.249999948</v>
      </c>
      <c r="BC67" s="15">
        <f t="shared" si="53"/>
        <v>0.09197232534286541</v>
      </c>
      <c r="BD67" s="11">
        <f>+'SECURED LOANS'!BD47+'RETAIL CREDIT'!BE65+'UCL LOANS'!BD66+'UNSECURED LOANS'!BE66+'CAR FINANCE'!BD64</f>
        <v>2563</v>
      </c>
      <c r="BE67" s="15">
        <f t="shared" si="54"/>
        <v>0.04291910176331698</v>
      </c>
      <c r="BF67" s="57"/>
      <c r="BG67" s="56"/>
      <c r="BH67" s="57"/>
      <c r="BI67" s="10">
        <f>+'SECURED LOANS'!BI47+'RETAIL CREDIT'!BJ65+'UCL LOANS'!BI66+'UNSECURED LOANS'!BJ66+'CAR FINANCE'!BI64</f>
        <v>29741568.889999982</v>
      </c>
      <c r="BJ67" s="15">
        <f t="shared" si="55"/>
        <v>0.08241646477255747</v>
      </c>
      <c r="BK67" s="11">
        <f>+'SECURED LOANS'!BK47+'RETAIL CREDIT'!BL65+'UCL LOANS'!BK66+'UNSECURED LOANS'!BL66+'CAR FINANCE'!BK64</f>
        <v>2297</v>
      </c>
      <c r="BL67" s="15">
        <f t="shared" si="56"/>
        <v>0.03846475877890718</v>
      </c>
      <c r="BM67" s="57"/>
      <c r="BN67" s="56"/>
      <c r="BO67" s="57"/>
      <c r="BP67" s="10">
        <f>+'SECURED LOANS'!BP47+'RETAIL CREDIT'!BQ65+'UCL LOANS'!BP66+'UNSECURED LOANS'!BQ66+'CAR FINANCE'!BP64</f>
        <v>27209605.879999984</v>
      </c>
      <c r="BQ67" s="15">
        <f t="shared" si="57"/>
        <v>0.0800468680995349</v>
      </c>
      <c r="BR67" s="11">
        <f>+'SECURED LOANS'!BR47+'RETAIL CREDIT'!BS65+'UCL LOANS'!BR66+'UNSECURED LOANS'!BS66+'CAR FINANCE'!BR64</f>
        <v>2096</v>
      </c>
      <c r="BS67" s="15">
        <f t="shared" si="58"/>
        <v>0.04207736936141168</v>
      </c>
      <c r="BT67" s="57"/>
      <c r="BU67" s="56"/>
      <c r="BV67" s="57"/>
      <c r="BW67" s="10">
        <f>+'SECURED LOANS'!BW47+'RETAIL CREDIT'!BX65+'UCL LOANS'!BW66+'UNSECURED LOANS'!BX66+'CAR FINANCE'!BW64</f>
        <v>25709480.099999983</v>
      </c>
      <c r="BX67" s="15">
        <f t="shared" si="73"/>
        <v>0.07817835080710962</v>
      </c>
      <c r="BY67" s="11">
        <f>+'SECURED LOANS'!BY47+'RETAIL CREDIT'!BZ65+'UCL LOANS'!BY66+'UNSECURED LOANS'!BZ66+'CAR FINANCE'!BY64</f>
        <v>1974</v>
      </c>
      <c r="BZ67" s="15">
        <f t="shared" si="74"/>
        <v>0.043432343234323434</v>
      </c>
      <c r="CA67" s="57"/>
      <c r="CB67" s="56"/>
      <c r="CC67" s="57"/>
      <c r="CD67" s="10">
        <f>+'SECURED LOANS'!CD47+'RETAIL CREDIT'!CE65+'UCL LOANS'!CD66+'UNSECURED LOANS'!CE66+'CAR FINANCE'!CD64</f>
        <v>24523405.929999985</v>
      </c>
      <c r="CE67" s="15">
        <f t="shared" si="59"/>
        <v>0.07402478436235736</v>
      </c>
      <c r="CF67" s="11">
        <f>+'SECURED LOANS'!CF47+'RETAIL CREDIT'!CG65+'UCL LOANS'!CF66+'UNSECURED LOANS'!CG66+'CAR FINANCE'!CF64</f>
        <v>1882</v>
      </c>
      <c r="CG67" s="15">
        <f t="shared" si="60"/>
        <v>0.03361374555716302</v>
      </c>
      <c r="CH67" s="57"/>
      <c r="CI67" s="56"/>
      <c r="CJ67" s="57"/>
      <c r="CK67" s="10">
        <f>+'SECURED LOANS'!CK47+'RETAIL CREDIT'!CL65+'UCL LOANS'!CK66+'UNSECURED LOANS'!CL66+'CAR FINANCE'!CK64</f>
        <v>24029172.269999992</v>
      </c>
      <c r="CL67" s="15">
        <f t="shared" si="61"/>
        <v>0.07253292225272429</v>
      </c>
      <c r="CM67" s="11">
        <f>+'SECURED LOANS'!CM47+'RETAIL CREDIT'!CN65+'UCL LOANS'!CM66+'UNSECURED LOANS'!CN66+'CAR FINANCE'!CM64</f>
        <v>1842</v>
      </c>
      <c r="CN67" s="15">
        <f t="shared" si="62"/>
        <v>0.032899319509189305</v>
      </c>
      <c r="CO67" s="57"/>
      <c r="CP67" s="56"/>
      <c r="CQ67" s="57"/>
    </row>
    <row r="68" spans="1:95" ht="12.75">
      <c r="A68" s="9" t="s">
        <v>22</v>
      </c>
      <c r="B68" s="9"/>
      <c r="C68" s="9"/>
      <c r="D68" s="10">
        <f>+'SECURED LOANS'!D48+'RETAIL CREDIT'!D66+'UNSECURED LOANS'!D67+'CAR FINANCE'!D65+'UCL LOANS'!D67</f>
        <v>28174218.620000027</v>
      </c>
      <c r="E68" s="15">
        <f t="shared" si="63"/>
        <v>0.07369329424155993</v>
      </c>
      <c r="F68" s="11">
        <f>+'SECURED LOANS'!F48+'RETAIL CREDIT'!F66+'UNSECURED LOANS'!F67+'CAR FINANCE'!F65+'UCL LOANS'!F67</f>
        <v>1918</v>
      </c>
      <c r="G68" s="15">
        <f t="shared" si="64"/>
        <v>0.028046676220279003</v>
      </c>
      <c r="H68" s="15"/>
      <c r="I68" s="10">
        <f>+'SECURED LOANS'!J48+'RETAIL CREDIT'!J66+'UCL LOANS'!J67+'UNSECURED LOANS'!J67+'CAR FINANCE'!I65</f>
        <v>24429396.52000001</v>
      </c>
      <c r="J68" s="15">
        <f t="shared" si="65"/>
        <v>0.06888364034578325</v>
      </c>
      <c r="K68" s="11">
        <f>+'SECURED LOANS'!L48+'RETAIL CREDIT'!L66+'UCL LOANS'!L67+'UNSECURED LOANS'!L67+'CAR FINANCE'!K65</f>
        <v>1651</v>
      </c>
      <c r="L68" s="15">
        <f t="shared" si="66"/>
        <v>0.027146568450129895</v>
      </c>
      <c r="M68" s="57"/>
      <c r="N68" s="56"/>
      <c r="O68" s="57"/>
      <c r="P68" s="15"/>
      <c r="Q68" s="10">
        <f>+'SECURED LOANS'!R48+'RETAIL CREDIT'!R66+'UCL LOANS'!R67+'UNSECURED LOANS'!R67+'CAR FINANCE'!Q65</f>
        <v>24548697.320000008</v>
      </c>
      <c r="R68" s="15">
        <f t="shared" si="67"/>
        <v>0.06862739899418087</v>
      </c>
      <c r="S68" s="11">
        <f>+'SECURED LOANS'!T48+'RETAIL CREDIT'!T66+'UCL LOANS'!T67+'UNSECURED LOANS'!T67+'CAR FINANCE'!S65</f>
        <v>1652</v>
      </c>
      <c r="T68" s="15">
        <f t="shared" si="68"/>
        <v>0.026544975415367805</v>
      </c>
      <c r="U68" s="57"/>
      <c r="V68" s="56"/>
      <c r="W68" s="57"/>
      <c r="X68" s="15"/>
      <c r="Y68" s="10">
        <f>+'SECURED LOANS'!Y48+'RETAIL CREDIT'!Z66+'UCL LOANS'!Z67+'UNSECURED LOANS'!Z67+'CAR FINANCE'!Y65</f>
        <v>24801357.530000005</v>
      </c>
      <c r="Z68" s="15">
        <f t="shared" si="69"/>
        <v>0.06924425444925818</v>
      </c>
      <c r="AA68" s="11">
        <f>+'SECURED LOANS'!AA48+'RETAIL CREDIT'!AB66+'UCL LOANS'!AB67+'UNSECURED LOANS'!AB67+'CAR FINANCE'!AA65</f>
        <v>1662</v>
      </c>
      <c r="AB68" s="15">
        <f t="shared" si="70"/>
        <v>0.027314860467409524</v>
      </c>
      <c r="AC68" s="57"/>
      <c r="AD68" s="56"/>
      <c r="AE68" s="57"/>
      <c r="AF68" s="15"/>
      <c r="AG68" s="10">
        <f>+'SECURED LOANS'!AG48+'RETAIL CREDIT'!AH66+'UCL LOANS'!AG67+'UNSECURED LOANS'!AH67+'CAR FINANCE'!AG65</f>
        <v>26042773.77</v>
      </c>
      <c r="AH68" s="15">
        <f t="shared" si="71"/>
        <v>0.06836760965741229</v>
      </c>
      <c r="AI68" s="11">
        <f>+'SECURED LOANS'!AI48+'RETAIL CREDIT'!AJ66+'UCL LOANS'!AI67+'UNSECURED LOANS'!AJ67+'CAR FINANCE'!AI65</f>
        <v>1741</v>
      </c>
      <c r="AJ68" s="15">
        <f t="shared" si="72"/>
        <v>0.027828394232920942</v>
      </c>
      <c r="AK68" s="57"/>
      <c r="AL68" s="56"/>
      <c r="AM68" s="57"/>
      <c r="AN68" s="10">
        <f>+'SECURED LOANS'!AN48+'RETAIL CREDIT'!AO66+'UCL LOANS'!AN67+'UNSECURED LOANS'!AO67+'CAR FINANCE'!AN65</f>
        <v>25269219.87</v>
      </c>
      <c r="AO68" s="15">
        <f t="shared" si="49"/>
        <v>0.06647527437096136</v>
      </c>
      <c r="AP68" s="11">
        <f>+'SECURED LOANS'!AP48+'RETAIL CREDIT'!AQ66+'UCL LOANS'!AP67+'UNSECURED LOANS'!AQ67+'CAR FINANCE'!AP65</f>
        <v>1692</v>
      </c>
      <c r="AQ68" s="15">
        <f t="shared" si="50"/>
        <v>0.02720344705617544</v>
      </c>
      <c r="AR68" s="57"/>
      <c r="AS68" s="56"/>
      <c r="AT68" s="57"/>
      <c r="AU68" s="10">
        <f>+'SECURED LOANS'!AU48+'RETAIL CREDIT'!AV66+'UCL LOANS'!AU67+'UNSECURED LOANS'!AV67+'CAR FINANCE'!AU65</f>
        <v>24295292.980000004</v>
      </c>
      <c r="AV68" s="15">
        <f t="shared" si="51"/>
        <v>0.06362446898933125</v>
      </c>
      <c r="AW68" s="11">
        <f>+'SECURED LOANS'!AW48+'RETAIL CREDIT'!AX66+'UCL LOANS'!AW67+'UNSECURED LOANS'!AX67+'CAR FINANCE'!AW65</f>
        <v>1630</v>
      </c>
      <c r="AX68" s="15">
        <f t="shared" si="52"/>
        <v>0.025797262008388066</v>
      </c>
      <c r="AY68" s="57"/>
      <c r="AZ68" s="56"/>
      <c r="BA68" s="57"/>
      <c r="BB68" s="10">
        <f>+'SECURED LOANS'!BB48+'RETAIL CREDIT'!BC66+'UCL LOANS'!BB67+'UNSECURED LOANS'!BC67+'CAR FINANCE'!BB65</f>
        <v>22330557.299999993</v>
      </c>
      <c r="BC68" s="15">
        <f t="shared" si="53"/>
        <v>0.06187990942487993</v>
      </c>
      <c r="BD68" s="11">
        <f>+'SECURED LOANS'!BD48+'RETAIL CREDIT'!BE66+'UCL LOANS'!BD67+'UNSECURED LOANS'!BE67+'CAR FINANCE'!BD65</f>
        <v>1500</v>
      </c>
      <c r="BE68" s="15">
        <f t="shared" si="54"/>
        <v>0.02511847547599511</v>
      </c>
      <c r="BF68" s="57"/>
      <c r="BG68" s="56"/>
      <c r="BH68" s="57"/>
      <c r="BI68" s="10">
        <f>+'SECURED LOANS'!BI48+'RETAIL CREDIT'!BJ66+'UCL LOANS'!BI67+'UNSECURED LOANS'!BJ67+'CAR FINANCE'!BI65</f>
        <v>21352848.470000003</v>
      </c>
      <c r="BJ68" s="15">
        <f t="shared" si="55"/>
        <v>0.059170593529557204</v>
      </c>
      <c r="BK68" s="11">
        <f>+'SECURED LOANS'!BK48+'RETAIL CREDIT'!BL66+'UCL LOANS'!BK67+'UNSECURED LOANS'!BL67+'CAR FINANCE'!BK65</f>
        <v>1438</v>
      </c>
      <c r="BL68" s="15">
        <f t="shared" si="56"/>
        <v>0.024080245156320644</v>
      </c>
      <c r="BM68" s="57"/>
      <c r="BN68" s="56"/>
      <c r="BO68" s="57"/>
      <c r="BP68" s="10">
        <f>+'SECURED LOANS'!BP48+'RETAIL CREDIT'!BQ66+'UCL LOANS'!BP67+'UNSECURED LOANS'!BQ67+'CAR FINANCE'!BP65</f>
        <v>20634864.729999997</v>
      </c>
      <c r="BQ68" s="15">
        <f t="shared" si="57"/>
        <v>0.060704896005427014</v>
      </c>
      <c r="BR68" s="11">
        <f>+'SECURED LOANS'!BR48+'RETAIL CREDIT'!BS66+'UCL LOANS'!BR67+'UNSECURED LOANS'!BS67+'CAR FINANCE'!BR65</f>
        <v>1390</v>
      </c>
      <c r="BS68" s="15">
        <f t="shared" si="58"/>
        <v>0.027904362315058318</v>
      </c>
      <c r="BT68" s="57"/>
      <c r="BU68" s="56"/>
      <c r="BV68" s="57"/>
      <c r="BW68" s="10">
        <f>+'SECURED LOANS'!BW48+'RETAIL CREDIT'!BX66+'UCL LOANS'!BW67+'UNSECURED LOANS'!BX67+'CAR FINANCE'!BW65</f>
        <v>19361744.94</v>
      </c>
      <c r="BX68" s="15">
        <f t="shared" si="73"/>
        <v>0.0588759197879346</v>
      </c>
      <c r="BY68" s="11">
        <f>+'SECURED LOANS'!BY48+'RETAIL CREDIT'!BZ66+'UCL LOANS'!BY67+'UNSECURED LOANS'!BZ67+'CAR FINANCE'!BY65</f>
        <v>1304</v>
      </c>
      <c r="BZ68" s="15">
        <f t="shared" si="74"/>
        <v>0.02869086908690869</v>
      </c>
      <c r="CA68" s="57"/>
      <c r="CB68" s="56"/>
      <c r="CC68" s="57"/>
      <c r="CD68" s="10">
        <f>+'SECURED LOANS'!CD48+'RETAIL CREDIT'!CE66+'UCL LOANS'!CD67+'UNSECURED LOANS'!CE67+'CAR FINANCE'!CD65</f>
        <v>18224698.939999998</v>
      </c>
      <c r="CE68" s="15">
        <f t="shared" si="59"/>
        <v>0.05501191037465258</v>
      </c>
      <c r="CF68" s="11">
        <f>+'SECURED LOANS'!CF48+'RETAIL CREDIT'!CG66+'UCL LOANS'!CF67+'UNSECURED LOANS'!CG67+'CAR FINANCE'!CF65</f>
        <v>1226</v>
      </c>
      <c r="CG68" s="15">
        <f t="shared" si="60"/>
        <v>0.021897158370394184</v>
      </c>
      <c r="CH68" s="57"/>
      <c r="CI68" s="56"/>
      <c r="CJ68" s="57"/>
      <c r="CK68" s="10">
        <f>+'SECURED LOANS'!CK48+'RETAIL CREDIT'!CL66+'UCL LOANS'!CK67+'UNSECURED LOANS'!CL67+'CAR FINANCE'!CK65</f>
        <v>17768472.45</v>
      </c>
      <c r="CL68" s="15">
        <f t="shared" si="61"/>
        <v>0.05363477427703854</v>
      </c>
      <c r="CM68" s="11">
        <f>+'SECURED LOANS'!CM48+'RETAIL CREDIT'!CN66+'UCL LOANS'!CM67+'UNSECURED LOANS'!CN67+'CAR FINANCE'!CM65</f>
        <v>1193</v>
      </c>
      <c r="CN68" s="15">
        <f t="shared" si="62"/>
        <v>0.021307756880815876</v>
      </c>
      <c r="CO68" s="57"/>
      <c r="CP68" s="56"/>
      <c r="CQ68" s="57"/>
    </row>
    <row r="69" spans="1:95" ht="12.75">
      <c r="A69" s="9" t="s">
        <v>0</v>
      </c>
      <c r="B69" s="9"/>
      <c r="C69" s="9"/>
      <c r="D69" s="10">
        <f>+'SECURED LOANS'!D49+'RETAIL CREDIT'!D67+'UNSECURED LOANS'!D68+'CAR FINANCE'!D66+'UCL LOANS'!D68</f>
        <v>19673871.570000008</v>
      </c>
      <c r="E69" s="15">
        <f t="shared" si="63"/>
        <v>0.05145954271290701</v>
      </c>
      <c r="F69" s="11">
        <f>+'SECURED LOANS'!F49+'RETAIL CREDIT'!F67+'UNSECURED LOANS'!F68+'CAR FINANCE'!F66+'UCL LOANS'!F68</f>
        <v>1177</v>
      </c>
      <c r="G69" s="15">
        <f t="shared" si="64"/>
        <v>0.017211125084081538</v>
      </c>
      <c r="H69" s="15"/>
      <c r="I69" s="10">
        <f>+'SECURED LOANS'!J49+'RETAIL CREDIT'!J67+'UCL LOANS'!J68+'UNSECURED LOANS'!J68+'CAR FINANCE'!I66</f>
        <v>17511434.220000006</v>
      </c>
      <c r="J69" s="15">
        <f t="shared" si="65"/>
        <v>0.049377041948694085</v>
      </c>
      <c r="K69" s="11">
        <f>+'SECURED LOANS'!L49+'RETAIL CREDIT'!L67+'UCL LOANS'!L68+'UNSECURED LOANS'!L68+'CAR FINANCE'!K66</f>
        <v>1048</v>
      </c>
      <c r="L69" s="15">
        <f t="shared" si="66"/>
        <v>0.01723174060311092</v>
      </c>
      <c r="M69" s="57"/>
      <c r="N69" s="56"/>
      <c r="O69" s="57"/>
      <c r="P69" s="15"/>
      <c r="Q69" s="10">
        <f>+'SECURED LOANS'!R49+'RETAIL CREDIT'!R67+'UCL LOANS'!R68+'UNSECURED LOANS'!R68+'CAR FINANCE'!Q66</f>
        <v>17153526.669999994</v>
      </c>
      <c r="R69" s="15">
        <f t="shared" si="67"/>
        <v>0.047953742864405964</v>
      </c>
      <c r="S69" s="11">
        <f>+'SECURED LOANS'!T49+'RETAIL CREDIT'!T67+'UCL LOANS'!T68+'UNSECURED LOANS'!T68+'CAR FINANCE'!S66</f>
        <v>1024</v>
      </c>
      <c r="T69" s="15">
        <f t="shared" si="68"/>
        <v>0.016454028344634764</v>
      </c>
      <c r="U69" s="57"/>
      <c r="V69" s="56"/>
      <c r="W69" s="57"/>
      <c r="X69" s="15"/>
      <c r="Y69" s="10">
        <f>+'SECURED LOANS'!Y49+'RETAIL CREDIT'!Z67+'UCL LOANS'!Z68+'UNSECURED LOANS'!Z68+'CAR FINANCE'!Y66</f>
        <v>16741742.120000001</v>
      </c>
      <c r="Z69" s="15">
        <f t="shared" si="69"/>
        <v>0.04674217731343446</v>
      </c>
      <c r="AA69" s="11">
        <f>+'SECURED LOANS'!AA49+'RETAIL CREDIT'!AB67+'UCL LOANS'!AB68+'UNSECURED LOANS'!AB68+'CAR FINANCE'!AA66</f>
        <v>995</v>
      </c>
      <c r="AB69" s="15">
        <f t="shared" si="70"/>
        <v>0.016352759425434703</v>
      </c>
      <c r="AC69" s="57"/>
      <c r="AD69" s="56"/>
      <c r="AE69" s="57"/>
      <c r="AF69" s="15"/>
      <c r="AG69" s="10">
        <f>+'SECURED LOANS'!AG49+'RETAIL CREDIT'!AH67+'UCL LOANS'!AG68+'UNSECURED LOANS'!AH68+'CAR FINANCE'!AG66</f>
        <v>16599800.459999992</v>
      </c>
      <c r="AH69" s="15">
        <f t="shared" si="71"/>
        <v>0.04357787262843517</v>
      </c>
      <c r="AI69" s="11">
        <f>+'SECURED LOANS'!AI49+'RETAIL CREDIT'!AJ67+'UCL LOANS'!AI68+'UNSECURED LOANS'!AJ68+'CAR FINANCE'!AI66</f>
        <v>982</v>
      </c>
      <c r="AJ69" s="15">
        <f t="shared" si="72"/>
        <v>0.015696429142290847</v>
      </c>
      <c r="AK69" s="57"/>
      <c r="AL69" s="56"/>
      <c r="AM69" s="57"/>
      <c r="AN69" s="10">
        <f>+'SECURED LOANS'!AN49+'RETAIL CREDIT'!AO67+'UCL LOANS'!AN68+'UNSECURED LOANS'!AO68+'CAR FINANCE'!AN66</f>
        <v>16362937.280000003</v>
      </c>
      <c r="AO69" s="15">
        <f t="shared" si="49"/>
        <v>0.043045679716222765</v>
      </c>
      <c r="AP69" s="11">
        <f>+'SECURED LOANS'!AP49+'RETAIL CREDIT'!AQ67+'UCL LOANS'!AP68+'UNSECURED LOANS'!AQ68+'CAR FINANCE'!AP66</f>
        <v>968</v>
      </c>
      <c r="AQ69" s="15">
        <f t="shared" si="50"/>
        <v>0.01556320138911219</v>
      </c>
      <c r="AR69" s="57"/>
      <c r="AS69" s="56"/>
      <c r="AT69" s="57"/>
      <c r="AU69" s="10">
        <f>+'SECURED LOANS'!AU49+'RETAIL CREDIT'!AV67+'UCL LOANS'!AU68+'UNSECURED LOANS'!AV68+'CAR FINANCE'!AU66</f>
        <v>16847269.96</v>
      </c>
      <c r="AV69" s="15">
        <f t="shared" si="51"/>
        <v>0.04411959987505825</v>
      </c>
      <c r="AW69" s="11">
        <f>+'SECURED LOANS'!AW49+'RETAIL CREDIT'!AX67+'UCL LOANS'!AW68+'UNSECURED LOANS'!AX68+'CAR FINANCE'!AW66</f>
        <v>997</v>
      </c>
      <c r="AX69" s="15">
        <f t="shared" si="52"/>
        <v>0.01577906148611221</v>
      </c>
      <c r="AY69" s="57"/>
      <c r="AZ69" s="56"/>
      <c r="BA69" s="57"/>
      <c r="BB69" s="10">
        <f>+'SECURED LOANS'!BB49+'RETAIL CREDIT'!BC67+'UCL LOANS'!BB68+'UNSECURED LOANS'!BC68+'CAR FINANCE'!BB66</f>
        <v>16190944.41</v>
      </c>
      <c r="BC69" s="15">
        <f t="shared" si="53"/>
        <v>0.04486651005320258</v>
      </c>
      <c r="BD69" s="11">
        <f>+'SECURED LOANS'!BD49+'RETAIL CREDIT'!BE67+'UCL LOANS'!BD68+'UNSECURED LOANS'!BE68+'CAR FINANCE'!BD66</f>
        <v>958</v>
      </c>
      <c r="BE69" s="15">
        <f t="shared" si="54"/>
        <v>0.01604233300400221</v>
      </c>
      <c r="BF69" s="57"/>
      <c r="BG69" s="56"/>
      <c r="BH69" s="57"/>
      <c r="BI69" s="10">
        <f>+'SECURED LOANS'!BI49+'RETAIL CREDIT'!BJ67+'UCL LOANS'!BI68+'UNSECURED LOANS'!BJ68+'CAR FINANCE'!BI66</f>
        <v>15957608.129999999</v>
      </c>
      <c r="BJ69" s="15">
        <f t="shared" si="55"/>
        <v>0.04421991500060447</v>
      </c>
      <c r="BK69" s="11">
        <f>+'SECURED LOANS'!BK49+'RETAIL CREDIT'!BL67+'UCL LOANS'!BK68+'UNSECURED LOANS'!BL68+'CAR FINANCE'!BK66</f>
        <v>943</v>
      </c>
      <c r="BL69" s="15">
        <f t="shared" si="56"/>
        <v>0.01579114824924226</v>
      </c>
      <c r="BM69" s="57"/>
      <c r="BN69" s="56"/>
      <c r="BO69" s="57"/>
      <c r="BP69" s="10">
        <f>+'SECURED LOANS'!BP49+'RETAIL CREDIT'!BQ67+'UCL LOANS'!BP68+'UNSECURED LOANS'!BQ68+'CAR FINANCE'!BP66</f>
        <v>16146055.229999997</v>
      </c>
      <c r="BQ69" s="15">
        <f t="shared" si="57"/>
        <v>0.04749944409424926</v>
      </c>
      <c r="BR69" s="11">
        <f>+'SECURED LOANS'!BR49+'RETAIL CREDIT'!BS67+'UCL LOANS'!BR68+'UNSECURED LOANS'!BS68+'CAR FINANCE'!BR66</f>
        <v>953</v>
      </c>
      <c r="BS69" s="15">
        <f t="shared" si="58"/>
        <v>0.01913155200449682</v>
      </c>
      <c r="BT69" s="57"/>
      <c r="BU69" s="56"/>
      <c r="BV69" s="57"/>
      <c r="BW69" s="10">
        <f>+'SECURED LOANS'!BW49+'RETAIL CREDIT'!BX67+'UCL LOANS'!BW68+'UNSECURED LOANS'!BX68+'CAR FINANCE'!BW66</f>
        <v>15856472.219999997</v>
      </c>
      <c r="BX69" s="15">
        <f t="shared" si="73"/>
        <v>0.048216955105924095</v>
      </c>
      <c r="BY69" s="11">
        <f>+'SECURED LOANS'!BY49+'RETAIL CREDIT'!BZ67+'UCL LOANS'!BY68+'UNSECURED LOANS'!BZ68+'CAR FINANCE'!BY66</f>
        <v>937</v>
      </c>
      <c r="BZ69" s="15">
        <f t="shared" si="74"/>
        <v>0.020616061606160616</v>
      </c>
      <c r="CA69" s="57"/>
      <c r="CB69" s="56"/>
      <c r="CC69" s="57"/>
      <c r="CD69" s="10">
        <f>+'SECURED LOANS'!CD49+'RETAIL CREDIT'!CE67+'UCL LOANS'!CD68+'UNSECURED LOANS'!CE68+'CAR FINANCE'!CD66</f>
        <v>15028124.339999996</v>
      </c>
      <c r="CE69" s="15">
        <f t="shared" si="59"/>
        <v>0.045362934774011404</v>
      </c>
      <c r="CF69" s="11">
        <f>+'SECURED LOANS'!CF49+'RETAIL CREDIT'!CG67+'UCL LOANS'!CF68+'UNSECURED LOANS'!CG68+'CAR FINANCE'!CF66</f>
        <v>887</v>
      </c>
      <c r="CG69" s="15">
        <f t="shared" si="60"/>
        <v>0.015842397613817</v>
      </c>
      <c r="CH69" s="57"/>
      <c r="CI69" s="56"/>
      <c r="CJ69" s="57"/>
      <c r="CK69" s="10">
        <f>+'SECURED LOANS'!CK49+'RETAIL CREDIT'!CL67+'UCL LOANS'!CK68+'UNSECURED LOANS'!CL68+'CAR FINANCE'!CK66</f>
        <v>14718708.29</v>
      </c>
      <c r="CL69" s="15">
        <f t="shared" si="61"/>
        <v>0.04442895127902376</v>
      </c>
      <c r="CM69" s="11">
        <f>+'SECURED LOANS'!CM49+'RETAIL CREDIT'!CN67+'UCL LOANS'!CM68+'UNSECURED LOANS'!CN68+'CAR FINANCE'!CM66</f>
        <v>869</v>
      </c>
      <c r="CN69" s="15">
        <f t="shared" si="62"/>
        <v>0.01552090589222883</v>
      </c>
      <c r="CO69" s="57"/>
      <c r="CP69" s="56"/>
      <c r="CQ69" s="57"/>
    </row>
    <row r="70" spans="1:95" ht="12.75">
      <c r="A70" s="9" t="s">
        <v>1</v>
      </c>
      <c r="B70" s="9"/>
      <c r="C70" s="9"/>
      <c r="D70" s="10">
        <f>+'SECURED LOANS'!D50+'RETAIL CREDIT'!D68+'UNSECURED LOANS'!D69+'CAR FINANCE'!D67+'UCL LOANS'!D69</f>
        <v>8406201.880000003</v>
      </c>
      <c r="E70" s="15">
        <f t="shared" si="63"/>
        <v>0.021987502721975895</v>
      </c>
      <c r="F70" s="11">
        <f>+'SECURED LOANS'!F50+'RETAIL CREDIT'!F68+'UNSECURED LOANS'!F69+'CAR FINANCE'!F67+'UCL LOANS'!F69</f>
        <v>446</v>
      </c>
      <c r="G70" s="15">
        <f t="shared" si="64"/>
        <v>0.00652180270815664</v>
      </c>
      <c r="H70" s="15"/>
      <c r="I70" s="10">
        <f>+'SECURED LOANS'!J50+'RETAIL CREDIT'!J68+'UCL LOANS'!J69+'UNSECURED LOANS'!J69+'CAR FINANCE'!I67</f>
        <v>8077098.18</v>
      </c>
      <c r="J70" s="15">
        <f t="shared" si="65"/>
        <v>0.022775017205734077</v>
      </c>
      <c r="K70" s="11">
        <f>+'SECURED LOANS'!L50+'RETAIL CREDIT'!L68+'UCL LOANS'!L69+'UNSECURED LOANS'!L69+'CAR FINANCE'!K67</f>
        <v>428</v>
      </c>
      <c r="L70" s="15">
        <f t="shared" si="66"/>
        <v>0.0070373902463086585</v>
      </c>
      <c r="M70" s="57"/>
      <c r="N70" s="56"/>
      <c r="O70" s="57"/>
      <c r="P70" s="15"/>
      <c r="Q70" s="10">
        <f>+'SECURED LOANS'!R50+'RETAIL CREDIT'!R68+'UCL LOANS'!R69+'UNSECURED LOANS'!R69+'CAR FINANCE'!Q67</f>
        <v>8993774.620000007</v>
      </c>
      <c r="R70" s="15">
        <f t="shared" si="67"/>
        <v>0.025142652225689573</v>
      </c>
      <c r="S70" s="11">
        <f>+'SECURED LOANS'!T50+'RETAIL CREDIT'!T68+'UCL LOANS'!T69+'UNSECURED LOANS'!T69+'CAR FINANCE'!S67</f>
        <v>475</v>
      </c>
      <c r="T70" s="15">
        <f t="shared" si="68"/>
        <v>0.007632483851271009</v>
      </c>
      <c r="U70" s="57"/>
      <c r="V70" s="56"/>
      <c r="W70" s="57"/>
      <c r="X70" s="15"/>
      <c r="Y70" s="10">
        <f>+'SECURED LOANS'!Y50+'RETAIL CREDIT'!Z68+'UCL LOANS'!Z69+'UNSECURED LOANS'!Z69+'CAR FINANCE'!Y67</f>
        <v>9655803.08</v>
      </c>
      <c r="Z70" s="15">
        <f t="shared" si="69"/>
        <v>0.026958560013285317</v>
      </c>
      <c r="AA70" s="11">
        <f>+'SECURED LOANS'!AA50+'RETAIL CREDIT'!AB68+'UCL LOANS'!AB69+'UNSECURED LOANS'!AB69+'CAR FINANCE'!AA67</f>
        <v>509</v>
      </c>
      <c r="AB70" s="15">
        <f t="shared" si="70"/>
        <v>0.008365381454820367</v>
      </c>
      <c r="AC70" s="57"/>
      <c r="AD70" s="56"/>
      <c r="AE70" s="57"/>
      <c r="AF70" s="15"/>
      <c r="AG70" s="10">
        <f>+'SECURED LOANS'!AG50+'RETAIL CREDIT'!AH68+'UCL LOANS'!AG69+'UNSECURED LOANS'!AH69+'CAR FINANCE'!AG67</f>
        <v>10691635.71</v>
      </c>
      <c r="AH70" s="15">
        <f t="shared" si="71"/>
        <v>0.028067731312958765</v>
      </c>
      <c r="AI70" s="11">
        <f>+'SECURED LOANS'!AI50+'RETAIL CREDIT'!AJ68+'UCL LOANS'!AI69+'UNSECURED LOANS'!AJ69+'CAR FINANCE'!AI67</f>
        <v>563</v>
      </c>
      <c r="AJ70" s="15">
        <f t="shared" si="72"/>
        <v>0.008999072919663694</v>
      </c>
      <c r="AK70" s="57"/>
      <c r="AL70" s="56"/>
      <c r="AM70" s="57"/>
      <c r="AN70" s="10">
        <f>+'SECURED LOANS'!AN50+'RETAIL CREDIT'!AO68+'UCL LOANS'!AN69+'UNSECURED LOANS'!AO69+'CAR FINANCE'!AN67</f>
        <v>10426837.91</v>
      </c>
      <c r="AO70" s="15">
        <f t="shared" si="49"/>
        <v>0.027429691714055723</v>
      </c>
      <c r="AP70" s="11">
        <f>+'SECURED LOANS'!AP50+'RETAIL CREDIT'!AQ68+'UCL LOANS'!AP69+'UNSECURED LOANS'!AQ69+'CAR FINANCE'!AP67</f>
        <v>550</v>
      </c>
      <c r="AQ70" s="15">
        <f t="shared" si="50"/>
        <v>0.008842728061995563</v>
      </c>
      <c r="AR70" s="57"/>
      <c r="AS70" s="56"/>
      <c r="AT70" s="57"/>
      <c r="AU70" s="10">
        <f>+'SECURED LOANS'!AU50+'RETAIL CREDIT'!AV68+'UCL LOANS'!AU69+'UNSECURED LOANS'!AV69+'CAR FINANCE'!AU67</f>
        <v>11201181.51</v>
      </c>
      <c r="AV70" s="15">
        <f t="shared" si="51"/>
        <v>0.02933363372952687</v>
      </c>
      <c r="AW70" s="11">
        <f>+'SECURED LOANS'!AW50+'RETAIL CREDIT'!AX68+'UCL LOANS'!AW69+'UNSECURED LOANS'!AX69+'CAR FINANCE'!AW67</f>
        <v>591</v>
      </c>
      <c r="AX70" s="15">
        <f t="shared" si="52"/>
        <v>0.009353485795679354</v>
      </c>
      <c r="AY70" s="57"/>
      <c r="AZ70" s="56"/>
      <c r="BA70" s="57"/>
      <c r="BB70" s="10">
        <f>+'SECURED LOANS'!BB50+'RETAIL CREDIT'!BC68+'UCL LOANS'!BB69+'UNSECURED LOANS'!BC69+'CAR FINANCE'!BB67</f>
        <v>11239826.120000001</v>
      </c>
      <c r="BC70" s="15">
        <f t="shared" si="53"/>
        <v>0.031146532212028573</v>
      </c>
      <c r="BD70" s="11">
        <f>+'SECURED LOANS'!BD50+'RETAIL CREDIT'!BE68+'UCL LOANS'!BD69+'UNSECURED LOANS'!BE69+'CAR FINANCE'!BD67</f>
        <v>593</v>
      </c>
      <c r="BE70" s="15">
        <f t="shared" si="54"/>
        <v>0.009930170638176734</v>
      </c>
      <c r="BF70" s="57"/>
      <c r="BG70" s="56"/>
      <c r="BH70" s="57"/>
      <c r="BI70" s="10">
        <f>+'SECURED LOANS'!BI50+'RETAIL CREDIT'!BJ68+'UCL LOANS'!BI69+'UNSECURED LOANS'!BJ69+'CAR FINANCE'!BI67</f>
        <v>10715203.69</v>
      </c>
      <c r="BJ70" s="15">
        <f t="shared" si="55"/>
        <v>0.029692757995177278</v>
      </c>
      <c r="BK70" s="11">
        <f>+'SECURED LOANS'!BK50+'RETAIL CREDIT'!BL68+'UCL LOANS'!BK69+'UNSECURED LOANS'!BL69+'CAR FINANCE'!BK67</f>
        <v>566</v>
      </c>
      <c r="BL70" s="15">
        <f t="shared" si="56"/>
        <v>0.009478038079608822</v>
      </c>
      <c r="BM70" s="57"/>
      <c r="BN70" s="56"/>
      <c r="BO70" s="57"/>
      <c r="BP70" s="10">
        <f>+'SECURED LOANS'!BP50+'RETAIL CREDIT'!BQ68+'UCL LOANS'!BP69+'UNSECURED LOANS'!BQ69+'CAR FINANCE'!BP67</f>
        <v>10777981.25</v>
      </c>
      <c r="BQ70" s="15">
        <f t="shared" si="57"/>
        <v>0.03170731863235686</v>
      </c>
      <c r="BR70" s="11">
        <f>+'SECURED LOANS'!BR50+'RETAIL CREDIT'!BS68+'UCL LOANS'!BR69+'UNSECURED LOANS'!BS69+'CAR FINANCE'!BR67</f>
        <v>568</v>
      </c>
      <c r="BS70" s="15">
        <f t="shared" si="58"/>
        <v>0.01140264589564973</v>
      </c>
      <c r="BT70" s="57"/>
      <c r="BU70" s="56"/>
      <c r="BV70" s="57"/>
      <c r="BW70" s="10">
        <f>+'SECURED LOANS'!BW50+'RETAIL CREDIT'!BX68+'UCL LOANS'!BW69+'UNSECURED LOANS'!BX69+'CAR FINANCE'!BW67</f>
        <v>10993022.61</v>
      </c>
      <c r="BX70" s="15">
        <f t="shared" si="73"/>
        <v>0.03342799522558484</v>
      </c>
      <c r="BY70" s="11">
        <f>+'SECURED LOANS'!BY50+'RETAIL CREDIT'!BZ68+'UCL LOANS'!BY69+'UNSECURED LOANS'!BZ69+'CAR FINANCE'!BY67</f>
        <v>579</v>
      </c>
      <c r="BZ70" s="15">
        <f t="shared" si="74"/>
        <v>0.01273927392739274</v>
      </c>
      <c r="CA70" s="57"/>
      <c r="CB70" s="56"/>
      <c r="CC70" s="57"/>
      <c r="CD70" s="10">
        <f>+'SECURED LOANS'!CD50+'RETAIL CREDIT'!CE68+'UCL LOANS'!CD69+'UNSECURED LOANS'!CE69+'CAR FINANCE'!CD67</f>
        <v>10562850.910000002</v>
      </c>
      <c r="CE70" s="15">
        <f t="shared" si="59"/>
        <v>0.031884346044606736</v>
      </c>
      <c r="CF70" s="11">
        <f>+'SECURED LOANS'!CF50+'RETAIL CREDIT'!CG68+'UCL LOANS'!CF69+'UNSECURED LOANS'!CG69+'CAR FINANCE'!CF67</f>
        <v>556</v>
      </c>
      <c r="CG70" s="15">
        <f t="shared" si="60"/>
        <v>0.009930522066834558</v>
      </c>
      <c r="CH70" s="57"/>
      <c r="CI70" s="56"/>
      <c r="CJ70" s="57"/>
      <c r="CK70" s="10">
        <f>+'SECURED LOANS'!CK50+'RETAIL CREDIT'!CL68+'UCL LOANS'!CK69+'UNSECURED LOANS'!CL69+'CAR FINANCE'!CK67</f>
        <v>10661132.15</v>
      </c>
      <c r="CL70" s="15">
        <f t="shared" si="61"/>
        <v>0.03218101150855703</v>
      </c>
      <c r="CM70" s="11">
        <f>+'SECURED LOANS'!CM50+'RETAIL CREDIT'!CN68+'UCL LOANS'!CM69+'UNSECURED LOANS'!CN69+'CAR FINANCE'!CM67</f>
        <v>561</v>
      </c>
      <c r="CN70" s="15">
        <f t="shared" si="62"/>
        <v>0.01001982532283127</v>
      </c>
      <c r="CO70" s="57"/>
      <c r="CP70" s="56"/>
      <c r="CQ70" s="57"/>
    </row>
    <row r="71" spans="1:95" ht="12.75">
      <c r="A71" s="9" t="s">
        <v>2</v>
      </c>
      <c r="B71" s="9"/>
      <c r="C71" s="9"/>
      <c r="D71" s="10">
        <f>+'SECURED LOANS'!D51+'RETAIL CREDIT'!D69+'UNSECURED LOANS'!D70+'CAR FINANCE'!D68+'UCL LOANS'!D70</f>
        <v>13689099.549999995</v>
      </c>
      <c r="E71" s="15">
        <f t="shared" si="63"/>
        <v>0.03580560137785125</v>
      </c>
      <c r="F71" s="11">
        <f>+'SECURED LOANS'!F51+'RETAIL CREDIT'!F69+'UNSECURED LOANS'!F70+'CAR FINANCE'!F68+'UCL LOANS'!F70</f>
        <v>619</v>
      </c>
      <c r="G71" s="15">
        <f t="shared" si="64"/>
        <v>0.009051560260872109</v>
      </c>
      <c r="H71" s="15"/>
      <c r="I71" s="10">
        <f>+'SECURED LOANS'!J51+'RETAIL CREDIT'!J69+'UCL LOANS'!J70+'UNSECURED LOANS'!J70+'CAR FINANCE'!I68</f>
        <v>13508411.310000002</v>
      </c>
      <c r="J71" s="15">
        <f t="shared" si="65"/>
        <v>0.038089706618792504</v>
      </c>
      <c r="K71" s="11">
        <f>+'SECURED LOANS'!L51+'RETAIL CREDIT'!L69+'UCL LOANS'!L70+'UNSECURED LOANS'!L70+'CAR FINANCE'!K68</f>
        <v>609</v>
      </c>
      <c r="L71" s="15">
        <f t="shared" si="66"/>
        <v>0.0100134828504719</v>
      </c>
      <c r="M71" s="57"/>
      <c r="N71" s="56"/>
      <c r="O71" s="57"/>
      <c r="P71" s="15"/>
      <c r="Q71" s="10">
        <f>+'SECURED LOANS'!R51+'RETAIL CREDIT'!R69+'UCL LOANS'!R70+'UNSECURED LOANS'!R70+'CAR FINANCE'!Q68</f>
        <v>15416598.550000003</v>
      </c>
      <c r="R71" s="15">
        <f t="shared" si="67"/>
        <v>0.04309805306703582</v>
      </c>
      <c r="S71" s="11">
        <f>+'SECURED LOANS'!T51+'RETAIL CREDIT'!T69+'UCL LOANS'!T70+'UNSECURED LOANS'!T70+'CAR FINANCE'!S68</f>
        <v>693</v>
      </c>
      <c r="T71" s="15">
        <f t="shared" si="68"/>
        <v>0.01113539222932802</v>
      </c>
      <c r="U71" s="57"/>
      <c r="V71" s="56"/>
      <c r="W71" s="57"/>
      <c r="X71" s="15"/>
      <c r="Y71" s="10">
        <f>+'SECURED LOANS'!Y51+'RETAIL CREDIT'!Z69+'UCL LOANS'!Z70+'UNSECURED LOANS'!Z70+'CAR FINANCE'!Y68</f>
        <v>17671986.089999996</v>
      </c>
      <c r="Z71" s="15">
        <f t="shared" si="69"/>
        <v>0.04933937587728936</v>
      </c>
      <c r="AA71" s="11">
        <f>+'SECURED LOANS'!AA51+'RETAIL CREDIT'!AB69+'UCL LOANS'!AB70+'UNSECURED LOANS'!AB70+'CAR FINANCE'!AA68</f>
        <v>791</v>
      </c>
      <c r="AB71" s="15">
        <f t="shared" si="70"/>
        <v>0.013000032869868191</v>
      </c>
      <c r="AC71" s="57"/>
      <c r="AD71" s="56"/>
      <c r="AE71" s="57"/>
      <c r="AF71" s="15"/>
      <c r="AG71" s="10">
        <f>+'SECURED LOANS'!AG51+'RETAIL CREDIT'!AH69+'UCL LOANS'!AG70+'UNSECURED LOANS'!AH70+'CAR FINANCE'!AG68</f>
        <v>20120562.760000005</v>
      </c>
      <c r="AH71" s="15">
        <f t="shared" si="71"/>
        <v>0.052820594035484975</v>
      </c>
      <c r="AI71" s="11">
        <f>+'SECURED LOANS'!AI51+'RETAIL CREDIT'!AJ69+'UCL LOANS'!AI70+'UNSECURED LOANS'!AJ70+'CAR FINANCE'!AI68</f>
        <v>899</v>
      </c>
      <c r="AJ71" s="15">
        <f t="shared" si="72"/>
        <v>0.014369745212748954</v>
      </c>
      <c r="AK71" s="57"/>
      <c r="AL71" s="56"/>
      <c r="AM71" s="57"/>
      <c r="AN71" s="10">
        <f>+'SECURED LOANS'!AN51+'RETAIL CREDIT'!AO69+'UCL LOANS'!AN70+'UNSECURED LOANS'!AO70+'CAR FINANCE'!AN68</f>
        <v>20649716.15</v>
      </c>
      <c r="AO71" s="15">
        <f t="shared" si="49"/>
        <v>0.054322830456012876</v>
      </c>
      <c r="AP71" s="11">
        <f>+'SECURED LOANS'!AP51+'RETAIL CREDIT'!AQ69+'UCL LOANS'!AP70+'UNSECURED LOANS'!AQ70+'CAR FINANCE'!AP68</f>
        <v>923</v>
      </c>
      <c r="AQ71" s="15">
        <f t="shared" si="50"/>
        <v>0.014839705456767098</v>
      </c>
      <c r="AR71" s="57"/>
      <c r="AS71" s="56"/>
      <c r="AT71" s="57"/>
      <c r="AU71" s="10">
        <f>+'SECURED LOANS'!AU51+'RETAIL CREDIT'!AV69+'UCL LOANS'!AU70+'UNSECURED LOANS'!AV70+'CAR FINANCE'!AU68</f>
        <v>21693090.85</v>
      </c>
      <c r="AV71" s="15">
        <f t="shared" si="51"/>
        <v>0.05680982679257117</v>
      </c>
      <c r="AW71" s="11">
        <f>+'SECURED LOANS'!AW51+'RETAIL CREDIT'!AX69+'UCL LOANS'!AW70+'UNSECURED LOANS'!AX70+'CAR FINANCE'!AW68</f>
        <v>968</v>
      </c>
      <c r="AX71" s="15">
        <f t="shared" si="52"/>
        <v>0.015320091793938435</v>
      </c>
      <c r="AY71" s="57"/>
      <c r="AZ71" s="56"/>
      <c r="BA71" s="57"/>
      <c r="BB71" s="10">
        <f>+'SECURED LOANS'!BB51+'RETAIL CREDIT'!BC69+'UCL LOANS'!BB70+'UNSECURED LOANS'!BC70+'CAR FINANCE'!BB68</f>
        <v>21325616.68999999</v>
      </c>
      <c r="BC71" s="15">
        <f t="shared" si="53"/>
        <v>0.059095131907294915</v>
      </c>
      <c r="BD71" s="11">
        <f>+'SECURED LOANS'!BD51+'RETAIL CREDIT'!BE69+'UCL LOANS'!BD70+'UNSECURED LOANS'!BE70+'CAR FINANCE'!BD68</f>
        <v>951</v>
      </c>
      <c r="BE71" s="15">
        <f t="shared" si="54"/>
        <v>0.0159251134517809</v>
      </c>
      <c r="BF71" s="57"/>
      <c r="BG71" s="56"/>
      <c r="BH71" s="57"/>
      <c r="BI71" s="10">
        <f>+'SECURED LOANS'!BI51+'RETAIL CREDIT'!BJ69+'UCL LOANS'!BI70+'UNSECURED LOANS'!BJ70+'CAR FINANCE'!BI68</f>
        <v>21593411.519999992</v>
      </c>
      <c r="BJ71" s="15">
        <f t="shared" si="55"/>
        <v>0.059837214588090853</v>
      </c>
      <c r="BK71" s="11">
        <f>+'SECURED LOANS'!BK51+'RETAIL CREDIT'!BL69+'UCL LOANS'!BK70+'UNSECURED LOANS'!BL70+'CAR FINANCE'!BK68</f>
        <v>961</v>
      </c>
      <c r="BL71" s="15">
        <f t="shared" si="56"/>
        <v>0.0160925699549542</v>
      </c>
      <c r="BM71" s="57"/>
      <c r="BN71" s="56"/>
      <c r="BO71" s="57"/>
      <c r="BP71" s="10">
        <f>+'SECURED LOANS'!BP51+'RETAIL CREDIT'!BQ69+'UCL LOANS'!BP70+'UNSECURED LOANS'!BQ70+'CAR FINANCE'!BP68</f>
        <v>23236388.99</v>
      </c>
      <c r="BQ71" s="15">
        <f t="shared" si="57"/>
        <v>0.06835821778510875</v>
      </c>
      <c r="BR71" s="11">
        <f>+'SECURED LOANS'!BR51+'RETAIL CREDIT'!BS69+'UCL LOANS'!BR70+'UNSECURED LOANS'!BS70+'CAR FINANCE'!BR68</f>
        <v>1034</v>
      </c>
      <c r="BS71" s="15">
        <f t="shared" si="58"/>
        <v>0.020757633549475036</v>
      </c>
      <c r="BT71" s="57"/>
      <c r="BU71" s="56"/>
      <c r="BV71" s="57"/>
      <c r="BW71" s="10">
        <f>+'SECURED LOANS'!BW51+'RETAIL CREDIT'!BX69+'UCL LOANS'!BW70+'UNSECURED LOANS'!BX70+'CAR FINANCE'!BW68</f>
        <v>23193526.06</v>
      </c>
      <c r="BX71" s="15">
        <f t="shared" si="73"/>
        <v>0.07052774345182189</v>
      </c>
      <c r="BY71" s="11">
        <f>+'SECURED LOANS'!BY51+'RETAIL CREDIT'!BZ69+'UCL LOANS'!BY70+'UNSECURED LOANS'!BZ70+'CAR FINANCE'!BY68</f>
        <v>1033</v>
      </c>
      <c r="BZ71" s="15">
        <f t="shared" si="74"/>
        <v>0.02272827282728273</v>
      </c>
      <c r="CA71" s="57"/>
      <c r="CB71" s="56"/>
      <c r="CC71" s="57"/>
      <c r="CD71" s="10">
        <f>+'SECURED LOANS'!CD51+'RETAIL CREDIT'!CE69+'UCL LOANS'!CD70+'UNSECURED LOANS'!CE70+'CAR FINANCE'!CD68</f>
        <v>22719101.139999997</v>
      </c>
      <c r="CE71" s="15">
        <f t="shared" si="59"/>
        <v>0.06857842534579324</v>
      </c>
      <c r="CF71" s="11">
        <f>+'SECURED LOANS'!CF51+'RETAIL CREDIT'!CG69+'UCL LOANS'!CF70+'UNSECURED LOANS'!CG70+'CAR FINANCE'!CF68</f>
        <v>1010</v>
      </c>
      <c r="CG71" s="15">
        <f t="shared" si="60"/>
        <v>0.018039257711336156</v>
      </c>
      <c r="CH71" s="57"/>
      <c r="CI71" s="56"/>
      <c r="CJ71" s="57"/>
      <c r="CK71" s="10">
        <f>+'SECURED LOANS'!CK51+'RETAIL CREDIT'!CL69+'UCL LOANS'!CK70+'UNSECURED LOANS'!CL70+'CAR FINANCE'!CK68</f>
        <v>22710056.690000013</v>
      </c>
      <c r="CL71" s="15">
        <f t="shared" si="61"/>
        <v>0.06855112434760252</v>
      </c>
      <c r="CM71" s="11">
        <f>+'SECURED LOANS'!CM51+'RETAIL CREDIT'!CN69+'UCL LOANS'!CM70+'UNSECURED LOANS'!CN70+'CAR FINANCE'!CM68</f>
        <v>1012</v>
      </c>
      <c r="CN71" s="15">
        <f t="shared" si="62"/>
        <v>0.01807497901373484</v>
      </c>
      <c r="CO71" s="57"/>
      <c r="CP71" s="56"/>
      <c r="CQ71" s="57"/>
    </row>
    <row r="72" spans="1:95" ht="12.75">
      <c r="A72" s="9" t="s">
        <v>3</v>
      </c>
      <c r="B72" s="9"/>
      <c r="C72" s="9"/>
      <c r="D72" s="10">
        <f>+'SECURED LOANS'!D52+'RETAIL CREDIT'!D70+'UNSECURED LOANS'!D71+'CAR FINANCE'!D69+'UCL LOANS'!D71</f>
        <v>8104743.299999999</v>
      </c>
      <c r="E72" s="15">
        <f t="shared" si="63"/>
        <v>0.02119899901448308</v>
      </c>
      <c r="F72" s="11">
        <f>+'SECURED LOANS'!F52+'RETAIL CREDIT'!F70+'UNSECURED LOANS'!F71+'CAR FINANCE'!F69+'UCL LOANS'!F71</f>
        <v>297</v>
      </c>
      <c r="G72" s="15">
        <f t="shared" si="64"/>
        <v>0.004342994180095341</v>
      </c>
      <c r="H72" s="15"/>
      <c r="I72" s="10">
        <f>+'SECURED LOANS'!J52+'RETAIL CREDIT'!J70+'UCL LOANS'!J71+'UNSECURED LOANS'!J71+'CAR FINANCE'!I69</f>
        <v>7635702.890000002</v>
      </c>
      <c r="J72" s="15">
        <f t="shared" si="65"/>
        <v>0.02153041362407006</v>
      </c>
      <c r="K72" s="11">
        <f>+'SECURED LOANS'!L52+'RETAIL CREDIT'!L70+'UCL LOANS'!L71+'UNSECURED LOANS'!L71+'CAR FINANCE'!K69</f>
        <v>279</v>
      </c>
      <c r="L72" s="15">
        <f t="shared" si="66"/>
        <v>0.004587457660561018</v>
      </c>
      <c r="M72" s="57"/>
      <c r="N72" s="56"/>
      <c r="O72" s="57"/>
      <c r="P72" s="15"/>
      <c r="Q72" s="10">
        <f>+'SECURED LOANS'!R52+'RETAIL CREDIT'!R70+'UCL LOANS'!R71+'UNSECURED LOANS'!R71+'CAR FINANCE'!Q69</f>
        <v>9398241.730000002</v>
      </c>
      <c r="R72" s="15">
        <f t="shared" si="67"/>
        <v>0.02627336500348649</v>
      </c>
      <c r="S72" s="11">
        <f>+'SECURED LOANS'!T52+'RETAIL CREDIT'!T70+'UCL LOANS'!T71+'UNSECURED LOANS'!T71+'CAR FINANCE'!S69</f>
        <v>342</v>
      </c>
      <c r="T72" s="15">
        <f t="shared" si="68"/>
        <v>0.005495388372915127</v>
      </c>
      <c r="U72" s="57"/>
      <c r="V72" s="56"/>
      <c r="W72" s="57"/>
      <c r="X72" s="15"/>
      <c r="Y72" s="10">
        <f>+'SECURED LOANS'!Y52+'RETAIL CREDIT'!Z70+'UCL LOANS'!Z71+'UNSECURED LOANS'!Z71+'CAR FINANCE'!Y69</f>
        <v>11637283.760000002</v>
      </c>
      <c r="Z72" s="15">
        <f t="shared" si="69"/>
        <v>0.032490763330230495</v>
      </c>
      <c r="AA72" s="11">
        <f>+'SECURED LOANS'!AA52+'RETAIL CREDIT'!AB70+'UCL LOANS'!AB71+'UNSECURED LOANS'!AB71+'CAR FINANCE'!AA69</f>
        <v>422</v>
      </c>
      <c r="AB72" s="15">
        <f t="shared" si="70"/>
        <v>0.006935542188475825</v>
      </c>
      <c r="AC72" s="57"/>
      <c r="AD72" s="56"/>
      <c r="AE72" s="57"/>
      <c r="AF72" s="15"/>
      <c r="AG72" s="10">
        <f>+'SECURED LOANS'!AG52+'RETAIL CREDIT'!AH70+'UCL LOANS'!AG71+'UNSECURED LOANS'!AH71+'CAR FINANCE'!AG69</f>
        <v>14035672.949999997</v>
      </c>
      <c r="AH72" s="15">
        <f t="shared" si="71"/>
        <v>0.03684651327847788</v>
      </c>
      <c r="AI72" s="11">
        <f>+'SECURED LOANS'!AI52+'RETAIL CREDIT'!AJ70+'UCL LOANS'!AI71+'UNSECURED LOANS'!AJ71+'CAR FINANCE'!AI69</f>
        <v>509</v>
      </c>
      <c r="AJ72" s="15">
        <f t="shared" si="72"/>
        <v>0.00813592915827499</v>
      </c>
      <c r="AK72" s="57"/>
      <c r="AL72" s="56"/>
      <c r="AM72" s="57"/>
      <c r="AN72" s="10">
        <f>+'SECURED LOANS'!AN52+'RETAIL CREDIT'!AO70+'UCL LOANS'!AN71+'UNSECURED LOANS'!AO71+'CAR FINANCE'!AN69</f>
        <v>14594010.750000002</v>
      </c>
      <c r="AO72" s="15">
        <f t="shared" si="49"/>
        <v>0.03839219705910967</v>
      </c>
      <c r="AP72" s="11">
        <f>+'SECURED LOANS'!AP52+'RETAIL CREDIT'!AQ70+'UCL LOANS'!AP71+'UNSECURED LOANS'!AQ71+'CAR FINANCE'!AP69</f>
        <v>529</v>
      </c>
      <c r="AQ72" s="15">
        <f t="shared" si="50"/>
        <v>0.008505096626901187</v>
      </c>
      <c r="AR72" s="57"/>
      <c r="AS72" s="56"/>
      <c r="AT72" s="57"/>
      <c r="AU72" s="10">
        <f>+'SECURED LOANS'!AU52+'RETAIL CREDIT'!AV70+'UCL LOANS'!AU71+'UNSECURED LOANS'!AV71+'CAR FINANCE'!AU69</f>
        <v>17381147.980000004</v>
      </c>
      <c r="AV72" s="15">
        <f t="shared" si="51"/>
        <v>0.04551771866109381</v>
      </c>
      <c r="AW72" s="11">
        <f>+'SECURED LOANS'!AW52+'RETAIL CREDIT'!AX70+'UCL LOANS'!AW71+'UNSECURED LOANS'!AX71+'CAR FINANCE'!AW69</f>
        <v>629</v>
      </c>
      <c r="AX72" s="15">
        <f t="shared" si="52"/>
        <v>0.009954894357838095</v>
      </c>
      <c r="AY72" s="57"/>
      <c r="AZ72" s="56"/>
      <c r="BA72" s="57"/>
      <c r="BB72" s="10">
        <f>+'SECURED LOANS'!BB52+'RETAIL CREDIT'!BC70+'UCL LOANS'!BB71+'UNSECURED LOANS'!BC71+'CAR FINANCE'!BB69</f>
        <v>18225594.129999995</v>
      </c>
      <c r="BC72" s="15">
        <f t="shared" si="53"/>
        <v>0.05050470074828913</v>
      </c>
      <c r="BD72" s="11">
        <f>+'SECURED LOANS'!BD52+'RETAIL CREDIT'!BE70+'UCL LOANS'!BD71+'UNSECURED LOANS'!BE71+'CAR FINANCE'!BD69</f>
        <v>660</v>
      </c>
      <c r="BE72" s="15">
        <f t="shared" si="54"/>
        <v>0.011052129209437848</v>
      </c>
      <c r="BF72" s="57"/>
      <c r="BG72" s="56"/>
      <c r="BH72" s="57"/>
      <c r="BI72" s="10">
        <f>+'SECURED LOANS'!BI52+'RETAIL CREDIT'!BJ70+'UCL LOANS'!BI71+'UNSECURED LOANS'!BJ71+'CAR FINANCE'!BI69</f>
        <v>18876201.42999999</v>
      </c>
      <c r="BJ72" s="15">
        <f t="shared" si="55"/>
        <v>0.052307589957649135</v>
      </c>
      <c r="BK72" s="11">
        <f>+'SECURED LOANS'!BK52+'RETAIL CREDIT'!BL70+'UCL LOANS'!BK71+'UNSECURED LOANS'!BL71+'CAR FINANCE'!BK69</f>
        <v>684</v>
      </c>
      <c r="BL72" s="15">
        <f t="shared" si="56"/>
        <v>0.01145402481705377</v>
      </c>
      <c r="BM72" s="57"/>
      <c r="BN72" s="56"/>
      <c r="BO72" s="57"/>
      <c r="BP72" s="10">
        <f>+'SECURED LOANS'!BP52+'RETAIL CREDIT'!BQ70+'UCL LOANS'!BP71+'UNSECURED LOANS'!BQ71+'CAR FINANCE'!BP69</f>
        <v>21039137.730000015</v>
      </c>
      <c r="BQ72" s="15">
        <f t="shared" si="57"/>
        <v>0.06189421082497724</v>
      </c>
      <c r="BR72" s="11">
        <f>+'SECURED LOANS'!BR52+'RETAIL CREDIT'!BS70+'UCL LOANS'!BR71+'UNSECURED LOANS'!BS71+'CAR FINANCE'!BR69</f>
        <v>762</v>
      </c>
      <c r="BS72" s="15">
        <f t="shared" si="58"/>
        <v>0.015297211571276574</v>
      </c>
      <c r="BT72" s="57"/>
      <c r="BU72" s="56"/>
      <c r="BV72" s="57"/>
      <c r="BW72" s="10">
        <f>+'SECURED LOANS'!BW52+'RETAIL CREDIT'!BX70+'UCL LOANS'!BW71+'UNSECURED LOANS'!BX71+'CAR FINANCE'!BW69</f>
        <v>21111824.069999993</v>
      </c>
      <c r="BX72" s="15">
        <f t="shared" si="73"/>
        <v>0.06419762600809814</v>
      </c>
      <c r="BY72" s="11">
        <f>+'SECURED LOANS'!BY52+'RETAIL CREDIT'!BZ70+'UCL LOANS'!BY71+'UNSECURED LOANS'!BZ71+'CAR FINANCE'!BY69</f>
        <v>763</v>
      </c>
      <c r="BZ72" s="15">
        <f t="shared" si="74"/>
        <v>0.016787678767876787</v>
      </c>
      <c r="CA72" s="57"/>
      <c r="CB72" s="56"/>
      <c r="CC72" s="57"/>
      <c r="CD72" s="10">
        <f>+'SECURED LOANS'!CD52+'RETAIL CREDIT'!CE70+'UCL LOANS'!CD71+'UNSECURED LOANS'!CE71+'CAR FINANCE'!CD69</f>
        <v>20445901.77999999</v>
      </c>
      <c r="CE72" s="15">
        <f t="shared" si="59"/>
        <v>0.06171669117571218</v>
      </c>
      <c r="CF72" s="11">
        <f>+'SECURED LOANS'!CF52+'RETAIL CREDIT'!CG70+'UCL LOANS'!CF71+'UNSECURED LOANS'!CG71+'CAR FINANCE'!CF69</f>
        <v>738</v>
      </c>
      <c r="CG72" s="15">
        <f t="shared" si="60"/>
        <v>0.013181160585114933</v>
      </c>
      <c r="CH72" s="57"/>
      <c r="CI72" s="56"/>
      <c r="CJ72" s="57"/>
      <c r="CK72" s="10">
        <f>+'SECURED LOANS'!CK52+'RETAIL CREDIT'!CL70+'UCL LOANS'!CK71+'UNSECURED LOANS'!CL71+'CAR FINANCE'!CK69</f>
        <v>20728431.56999999</v>
      </c>
      <c r="CL72" s="15">
        <f t="shared" si="61"/>
        <v>0.06256951752619506</v>
      </c>
      <c r="CM72" s="11">
        <f>+'SECURED LOANS'!CM52+'RETAIL CREDIT'!CN70+'UCL LOANS'!CM71+'UNSECURED LOANS'!CN71+'CAR FINANCE'!CM69</f>
        <v>750</v>
      </c>
      <c r="CN72" s="15">
        <f t="shared" si="62"/>
        <v>0.013395488399507046</v>
      </c>
      <c r="CO72" s="57"/>
      <c r="CP72" s="56"/>
      <c r="CQ72" s="57"/>
    </row>
    <row r="73" spans="1:95" ht="12.75">
      <c r="A73" s="9" t="s">
        <v>4</v>
      </c>
      <c r="B73" s="9"/>
      <c r="C73" s="9"/>
      <c r="D73" s="10">
        <f>+'SECURED LOANS'!D53+'RETAIL CREDIT'!D71+'UNSECURED LOANS'!D72+'CAR FINANCE'!D70+'UCL LOANS'!D72</f>
        <v>11130571.619999997</v>
      </c>
      <c r="E73" s="15">
        <f t="shared" si="63"/>
        <v>0.029113442347151613</v>
      </c>
      <c r="F73" s="11">
        <f>+'SECURED LOANS'!F53+'RETAIL CREDIT'!F71+'UNSECURED LOANS'!F72+'CAR FINANCE'!F70+'UCL LOANS'!F72</f>
        <v>314</v>
      </c>
      <c r="G73" s="15">
        <f t="shared" si="64"/>
        <v>0.0045915830725587106</v>
      </c>
      <c r="H73" s="15"/>
      <c r="I73" s="10">
        <f>+'SECURED LOANS'!J53+'RETAIL CREDIT'!J71+'UCL LOANS'!J72+'UNSECURED LOANS'!J72+'CAR FINANCE'!I70</f>
        <v>10606740.400000006</v>
      </c>
      <c r="J73" s="15">
        <f t="shared" si="65"/>
        <v>0.029907856723211813</v>
      </c>
      <c r="K73" s="11">
        <f>+'SECURED LOANS'!L53+'RETAIL CREDIT'!L71+'UCL LOANS'!L72+'UNSECURED LOANS'!L72+'CAR FINANCE'!K70</f>
        <v>299</v>
      </c>
      <c r="L73" s="15">
        <f t="shared" si="66"/>
        <v>0.004916307672070769</v>
      </c>
      <c r="M73" s="57"/>
      <c r="N73" s="56"/>
      <c r="O73" s="57"/>
      <c r="P73" s="15"/>
      <c r="Q73" s="10">
        <f>+'SECURED LOANS'!R53+'RETAIL CREDIT'!R71+'UCL LOANS'!R72+'UNSECURED LOANS'!R72+'CAR FINANCE'!Q70</f>
        <v>13260119.840000005</v>
      </c>
      <c r="R73" s="15">
        <f t="shared" si="67"/>
        <v>0.03706948369227495</v>
      </c>
      <c r="S73" s="11">
        <f>+'SECURED LOANS'!T53+'RETAIL CREDIT'!T71+'UCL LOANS'!T72+'UNSECURED LOANS'!T72+'CAR FINANCE'!S70</f>
        <v>371</v>
      </c>
      <c r="T73" s="15">
        <f t="shared" si="68"/>
        <v>0.005961371597519041</v>
      </c>
      <c r="U73" s="57"/>
      <c r="V73" s="56"/>
      <c r="W73" s="57"/>
      <c r="X73" s="15"/>
      <c r="Y73" s="10">
        <f>+'SECURED LOANS'!Y53+'RETAIL CREDIT'!Z71+'UCL LOANS'!Z72+'UNSECURED LOANS'!Z72+'CAR FINANCE'!Y70</f>
        <v>17478089.590000004</v>
      </c>
      <c r="Z73" s="15">
        <f t="shared" si="69"/>
        <v>0.04879802572875093</v>
      </c>
      <c r="AA73" s="11">
        <f>+'SECURED LOANS'!AA53+'RETAIL CREDIT'!AB71+'UCL LOANS'!AB72+'UNSECURED LOANS'!AB72+'CAR FINANCE'!AA70</f>
        <v>485</v>
      </c>
      <c r="AB73" s="15">
        <f t="shared" si="70"/>
        <v>0.007970943036518423</v>
      </c>
      <c r="AC73" s="57"/>
      <c r="AD73" s="56"/>
      <c r="AE73" s="57"/>
      <c r="AF73" s="15"/>
      <c r="AG73" s="10">
        <f>+'SECURED LOANS'!AG53+'RETAIL CREDIT'!AH71+'UCL LOANS'!AG72+'UNSECURED LOANS'!AH72+'CAR FINANCE'!AG70</f>
        <v>21906147.430000003</v>
      </c>
      <c r="AH73" s="15">
        <f t="shared" si="71"/>
        <v>0.057508119135804545</v>
      </c>
      <c r="AI73" s="11">
        <f>+'SECURED LOANS'!AI53+'RETAIL CREDIT'!AJ71+'UCL LOANS'!AI72+'UNSECURED LOANS'!AJ72+'CAR FINANCE'!AI70</f>
        <v>608</v>
      </c>
      <c r="AJ73" s="15">
        <f t="shared" si="72"/>
        <v>0.009718359387487613</v>
      </c>
      <c r="AK73" s="57"/>
      <c r="AL73" s="56"/>
      <c r="AM73" s="57"/>
      <c r="AN73" s="10">
        <f>+'SECURED LOANS'!AN53+'RETAIL CREDIT'!AO71+'UCL LOANS'!AN72+'UNSECURED LOANS'!AO72+'CAR FINANCE'!AN70</f>
        <v>22975729.550000004</v>
      </c>
      <c r="AO73" s="15">
        <f t="shared" si="49"/>
        <v>0.06044183134923408</v>
      </c>
      <c r="AP73" s="11">
        <f>+'SECURED LOANS'!AP53+'RETAIL CREDIT'!AQ71+'UCL LOANS'!AP72+'UNSECURED LOANS'!AQ72+'CAR FINANCE'!AP70</f>
        <v>638</v>
      </c>
      <c r="AQ73" s="15">
        <f t="shared" si="50"/>
        <v>0.010257564551914853</v>
      </c>
      <c r="AR73" s="57"/>
      <c r="AS73" s="56"/>
      <c r="AT73" s="57"/>
      <c r="AU73" s="10">
        <f>+'SECURED LOANS'!AU53+'RETAIL CREDIT'!AV71+'UCL LOANS'!AU72+'UNSECURED LOANS'!AV72+'CAR FINANCE'!AU70</f>
        <v>27316235.389999997</v>
      </c>
      <c r="AV73" s="15">
        <f t="shared" si="51"/>
        <v>0.07153570746839898</v>
      </c>
      <c r="AW73" s="11">
        <f>+'SECURED LOANS'!AW53+'RETAIL CREDIT'!AX71+'UCL LOANS'!AW72+'UNSECURED LOANS'!AX72+'CAR FINANCE'!AW70</f>
        <v>757</v>
      </c>
      <c r="AX73" s="15">
        <f t="shared" si="52"/>
        <v>0.011980691619846483</v>
      </c>
      <c r="AY73" s="57"/>
      <c r="AZ73" s="56"/>
      <c r="BA73" s="57"/>
      <c r="BB73" s="10">
        <f>+'SECURED LOANS'!BB53+'RETAIL CREDIT'!BC71+'UCL LOANS'!BB72+'UNSECURED LOANS'!BC72+'CAR FINANCE'!BB70</f>
        <v>28020214.39000001</v>
      </c>
      <c r="BC73" s="15">
        <f t="shared" si="53"/>
        <v>0.07764644228198095</v>
      </c>
      <c r="BD73" s="11">
        <f>+'SECURED LOANS'!BD53+'RETAIL CREDIT'!BE71+'UCL LOANS'!BD72+'UNSECURED LOANS'!BE72+'CAR FINANCE'!BD70</f>
        <v>775</v>
      </c>
      <c r="BE73" s="15">
        <f t="shared" si="54"/>
        <v>0.012977878995930807</v>
      </c>
      <c r="BF73" s="57"/>
      <c r="BG73" s="56"/>
      <c r="BH73" s="57"/>
      <c r="BI73" s="10">
        <f>+'SECURED LOANS'!BI53+'RETAIL CREDIT'!BJ71+'UCL LOANS'!BI72+'UNSECURED LOANS'!BJ72+'CAR FINANCE'!BI70</f>
        <v>28899846.45</v>
      </c>
      <c r="BJ73" s="15">
        <f t="shared" si="55"/>
        <v>0.08008397894838648</v>
      </c>
      <c r="BK73" s="11">
        <f>+'SECURED LOANS'!BK53+'RETAIL CREDIT'!BL71+'UCL LOANS'!BK72+'UNSECURED LOANS'!BL72+'CAR FINANCE'!BK70</f>
        <v>801</v>
      </c>
      <c r="BL73" s="15">
        <f t="shared" si="56"/>
        <v>0.013413265904181388</v>
      </c>
      <c r="BM73" s="57"/>
      <c r="BN73" s="56"/>
      <c r="BO73" s="57"/>
      <c r="BP73" s="10">
        <f>+'SECURED LOANS'!BP53+'RETAIL CREDIT'!BQ71+'UCL LOANS'!BP72+'UNSECURED LOANS'!BQ72+'CAR FINANCE'!BP70</f>
        <v>33836418.00000003</v>
      </c>
      <c r="BQ73" s="15">
        <f t="shared" si="57"/>
        <v>0.09954202572987553</v>
      </c>
      <c r="BR73" s="11">
        <f>+'SECURED LOANS'!BR53+'RETAIL CREDIT'!BS71+'UCL LOANS'!BR72+'UNSECURED LOANS'!BS72+'CAR FINANCE'!BR70</f>
        <v>934</v>
      </c>
      <c r="BS73" s="15">
        <f t="shared" si="58"/>
        <v>0.018750125469255013</v>
      </c>
      <c r="BT73" s="57"/>
      <c r="BU73" s="56"/>
      <c r="BV73" s="57"/>
      <c r="BW73" s="10">
        <f>+'SECURED LOANS'!BW53+'RETAIL CREDIT'!BX71+'UCL LOANS'!BW72+'UNSECURED LOANS'!BX72+'CAR FINANCE'!BW70</f>
        <v>35722350.7</v>
      </c>
      <c r="BX73" s="15">
        <f t="shared" si="73"/>
        <v>0.10862586305972015</v>
      </c>
      <c r="BY73" s="11">
        <f>+'SECURED LOANS'!BY53+'RETAIL CREDIT'!BZ71+'UCL LOANS'!BY72+'UNSECURED LOANS'!BZ72+'CAR FINANCE'!BY70</f>
        <v>986</v>
      </c>
      <c r="BZ73" s="15">
        <f t="shared" si="74"/>
        <v>0.021694169416941696</v>
      </c>
      <c r="CA73" s="57"/>
      <c r="CB73" s="56"/>
      <c r="CC73" s="57"/>
      <c r="CD73" s="10">
        <f>+'SECURED LOANS'!CD53+'RETAIL CREDIT'!CE71+'UCL LOANS'!CD72+'UNSECURED LOANS'!CE72+'CAR FINANCE'!CD70</f>
        <v>38241905.89000001</v>
      </c>
      <c r="CE73" s="15">
        <f t="shared" si="59"/>
        <v>0.1154345707604089</v>
      </c>
      <c r="CF73" s="11">
        <f>+'SECURED LOANS'!CF53+'RETAIL CREDIT'!CG71+'UCL LOANS'!CF72+'UNSECURED LOANS'!CG72+'CAR FINANCE'!CF70</f>
        <v>1053</v>
      </c>
      <c r="CG73" s="15">
        <f t="shared" si="60"/>
        <v>0.018807265712907893</v>
      </c>
      <c r="CH73" s="57"/>
      <c r="CI73" s="56"/>
      <c r="CJ73" s="57"/>
      <c r="CK73" s="10">
        <f>+'SECURED LOANS'!CK53+'RETAIL CREDIT'!CL71+'UCL LOANS'!CK72+'UNSECURED LOANS'!CL72+'CAR FINANCE'!CK70</f>
        <v>39168688.46</v>
      </c>
      <c r="CL73" s="15">
        <f t="shared" si="61"/>
        <v>0.11823209733933794</v>
      </c>
      <c r="CM73" s="11">
        <f>+'SECURED LOANS'!CM53+'RETAIL CREDIT'!CN71+'UCL LOANS'!CM72+'UNSECURED LOANS'!CN72+'CAR FINANCE'!CM70</f>
        <v>1081</v>
      </c>
      <c r="CN73" s="15">
        <f t="shared" si="62"/>
        <v>0.01930736394648949</v>
      </c>
      <c r="CO73" s="57"/>
      <c r="CP73" s="56"/>
      <c r="CQ73" s="57"/>
    </row>
    <row r="74" spans="1:95" ht="12.75">
      <c r="A74" s="9" t="s">
        <v>5</v>
      </c>
      <c r="B74" s="9"/>
      <c r="C74" s="9"/>
      <c r="D74" s="10">
        <f>+'SECURED LOANS'!D54+'RETAIL CREDIT'!D72+'UNSECURED LOANS'!D73+'CAR FINANCE'!D71+'UCL LOANS'!D73</f>
        <v>5038469.14</v>
      </c>
      <c r="E74" s="15">
        <f t="shared" si="63"/>
        <v>0.01317876438274898</v>
      </c>
      <c r="F74" s="11">
        <f>+'SECURED LOANS'!F54+'RETAIL CREDIT'!F72+'UNSECURED LOANS'!F73+'CAR FINANCE'!F71+'UCL LOANS'!F73</f>
        <v>89</v>
      </c>
      <c r="G74" s="15">
        <f t="shared" si="64"/>
        <v>0.0013014359664258767</v>
      </c>
      <c r="H74" s="15"/>
      <c r="I74" s="10">
        <f>+'SECURED LOANS'!J54+'RETAIL CREDIT'!J72+'UCL LOANS'!J73+'UNSECURED LOANS'!J73+'CAR FINANCE'!I71</f>
        <v>4681118.01</v>
      </c>
      <c r="J74" s="15">
        <f t="shared" si="65"/>
        <v>0.013199362053541568</v>
      </c>
      <c r="K74" s="11">
        <f>+'SECURED LOANS'!L54+'RETAIL CREDIT'!L72+'UCL LOANS'!L73+'UNSECURED LOANS'!L73+'CAR FINANCE'!K71</f>
        <v>84</v>
      </c>
      <c r="L74" s="15">
        <f t="shared" si="66"/>
        <v>0.0013811700483409516</v>
      </c>
      <c r="M74" s="57"/>
      <c r="N74" s="56"/>
      <c r="O74" s="57"/>
      <c r="P74" s="15"/>
      <c r="Q74" s="10">
        <f>+'SECURED LOANS'!R54+'RETAIL CREDIT'!R72+'UCL LOANS'!R73+'UNSECURED LOANS'!R73+'CAR FINANCE'!Q71</f>
        <v>5854354.53</v>
      </c>
      <c r="R74" s="15">
        <f t="shared" si="67"/>
        <v>0.016366209536355963</v>
      </c>
      <c r="S74" s="11">
        <f>+'SECURED LOANS'!T54+'RETAIL CREDIT'!T72+'UCL LOANS'!T73+'UNSECURED LOANS'!T73+'CAR FINANCE'!S71</f>
        <v>108</v>
      </c>
      <c r="T74" s="15">
        <f t="shared" si="68"/>
        <v>0.001735385801973198</v>
      </c>
      <c r="U74" s="57"/>
      <c r="V74" s="56"/>
      <c r="W74" s="57"/>
      <c r="X74" s="15"/>
      <c r="Y74" s="10">
        <f>+'SECURED LOANS'!Y54+'RETAIL CREDIT'!Z72+'UCL LOANS'!Z73+'UNSECURED LOANS'!Z73+'CAR FINANCE'!Y71</f>
        <v>7468942.290000001</v>
      </c>
      <c r="Z74" s="15">
        <f t="shared" si="69"/>
        <v>0.020852944834571927</v>
      </c>
      <c r="AA74" s="11">
        <f>+'SECURED LOANS'!AA54+'RETAIL CREDIT'!AB72+'UCL LOANS'!AB73+'UNSECURED LOANS'!AB73+'CAR FINANCE'!AA71</f>
        <v>140</v>
      </c>
      <c r="AB74" s="15">
        <f t="shared" si="70"/>
        <v>0.0023008907734279986</v>
      </c>
      <c r="AC74" s="57"/>
      <c r="AD74" s="56"/>
      <c r="AE74" s="57"/>
      <c r="AF74" s="15"/>
      <c r="AG74" s="10">
        <f>+'SECURED LOANS'!AG54+'RETAIL CREDIT'!AH72+'UCL LOANS'!AG73+'UNSECURED LOANS'!AH73+'CAR FINANCE'!AG71</f>
        <v>10026407.820000002</v>
      </c>
      <c r="AH74" s="15">
        <f t="shared" si="71"/>
        <v>0.026321371992004454</v>
      </c>
      <c r="AI74" s="11">
        <f>+'SECURED LOANS'!AI54+'RETAIL CREDIT'!AJ72+'UCL LOANS'!AI73+'UNSECURED LOANS'!AJ73+'CAR FINANCE'!AI71</f>
        <v>189</v>
      </c>
      <c r="AJ74" s="15">
        <f t="shared" si="72"/>
        <v>0.0030210031648604586</v>
      </c>
      <c r="AK74" s="57"/>
      <c r="AL74" s="56"/>
      <c r="AM74" s="57"/>
      <c r="AN74" s="10">
        <f>+'SECURED LOANS'!AN54+'RETAIL CREDIT'!AO72+'UCL LOANS'!AN73+'UNSECURED LOANS'!AO73+'CAR FINANCE'!AN71</f>
        <v>12191433.579999994</v>
      </c>
      <c r="AO74" s="15">
        <f t="shared" si="49"/>
        <v>0.03207178125700686</v>
      </c>
      <c r="AP74" s="11">
        <f>+'SECURED LOANS'!AP54+'RETAIL CREDIT'!AQ72+'UCL LOANS'!AP73+'UNSECURED LOANS'!AQ73+'CAR FINANCE'!AP71</f>
        <v>226</v>
      </c>
      <c r="AQ74" s="15">
        <f t="shared" si="50"/>
        <v>0.0036335573491109037</v>
      </c>
      <c r="AR74" s="57"/>
      <c r="AS74" s="56"/>
      <c r="AT74" s="57"/>
      <c r="AU74" s="10">
        <f>+'SECURED LOANS'!AU54+'RETAIL CREDIT'!AV72+'UCL LOANS'!AU73+'UNSECURED LOANS'!AV73+'CAR FINANCE'!AU71</f>
        <v>16636060.579999996</v>
      </c>
      <c r="AV74" s="15">
        <f t="shared" si="51"/>
        <v>0.04356648513554355</v>
      </c>
      <c r="AW74" s="11">
        <f>+'SECURED LOANS'!AW54+'RETAIL CREDIT'!AX72+'UCL LOANS'!AW73+'UNSECURED LOANS'!AX73+'CAR FINANCE'!AW71</f>
        <v>307</v>
      </c>
      <c r="AX74" s="15">
        <f t="shared" si="52"/>
        <v>0.004858748120598244</v>
      </c>
      <c r="AY74" s="57"/>
      <c r="AZ74" s="56"/>
      <c r="BA74" s="57"/>
      <c r="BB74" s="10">
        <f>+'SECURED LOANS'!BB54+'RETAIL CREDIT'!BC72+'UCL LOANS'!BB73+'UNSECURED LOANS'!BC73+'CAR FINANCE'!BB71</f>
        <v>18440511.27</v>
      </c>
      <c r="BC74" s="15">
        <f t="shared" si="53"/>
        <v>0.051100254767760665</v>
      </c>
      <c r="BD74" s="11">
        <f>+'SECURED LOANS'!BD54+'RETAIL CREDIT'!BE72+'UCL LOANS'!BD73+'UNSECURED LOANS'!BE73+'CAR FINANCE'!BD71</f>
        <v>339</v>
      </c>
      <c r="BE74" s="15">
        <f t="shared" si="54"/>
        <v>0.005676775457574895</v>
      </c>
      <c r="BF74" s="57"/>
      <c r="BG74" s="56"/>
      <c r="BH74" s="57"/>
      <c r="BI74" s="10">
        <f>+'SECURED LOANS'!BI54+'RETAIL CREDIT'!BJ72+'UCL LOANS'!BI73+'UNSECURED LOANS'!BJ73+'CAR FINANCE'!BI71</f>
        <v>19599434.779999997</v>
      </c>
      <c r="BJ74" s="15">
        <f t="shared" si="55"/>
        <v>0.0543117322452692</v>
      </c>
      <c r="BK74" s="11">
        <f>+'SECURED LOANS'!BK54+'RETAIL CREDIT'!BL72+'UCL LOANS'!BK73+'UNSECURED LOANS'!BL73+'CAR FINANCE'!BK71</f>
        <v>360</v>
      </c>
      <c r="BL74" s="15">
        <f t="shared" si="56"/>
        <v>0.006028434114238827</v>
      </c>
      <c r="BM74" s="57"/>
      <c r="BN74" s="56"/>
      <c r="BO74" s="57"/>
      <c r="BP74" s="10">
        <f>+'SECURED LOANS'!BP54+'RETAIL CREDIT'!BQ72+'UCL LOANS'!BP73+'UNSECURED LOANS'!BQ73+'CAR FINANCE'!BP71</f>
        <v>23825917.21000002</v>
      </c>
      <c r="BQ74" s="15">
        <f t="shared" si="57"/>
        <v>0.07009252764154007</v>
      </c>
      <c r="BR74" s="11">
        <f>+'SECURED LOANS'!BR54+'RETAIL CREDIT'!BS72+'UCL LOANS'!BR73+'UNSECURED LOANS'!BS73+'CAR FINANCE'!BR71</f>
        <v>433</v>
      </c>
      <c r="BS74" s="15">
        <f t="shared" si="58"/>
        <v>0.008692509987352699</v>
      </c>
      <c r="BT74" s="57"/>
      <c r="BU74" s="56"/>
      <c r="BV74" s="57"/>
      <c r="BW74" s="10">
        <f>+'SECURED LOANS'!BW54+'RETAIL CREDIT'!BX72+'UCL LOANS'!BW73+'UNSECURED LOANS'!BX73+'CAR FINANCE'!BW71</f>
        <v>26117642.56000001</v>
      </c>
      <c r="BX74" s="15">
        <f t="shared" si="73"/>
        <v>0.07941950651543432</v>
      </c>
      <c r="BY74" s="11">
        <f>+'SECURED LOANS'!BY54+'RETAIL CREDIT'!BZ72+'UCL LOANS'!BY73+'UNSECURED LOANS'!BZ73+'CAR FINANCE'!BY71</f>
        <v>476</v>
      </c>
      <c r="BZ74" s="15">
        <f t="shared" si="74"/>
        <v>0.010473047304730473</v>
      </c>
      <c r="CA74" s="57"/>
      <c r="CB74" s="56"/>
      <c r="CC74" s="57"/>
      <c r="CD74" s="10">
        <f>+'SECURED LOANS'!CD54+'RETAIL CREDIT'!CE72+'UCL LOANS'!CD73+'UNSECURED LOANS'!CE73+'CAR FINANCE'!CD71</f>
        <v>29880781.089999974</v>
      </c>
      <c r="CE74" s="15">
        <f t="shared" si="59"/>
        <v>0.09019621430562255</v>
      </c>
      <c r="CF74" s="11">
        <f>+'SECURED LOANS'!CF54+'RETAIL CREDIT'!CG72+'UCL LOANS'!CF73+'UNSECURED LOANS'!CG73+'CAR FINANCE'!CF71</f>
        <v>543</v>
      </c>
      <c r="CG74" s="15">
        <f t="shared" si="60"/>
        <v>0.009698333601243102</v>
      </c>
      <c r="CH74" s="57"/>
      <c r="CI74" s="56"/>
      <c r="CJ74" s="57"/>
      <c r="CK74" s="10">
        <f>+'SECURED LOANS'!CK54+'RETAIL CREDIT'!CL72+'UCL LOANS'!CK73+'UNSECURED LOANS'!CL73+'CAR FINANCE'!CK71</f>
        <v>31081111.62</v>
      </c>
      <c r="CL74" s="15">
        <f t="shared" si="61"/>
        <v>0.09381945525756998</v>
      </c>
      <c r="CM74" s="11">
        <f>+'SECURED LOANS'!CM54+'RETAIL CREDIT'!CN72+'UCL LOANS'!CM73+'UNSECURED LOANS'!CN73+'CAR FINANCE'!CM71</f>
        <v>564</v>
      </c>
      <c r="CN74" s="15">
        <f t="shared" si="62"/>
        <v>0.010073407276429299</v>
      </c>
      <c r="CO74" s="57"/>
      <c r="CP74" s="56"/>
      <c r="CQ74" s="57"/>
    </row>
    <row r="75" spans="1:95" ht="12.75">
      <c r="A75" s="9"/>
      <c r="B75" s="9"/>
      <c r="C75" s="9"/>
      <c r="D75" s="10"/>
      <c r="E75" s="9"/>
      <c r="F75" s="11"/>
      <c r="G75" s="9"/>
      <c r="H75" s="9"/>
      <c r="I75" s="10"/>
      <c r="J75" s="9"/>
      <c r="K75" s="11"/>
      <c r="L75" s="9"/>
      <c r="M75" s="55"/>
      <c r="N75" s="56"/>
      <c r="O75" s="55"/>
      <c r="P75" s="9"/>
      <c r="Q75" s="10"/>
      <c r="R75" s="9"/>
      <c r="S75" s="11"/>
      <c r="T75" s="9"/>
      <c r="U75" s="55"/>
      <c r="V75" s="56"/>
      <c r="W75" s="55"/>
      <c r="X75" s="9"/>
      <c r="Y75" s="10"/>
      <c r="Z75" s="9"/>
      <c r="AA75" s="11"/>
      <c r="AB75" s="9"/>
      <c r="AC75" s="55"/>
      <c r="AD75" s="56"/>
      <c r="AE75" s="55"/>
      <c r="AF75" s="9"/>
      <c r="AG75" s="10"/>
      <c r="AH75" s="9"/>
      <c r="AI75" s="11"/>
      <c r="AJ75" s="9"/>
      <c r="AK75" s="55"/>
      <c r="AL75" s="56"/>
      <c r="AM75" s="55"/>
      <c r="AN75" s="10"/>
      <c r="AO75" s="15"/>
      <c r="AP75" s="11"/>
      <c r="AQ75" s="15"/>
      <c r="AR75" s="55"/>
      <c r="AS75" s="56"/>
      <c r="AT75" s="55"/>
      <c r="AU75" s="10"/>
      <c r="AV75" s="15"/>
      <c r="AW75" s="11"/>
      <c r="AX75" s="15"/>
      <c r="AY75" s="55"/>
      <c r="AZ75" s="56"/>
      <c r="BA75" s="55"/>
      <c r="BB75" s="10"/>
      <c r="BC75" s="15"/>
      <c r="BD75" s="11"/>
      <c r="BE75" s="15"/>
      <c r="BF75" s="55"/>
      <c r="BG75" s="56"/>
      <c r="BH75" s="55"/>
      <c r="BI75" s="10"/>
      <c r="BJ75" s="15"/>
      <c r="BK75" s="11"/>
      <c r="BL75" s="15"/>
      <c r="BM75" s="55"/>
      <c r="BN75" s="56"/>
      <c r="BO75" s="55"/>
      <c r="BP75" s="10"/>
      <c r="BQ75" s="15"/>
      <c r="BR75" s="11"/>
      <c r="BS75" s="15"/>
      <c r="BT75" s="55"/>
      <c r="BU75" s="56"/>
      <c r="BV75" s="55"/>
      <c r="BW75" s="10"/>
      <c r="BX75" s="15"/>
      <c r="BY75" s="11"/>
      <c r="BZ75" s="15"/>
      <c r="CA75" s="55"/>
      <c r="CB75" s="56"/>
      <c r="CC75" s="55"/>
      <c r="CD75" s="10"/>
      <c r="CE75" s="15"/>
      <c r="CF75" s="11"/>
      <c r="CG75" s="15"/>
      <c r="CH75" s="55"/>
      <c r="CI75" s="56"/>
      <c r="CJ75" s="55"/>
      <c r="CK75" s="10"/>
      <c r="CL75" s="15"/>
      <c r="CM75" s="11"/>
      <c r="CN75" s="15"/>
      <c r="CO75" s="55"/>
      <c r="CP75" s="56"/>
      <c r="CQ75" s="55"/>
    </row>
    <row r="76" spans="1:95" ht="13.5" thickBot="1">
      <c r="A76" s="9"/>
      <c r="B76" s="13"/>
      <c r="C76" s="13"/>
      <c r="D76" s="22">
        <f>SUM(D61:D75)</f>
        <v>382317263.87000006</v>
      </c>
      <c r="E76" s="24"/>
      <c r="F76" s="23">
        <f>SUM(F61:F75)</f>
        <v>68386</v>
      </c>
      <c r="G76" s="13"/>
      <c r="H76" s="13"/>
      <c r="I76" s="22">
        <f>SUM(I61:I75)</f>
        <v>354647292.12</v>
      </c>
      <c r="J76" s="24"/>
      <c r="K76" s="23">
        <f>SUM(K61:K75)</f>
        <v>60818</v>
      </c>
      <c r="L76" s="13"/>
      <c r="M76" s="58"/>
      <c r="N76" s="32"/>
      <c r="O76" s="54"/>
      <c r="P76" s="13"/>
      <c r="Q76" s="22">
        <f>SUM(Q61:Q75)</f>
        <v>357709860.49000007</v>
      </c>
      <c r="R76" s="24"/>
      <c r="S76" s="23">
        <f>SUM(S61:S75)</f>
        <v>62234</v>
      </c>
      <c r="T76" s="13"/>
      <c r="U76" s="58"/>
      <c r="V76" s="32"/>
      <c r="W76" s="54"/>
      <c r="X76" s="13"/>
      <c r="Y76" s="22">
        <f>SUM(Y61:Y75)</f>
        <v>358172063.91</v>
      </c>
      <c r="Z76" s="24"/>
      <c r="AA76" s="23">
        <f>SUM(AA61:AA75)</f>
        <v>60846</v>
      </c>
      <c r="AB76" s="13"/>
      <c r="AC76" s="58"/>
      <c r="AD76" s="32"/>
      <c r="AE76" s="54"/>
      <c r="AF76" s="13"/>
      <c r="AG76" s="22">
        <f>SUM(AG61:AG75)</f>
        <v>380922689.85999995</v>
      </c>
      <c r="AH76" s="24"/>
      <c r="AI76" s="23">
        <f>SUM(AI61:AI75)</f>
        <v>62562</v>
      </c>
      <c r="AJ76" s="13"/>
      <c r="AK76" s="58"/>
      <c r="AL76" s="32"/>
      <c r="AM76" s="54"/>
      <c r="AN76" s="22">
        <f>SUM(AN61:AN75)</f>
        <v>380129606.2200001</v>
      </c>
      <c r="AO76" s="101"/>
      <c r="AP76" s="23">
        <f>SUM(AP61:AP75)</f>
        <v>62198</v>
      </c>
      <c r="AQ76" s="101"/>
      <c r="AR76" s="58"/>
      <c r="AS76" s="32"/>
      <c r="AT76" s="54"/>
      <c r="AU76" s="22">
        <f>SUM(AU61:AU75)</f>
        <v>381854550.08</v>
      </c>
      <c r="AV76" s="101"/>
      <c r="AW76" s="23">
        <f>SUM(AW61:AW75)</f>
        <v>63185</v>
      </c>
      <c r="AX76" s="101"/>
      <c r="AY76" s="58"/>
      <c r="AZ76" s="32"/>
      <c r="BA76" s="54"/>
      <c r="BB76" s="22">
        <f>SUM(BB61:BB75)</f>
        <v>360869262.85999995</v>
      </c>
      <c r="BC76" s="101"/>
      <c r="BD76" s="23">
        <f>SUM(BD61:BD75)</f>
        <v>59717</v>
      </c>
      <c r="BE76" s="101"/>
      <c r="BF76" s="58"/>
      <c r="BG76" s="32"/>
      <c r="BH76" s="54"/>
      <c r="BI76" s="22">
        <f>SUM(BI61:BI75)</f>
        <v>343991119.4299999</v>
      </c>
      <c r="BJ76" s="101"/>
      <c r="BK76" s="23">
        <f>SUM(BK61:BK75)</f>
        <v>55288</v>
      </c>
      <c r="BL76" s="101"/>
      <c r="BM76" s="58"/>
      <c r="BN76" s="32"/>
      <c r="BO76" s="54"/>
      <c r="BP76" s="22">
        <f>SUM(BP61:BP75)</f>
        <v>339920930.4000001</v>
      </c>
      <c r="BQ76" s="101"/>
      <c r="BR76" s="23">
        <f>SUM(BR61:BR75)</f>
        <v>49813</v>
      </c>
      <c r="BS76" s="101"/>
      <c r="BT76" s="58"/>
      <c r="BU76" s="32"/>
      <c r="BV76" s="54"/>
      <c r="BW76" s="22">
        <f>SUM(BW61:BW75)</f>
        <v>328856772.16999996</v>
      </c>
      <c r="BX76" s="101"/>
      <c r="BY76" s="23">
        <f>SUM(BY61:BY75)</f>
        <v>45450</v>
      </c>
      <c r="BZ76" s="101"/>
      <c r="CA76" s="58"/>
      <c r="CB76" s="32"/>
      <c r="CC76" s="54"/>
      <c r="CD76" s="22">
        <f>SUM(CD61:CD75)</f>
        <v>331286421.72</v>
      </c>
      <c r="CE76" s="101"/>
      <c r="CF76" s="23">
        <f>SUM(CF61:CF75)</f>
        <v>55989</v>
      </c>
      <c r="CG76" s="101"/>
      <c r="CH76" s="58"/>
      <c r="CI76" s="32"/>
      <c r="CJ76" s="54"/>
      <c r="CK76" s="22">
        <f>SUM(CK61:CK75)</f>
        <v>330666497.96</v>
      </c>
      <c r="CL76" s="101"/>
      <c r="CM76" s="23">
        <f>SUM(CM61:CM75)</f>
        <v>55375</v>
      </c>
      <c r="CN76" s="101"/>
      <c r="CO76" s="58"/>
      <c r="CP76" s="32"/>
      <c r="CQ76" s="54"/>
    </row>
    <row r="77" spans="1:95" ht="13.5" thickTop="1">
      <c r="A77" s="9"/>
      <c r="B77" s="9"/>
      <c r="C77" s="9"/>
      <c r="D77" s="10"/>
      <c r="E77" s="9"/>
      <c r="F77" s="11"/>
      <c r="G77" s="9"/>
      <c r="H77" s="9"/>
      <c r="I77" s="10"/>
      <c r="J77" s="9"/>
      <c r="K77" s="11"/>
      <c r="L77" s="9"/>
      <c r="M77" s="55"/>
      <c r="N77" s="56"/>
      <c r="O77" s="55"/>
      <c r="P77" s="9"/>
      <c r="Q77" s="10"/>
      <c r="R77" s="9"/>
      <c r="S77" s="11"/>
      <c r="T77" s="9"/>
      <c r="U77" s="55"/>
      <c r="V77" s="56"/>
      <c r="W77" s="55"/>
      <c r="X77" s="9"/>
      <c r="Y77" s="10"/>
      <c r="Z77" s="9"/>
      <c r="AA77" s="11"/>
      <c r="AB77" s="9"/>
      <c r="AC77" s="55"/>
      <c r="AD77" s="56"/>
      <c r="AE77" s="55"/>
      <c r="AF77" s="9"/>
      <c r="AG77" s="10"/>
      <c r="AH77" s="9"/>
      <c r="AI77" s="11"/>
      <c r="AJ77" s="9"/>
      <c r="AK77" s="55"/>
      <c r="AL77" s="56"/>
      <c r="AM77" s="55"/>
      <c r="AN77" s="10"/>
      <c r="AO77" s="15"/>
      <c r="AP77" s="11"/>
      <c r="AQ77" s="15"/>
      <c r="AR77" s="55"/>
      <c r="AS77" s="56"/>
      <c r="AT77" s="55"/>
      <c r="AU77" s="10"/>
      <c r="AV77" s="15"/>
      <c r="AW77" s="11"/>
      <c r="AX77" s="15"/>
      <c r="AY77" s="55"/>
      <c r="AZ77" s="56"/>
      <c r="BA77" s="55"/>
      <c r="BB77" s="10"/>
      <c r="BC77" s="15"/>
      <c r="BD77" s="11"/>
      <c r="BE77" s="15"/>
      <c r="BF77" s="55"/>
      <c r="BG77" s="56"/>
      <c r="BH77" s="55"/>
      <c r="BI77" s="10"/>
      <c r="BJ77" s="15"/>
      <c r="BK77" s="11"/>
      <c r="BL77" s="15"/>
      <c r="BM77" s="55"/>
      <c r="BN77" s="56"/>
      <c r="BO77" s="55"/>
      <c r="BP77" s="10"/>
      <c r="BQ77" s="15"/>
      <c r="BR77" s="11"/>
      <c r="BS77" s="15"/>
      <c r="BT77" s="55"/>
      <c r="BU77" s="56"/>
      <c r="BV77" s="55"/>
      <c r="BW77" s="10"/>
      <c r="BX77" s="15"/>
      <c r="BY77" s="11"/>
      <c r="BZ77" s="15"/>
      <c r="CA77" s="55"/>
      <c r="CB77" s="56"/>
      <c r="CC77" s="55"/>
      <c r="CD77" s="10"/>
      <c r="CE77" s="15"/>
      <c r="CF77" s="11"/>
      <c r="CG77" s="15"/>
      <c r="CH77" s="55"/>
      <c r="CI77" s="56"/>
      <c r="CJ77" s="55"/>
      <c r="CK77" s="10"/>
      <c r="CL77" s="15"/>
      <c r="CM77" s="11"/>
      <c r="CN77" s="15"/>
      <c r="CO77" s="55"/>
      <c r="CP77" s="56"/>
      <c r="CQ77" s="55"/>
    </row>
    <row r="78" spans="1:95" ht="12.75">
      <c r="A78" s="9"/>
      <c r="B78" s="9"/>
      <c r="C78" s="9"/>
      <c r="D78" s="10"/>
      <c r="E78" s="9"/>
      <c r="F78" s="11"/>
      <c r="G78" s="9"/>
      <c r="H78" s="9"/>
      <c r="I78" s="9"/>
      <c r="J78" s="9"/>
      <c r="K78" s="9"/>
      <c r="L78" s="10"/>
      <c r="M78" s="9"/>
      <c r="N78" s="11"/>
      <c r="O78" s="9"/>
      <c r="P78" s="9"/>
      <c r="Q78" s="9"/>
      <c r="R78" s="9"/>
      <c r="S78" s="9"/>
      <c r="T78" s="10"/>
      <c r="U78" s="9"/>
      <c r="V78" s="11"/>
      <c r="W78" s="9"/>
      <c r="X78" s="9"/>
      <c r="Y78" s="9"/>
      <c r="Z78" s="9"/>
      <c r="AA78" s="9"/>
      <c r="AB78" s="10"/>
      <c r="AC78" s="9"/>
      <c r="AD78" s="11"/>
      <c r="AE78" s="9"/>
      <c r="AF78" s="9"/>
      <c r="AG78" s="9"/>
      <c r="AH78" s="9"/>
      <c r="AI78" s="9"/>
      <c r="AJ78" s="10"/>
      <c r="AK78" s="9"/>
      <c r="AL78" s="11"/>
      <c r="AM78" s="9"/>
      <c r="AN78" s="9"/>
      <c r="AO78" s="15"/>
      <c r="AP78" s="9"/>
      <c r="AQ78" s="15"/>
      <c r="AR78" s="9"/>
      <c r="AS78" s="11"/>
      <c r="AT78" s="9"/>
      <c r="AU78" s="9"/>
      <c r="AV78" s="15"/>
      <c r="AW78" s="9"/>
      <c r="AX78" s="15"/>
      <c r="AY78" s="9"/>
      <c r="AZ78" s="11"/>
      <c r="BA78" s="9"/>
      <c r="BB78" s="9"/>
      <c r="BC78" s="15"/>
      <c r="BD78" s="9"/>
      <c r="BE78" s="15"/>
      <c r="BF78" s="9"/>
      <c r="BG78" s="11"/>
      <c r="BH78" s="9"/>
      <c r="BI78" s="9"/>
      <c r="BJ78" s="15"/>
      <c r="BK78" s="9"/>
      <c r="BL78" s="15"/>
      <c r="BM78" s="9"/>
      <c r="BN78" s="11"/>
      <c r="BO78" s="9"/>
      <c r="BP78" s="9"/>
      <c r="BQ78" s="15"/>
      <c r="BR78" s="9"/>
      <c r="BS78" s="15"/>
      <c r="BT78" s="9"/>
      <c r="BU78" s="11"/>
      <c r="BV78" s="9"/>
      <c r="BW78" s="9"/>
      <c r="BX78" s="15"/>
      <c r="BY78" s="9"/>
      <c r="BZ78" s="15"/>
      <c r="CA78" s="9"/>
      <c r="CB78" s="11"/>
      <c r="CC78" s="9"/>
      <c r="CD78" s="9"/>
      <c r="CE78" s="15"/>
      <c r="CF78" s="9"/>
      <c r="CG78" s="15"/>
      <c r="CH78" s="9"/>
      <c r="CI78" s="11"/>
      <c r="CJ78" s="9"/>
      <c r="CK78" s="9"/>
      <c r="CL78" s="15"/>
      <c r="CM78" s="9"/>
      <c r="CN78" s="15"/>
      <c r="CO78" s="9"/>
      <c r="CP78" s="11"/>
      <c r="CQ78" s="9"/>
    </row>
    <row r="79" spans="1:95" ht="12.75">
      <c r="A79" s="20" t="s">
        <v>105</v>
      </c>
      <c r="B79" s="9"/>
      <c r="C79" s="9"/>
      <c r="D79" s="10"/>
      <c r="E79" s="9"/>
      <c r="F79" s="11"/>
      <c r="G79" s="9"/>
      <c r="H79" s="9"/>
      <c r="I79" s="20" t="s">
        <v>105</v>
      </c>
      <c r="J79" s="9"/>
      <c r="K79" s="9"/>
      <c r="L79" s="10"/>
      <c r="M79" s="9"/>
      <c r="N79" s="11"/>
      <c r="O79" s="9"/>
      <c r="P79" s="9"/>
      <c r="Q79" s="20" t="s">
        <v>105</v>
      </c>
      <c r="R79" s="9"/>
      <c r="S79" s="9"/>
      <c r="T79" s="10"/>
      <c r="U79" s="9"/>
      <c r="V79" s="11"/>
      <c r="W79" s="9"/>
      <c r="X79" s="9"/>
      <c r="Y79" s="20" t="s">
        <v>105</v>
      </c>
      <c r="Z79" s="9"/>
      <c r="AA79" s="9"/>
      <c r="AB79" s="10"/>
      <c r="AC79" s="9"/>
      <c r="AD79" s="11"/>
      <c r="AE79" s="9"/>
      <c r="AF79" s="9"/>
      <c r="AG79" s="20" t="s">
        <v>105</v>
      </c>
      <c r="AH79" s="9"/>
      <c r="AI79" s="9"/>
      <c r="AJ79" s="10"/>
      <c r="AK79" s="9"/>
      <c r="AL79" s="11"/>
      <c r="AM79" s="9"/>
      <c r="AN79" s="20" t="s">
        <v>105</v>
      </c>
      <c r="AO79" s="15"/>
      <c r="AP79" s="9"/>
      <c r="AQ79" s="15"/>
      <c r="AR79" s="9"/>
      <c r="AS79" s="11"/>
      <c r="AT79" s="9"/>
      <c r="AU79" s="20" t="s">
        <v>105</v>
      </c>
      <c r="AV79" s="15"/>
      <c r="AW79" s="9"/>
      <c r="AX79" s="15"/>
      <c r="AY79" s="9"/>
      <c r="AZ79" s="11"/>
      <c r="BA79" s="9"/>
      <c r="BB79" s="20" t="s">
        <v>105</v>
      </c>
      <c r="BC79" s="15"/>
      <c r="BD79" s="9"/>
      <c r="BE79" s="15"/>
      <c r="BF79" s="9"/>
      <c r="BG79" s="11"/>
      <c r="BH79" s="9"/>
      <c r="BI79" s="20" t="s">
        <v>105</v>
      </c>
      <c r="BJ79" s="15"/>
      <c r="BK79" s="9"/>
      <c r="BL79" s="15"/>
      <c r="BM79" s="9"/>
      <c r="BN79" s="11"/>
      <c r="BO79" s="9"/>
      <c r="BP79" s="20" t="s">
        <v>105</v>
      </c>
      <c r="BQ79" s="15"/>
      <c r="BR79" s="9"/>
      <c r="BS79" s="15"/>
      <c r="BT79" s="9"/>
      <c r="BU79" s="11"/>
      <c r="BV79" s="9"/>
      <c r="BW79" s="20" t="s">
        <v>105</v>
      </c>
      <c r="BX79" s="15"/>
      <c r="BY79" s="9"/>
      <c r="BZ79" s="15"/>
      <c r="CA79" s="9"/>
      <c r="CB79" s="11"/>
      <c r="CC79" s="9"/>
      <c r="CD79" s="20" t="s">
        <v>105</v>
      </c>
      <c r="CE79" s="15"/>
      <c r="CF79" s="9"/>
      <c r="CG79" s="15"/>
      <c r="CH79" s="9"/>
      <c r="CI79" s="11"/>
      <c r="CJ79" s="9"/>
      <c r="CK79" s="20" t="s">
        <v>105</v>
      </c>
      <c r="CL79" s="15"/>
      <c r="CM79" s="9"/>
      <c r="CN79" s="15"/>
      <c r="CO79" s="9"/>
      <c r="CP79" s="11"/>
      <c r="CQ79" s="9"/>
    </row>
    <row r="80" spans="1:95" ht="12.75">
      <c r="A80" s="20"/>
      <c r="B80" s="9"/>
      <c r="C80" s="9"/>
      <c r="D80" s="10"/>
      <c r="E80" s="9"/>
      <c r="F80" s="11"/>
      <c r="G80" s="9"/>
      <c r="H80" s="9"/>
      <c r="I80" s="20"/>
      <c r="J80" s="9"/>
      <c r="K80" s="9"/>
      <c r="L80" s="10"/>
      <c r="M80" s="9"/>
      <c r="N80" s="11"/>
      <c r="O80" s="9"/>
      <c r="P80" s="9"/>
      <c r="Q80" s="20"/>
      <c r="R80" s="9"/>
      <c r="S80" s="9"/>
      <c r="T80" s="10"/>
      <c r="U80" s="9"/>
      <c r="V80" s="11"/>
      <c r="W80" s="9"/>
      <c r="X80" s="9"/>
      <c r="Y80" s="20"/>
      <c r="Z80" s="9"/>
      <c r="AA80" s="9"/>
      <c r="AB80" s="10"/>
      <c r="AC80" s="9"/>
      <c r="AD80" s="11"/>
      <c r="AE80" s="9"/>
      <c r="AF80" s="9"/>
      <c r="AG80" s="20"/>
      <c r="AH80" s="9"/>
      <c r="AI80" s="9"/>
      <c r="AJ80" s="10"/>
      <c r="AK80" s="9"/>
      <c r="AL80" s="11"/>
      <c r="AM80" s="9"/>
      <c r="AN80" s="20"/>
      <c r="AO80" s="15"/>
      <c r="AP80" s="9"/>
      <c r="AQ80" s="15"/>
      <c r="AR80" s="9"/>
      <c r="AS80" s="11"/>
      <c r="AT80" s="9"/>
      <c r="AU80" s="20"/>
      <c r="AV80" s="15"/>
      <c r="AW80" s="9"/>
      <c r="AX80" s="15"/>
      <c r="AY80" s="9"/>
      <c r="AZ80" s="11"/>
      <c r="BA80" s="9"/>
      <c r="BB80" s="20"/>
      <c r="BC80" s="15"/>
      <c r="BD80" s="9"/>
      <c r="BE80" s="15"/>
      <c r="BF80" s="9"/>
      <c r="BG80" s="11"/>
      <c r="BH80" s="9"/>
      <c r="BI80" s="20"/>
      <c r="BJ80" s="15"/>
      <c r="BK80" s="9"/>
      <c r="BL80" s="15"/>
      <c r="BM80" s="9"/>
      <c r="BN80" s="11"/>
      <c r="BO80" s="9"/>
      <c r="BP80" s="20"/>
      <c r="BQ80" s="15"/>
      <c r="BR80" s="9"/>
      <c r="BS80" s="15"/>
      <c r="BT80" s="9"/>
      <c r="BU80" s="11"/>
      <c r="BV80" s="9"/>
      <c r="BW80" s="20"/>
      <c r="BX80" s="15"/>
      <c r="BY80" s="9"/>
      <c r="BZ80" s="15"/>
      <c r="CA80" s="9"/>
      <c r="CB80" s="11"/>
      <c r="CC80" s="9"/>
      <c r="CD80" s="20"/>
      <c r="CE80" s="15"/>
      <c r="CF80" s="9"/>
      <c r="CG80" s="15"/>
      <c r="CH80" s="9"/>
      <c r="CI80" s="11"/>
      <c r="CJ80" s="9"/>
      <c r="CK80" s="20"/>
      <c r="CL80" s="15"/>
      <c r="CM80" s="9"/>
      <c r="CN80" s="15"/>
      <c r="CO80" s="9"/>
      <c r="CP80" s="11"/>
      <c r="CQ80" s="9"/>
    </row>
    <row r="81" spans="1:95" s="30" customFormat="1" ht="12.75">
      <c r="A81" s="26"/>
      <c r="B81" s="27"/>
      <c r="C81" s="27"/>
      <c r="D81" s="28" t="s">
        <v>143</v>
      </c>
      <c r="E81" s="27" t="s">
        <v>96</v>
      </c>
      <c r="F81" s="29" t="s">
        <v>97</v>
      </c>
      <c r="G81" s="27" t="s">
        <v>96</v>
      </c>
      <c r="H81" s="27"/>
      <c r="I81" s="28" t="s">
        <v>143</v>
      </c>
      <c r="J81" s="27" t="s">
        <v>96</v>
      </c>
      <c r="K81" s="29" t="s">
        <v>97</v>
      </c>
      <c r="L81" s="27" t="s">
        <v>96</v>
      </c>
      <c r="M81" s="54"/>
      <c r="N81" s="32"/>
      <c r="O81" s="54"/>
      <c r="P81" s="27"/>
      <c r="Q81" s="28" t="s">
        <v>143</v>
      </c>
      <c r="R81" s="27" t="s">
        <v>96</v>
      </c>
      <c r="S81" s="29" t="s">
        <v>97</v>
      </c>
      <c r="T81" s="27" t="s">
        <v>96</v>
      </c>
      <c r="U81" s="54"/>
      <c r="V81" s="32"/>
      <c r="W81" s="54"/>
      <c r="X81" s="27"/>
      <c r="Y81" s="28" t="s">
        <v>143</v>
      </c>
      <c r="Z81" s="27" t="s">
        <v>96</v>
      </c>
      <c r="AA81" s="29" t="s">
        <v>97</v>
      </c>
      <c r="AB81" s="27" t="s">
        <v>96</v>
      </c>
      <c r="AC81" s="54"/>
      <c r="AD81" s="32"/>
      <c r="AE81" s="54"/>
      <c r="AF81" s="27"/>
      <c r="AG81" s="28" t="s">
        <v>143</v>
      </c>
      <c r="AH81" s="27" t="s">
        <v>96</v>
      </c>
      <c r="AI81" s="29" t="s">
        <v>97</v>
      </c>
      <c r="AJ81" s="27" t="s">
        <v>96</v>
      </c>
      <c r="AK81" s="54"/>
      <c r="AL81" s="32"/>
      <c r="AM81" s="54"/>
      <c r="AN81" s="28" t="s">
        <v>143</v>
      </c>
      <c r="AO81" s="102" t="s">
        <v>96</v>
      </c>
      <c r="AP81" s="93" t="s">
        <v>97</v>
      </c>
      <c r="AQ81" s="102" t="s">
        <v>96</v>
      </c>
      <c r="AR81" s="54"/>
      <c r="AS81" s="32"/>
      <c r="AT81" s="54"/>
      <c r="AU81" s="28" t="s">
        <v>143</v>
      </c>
      <c r="AV81" s="104" t="s">
        <v>96</v>
      </c>
      <c r="AW81" s="29" t="s">
        <v>97</v>
      </c>
      <c r="AX81" s="104" t="s">
        <v>96</v>
      </c>
      <c r="AY81" s="54"/>
      <c r="AZ81" s="32"/>
      <c r="BA81" s="54"/>
      <c r="BB81" s="28" t="s">
        <v>143</v>
      </c>
      <c r="BC81" s="104" t="s">
        <v>96</v>
      </c>
      <c r="BD81" s="29" t="s">
        <v>97</v>
      </c>
      <c r="BE81" s="104" t="s">
        <v>96</v>
      </c>
      <c r="BF81" s="54"/>
      <c r="BG81" s="32"/>
      <c r="BH81" s="54"/>
      <c r="BI81" s="28" t="s">
        <v>143</v>
      </c>
      <c r="BJ81" s="104" t="s">
        <v>96</v>
      </c>
      <c r="BK81" s="29" t="s">
        <v>97</v>
      </c>
      <c r="BL81" s="104" t="s">
        <v>96</v>
      </c>
      <c r="BM81" s="54"/>
      <c r="BN81" s="32"/>
      <c r="BO81" s="54"/>
      <c r="BP81" s="28" t="s">
        <v>143</v>
      </c>
      <c r="BQ81" s="104" t="s">
        <v>96</v>
      </c>
      <c r="BR81" s="29" t="s">
        <v>97</v>
      </c>
      <c r="BS81" s="104" t="s">
        <v>96</v>
      </c>
      <c r="BT81" s="54"/>
      <c r="BU81" s="32"/>
      <c r="BV81" s="54"/>
      <c r="BW81" s="28" t="s">
        <v>143</v>
      </c>
      <c r="BX81" s="104" t="s">
        <v>96</v>
      </c>
      <c r="BY81" s="29" t="s">
        <v>97</v>
      </c>
      <c r="BZ81" s="104" t="s">
        <v>96</v>
      </c>
      <c r="CA81" s="54"/>
      <c r="CB81" s="32"/>
      <c r="CC81" s="54"/>
      <c r="CD81" s="28" t="s">
        <v>143</v>
      </c>
      <c r="CE81" s="104" t="s">
        <v>96</v>
      </c>
      <c r="CF81" s="29" t="s">
        <v>97</v>
      </c>
      <c r="CG81" s="104" t="s">
        <v>96</v>
      </c>
      <c r="CH81" s="54"/>
      <c r="CI81" s="32"/>
      <c r="CJ81" s="54"/>
      <c r="CK81" s="28" t="s">
        <v>143</v>
      </c>
      <c r="CL81" s="104" t="s">
        <v>96</v>
      </c>
      <c r="CM81" s="29" t="s">
        <v>97</v>
      </c>
      <c r="CN81" s="104" t="s">
        <v>96</v>
      </c>
      <c r="CO81" s="54"/>
      <c r="CP81" s="32"/>
      <c r="CQ81" s="54"/>
    </row>
    <row r="82" spans="1:95" ht="12.75">
      <c r="A82" s="13"/>
      <c r="B82" s="9"/>
      <c r="C82" s="9"/>
      <c r="D82" s="10"/>
      <c r="E82" s="9"/>
      <c r="F82" s="11"/>
      <c r="G82" s="9"/>
      <c r="H82" s="9"/>
      <c r="I82" s="10"/>
      <c r="J82" s="9"/>
      <c r="K82" s="11"/>
      <c r="L82" s="9"/>
      <c r="M82" s="55"/>
      <c r="N82" s="56"/>
      <c r="O82" s="55"/>
      <c r="P82" s="9"/>
      <c r="Q82" s="10"/>
      <c r="R82" s="9"/>
      <c r="S82" s="11"/>
      <c r="T82" s="9"/>
      <c r="U82" s="55"/>
      <c r="V82" s="56"/>
      <c r="W82" s="55"/>
      <c r="X82" s="9"/>
      <c r="Y82" s="10"/>
      <c r="Z82" s="9"/>
      <c r="AA82" s="11"/>
      <c r="AB82" s="9"/>
      <c r="AC82" s="55"/>
      <c r="AD82" s="56"/>
      <c r="AE82" s="55"/>
      <c r="AF82" s="9"/>
      <c r="AG82" s="10"/>
      <c r="AH82" s="9"/>
      <c r="AI82" s="11"/>
      <c r="AJ82" s="9"/>
      <c r="AK82" s="55"/>
      <c r="AL82" s="56"/>
      <c r="AM82" s="55"/>
      <c r="AN82" s="10"/>
      <c r="AO82" s="15"/>
      <c r="AP82" s="11"/>
      <c r="AQ82" s="15"/>
      <c r="AR82" s="55"/>
      <c r="AS82" s="56"/>
      <c r="AT82" s="55"/>
      <c r="AU82" s="10"/>
      <c r="AV82" s="15"/>
      <c r="AW82" s="11"/>
      <c r="AX82" s="15"/>
      <c r="AY82" s="55"/>
      <c r="AZ82" s="56"/>
      <c r="BA82" s="55"/>
      <c r="BB82" s="10"/>
      <c r="BC82" s="15"/>
      <c r="BD82" s="11"/>
      <c r="BE82" s="15"/>
      <c r="BF82" s="55"/>
      <c r="BG82" s="56"/>
      <c r="BH82" s="55"/>
      <c r="BI82" s="10"/>
      <c r="BJ82" s="15"/>
      <c r="BK82" s="11"/>
      <c r="BL82" s="15"/>
      <c r="BM82" s="55"/>
      <c r="BN82" s="56"/>
      <c r="BO82" s="55"/>
      <c r="BP82" s="10"/>
      <c r="BQ82" s="15"/>
      <c r="BR82" s="11"/>
      <c r="BS82" s="15"/>
      <c r="BT82" s="55"/>
      <c r="BU82" s="56"/>
      <c r="BV82" s="55"/>
      <c r="BW82" s="10"/>
      <c r="BX82" s="15"/>
      <c r="BY82" s="11"/>
      <c r="BZ82" s="15"/>
      <c r="CA82" s="55"/>
      <c r="CB82" s="56"/>
      <c r="CC82" s="55"/>
      <c r="CD82" s="10"/>
      <c r="CE82" s="15"/>
      <c r="CF82" s="11"/>
      <c r="CG82" s="15"/>
      <c r="CH82" s="55"/>
      <c r="CI82" s="56"/>
      <c r="CJ82" s="55"/>
      <c r="CK82" s="10"/>
      <c r="CL82" s="15"/>
      <c r="CM82" s="11"/>
      <c r="CN82" s="15"/>
      <c r="CO82" s="55"/>
      <c r="CP82" s="56"/>
      <c r="CQ82" s="55"/>
    </row>
    <row r="83" spans="1:95" ht="12.75">
      <c r="A83" s="9" t="s">
        <v>23</v>
      </c>
      <c r="B83" s="9"/>
      <c r="C83" s="9"/>
      <c r="D83" s="10">
        <f>+'SECURED LOANS'!D63+'RETAIL CREDIT'!D81+'UNSECURED LOANS'!D82+'CAR FINANCE'!D81+'UCL LOANS'!D82</f>
        <v>36955331.78000002</v>
      </c>
      <c r="E83" s="15">
        <f>+D83/$D$96</f>
        <v>0.09666142565972644</v>
      </c>
      <c r="F83" s="11">
        <f>+'SECURED LOANS'!F63+'RETAIL CREDIT'!F81+'UNSECURED LOANS'!F82+'CAR FINANCE'!F81+'UCL LOANS'!F82</f>
        <v>8913</v>
      </c>
      <c r="G83" s="15">
        <f>+F83/$F$96</f>
        <v>0.130333694030942</v>
      </c>
      <c r="H83" s="15"/>
      <c r="I83" s="10">
        <f>+'SECURED LOANS'!J63+'RETAIL CREDIT'!J81+'UCL LOANS'!J82+'UNSECURED LOANS'!J82+'CAR FINANCE'!I81</f>
        <v>34457351.960000046</v>
      </c>
      <c r="J83" s="15">
        <f>+I83/$I$96</f>
        <v>0.09715949543565355</v>
      </c>
      <c r="K83" s="11">
        <f>+'SECURED LOANS'!L63+'RETAIL CREDIT'!L81+'UCL LOANS'!L82+'UNSECURED LOANS'!L82+'CAR FINANCE'!K81</f>
        <v>6136</v>
      </c>
      <c r="L83" s="15">
        <f>+K83/$K$96</f>
        <v>0.10089118353119142</v>
      </c>
      <c r="M83" s="57"/>
      <c r="N83" s="56"/>
      <c r="O83" s="57"/>
      <c r="P83" s="15"/>
      <c r="Q83" s="10">
        <f>+'SECURED LOANS'!R63+'RETAIL CREDIT'!R81+'UCL LOANS'!R82+'UNSECURED LOANS'!R82+'CAR FINANCE'!Q81</f>
        <v>47567594.46000002</v>
      </c>
      <c r="R83" s="15">
        <f>+Q83/$Q$96</f>
        <v>0.13297814713533673</v>
      </c>
      <c r="S83" s="11">
        <f>+'SECURED LOANS'!T63+'RETAIL CREDIT'!T81+'UCL LOANS'!T82+'UNSECURED LOANS'!T82+'CAR FINANCE'!S81</f>
        <v>8857</v>
      </c>
      <c r="T83" s="15">
        <f>+S83/$S$96</f>
        <v>0.14231770414885753</v>
      </c>
      <c r="U83" s="57"/>
      <c r="V83" s="56"/>
      <c r="W83" s="57"/>
      <c r="X83" s="15"/>
      <c r="Y83" s="10">
        <f>+'SECURED LOANS'!Y63+'RETAIL CREDIT'!Z81+'UCL LOANS'!Z82+'UNSECURED LOANS'!Z82+'CAR FINANCE'!Y81</f>
        <v>59295061.28000006</v>
      </c>
      <c r="Z83" s="15">
        <f>+Y83/$Y$96</f>
        <v>0.16554909568519377</v>
      </c>
      <c r="AA83" s="11">
        <f>+'SECURED LOANS'!AA63+'RETAIL CREDIT'!AB81+'UCL LOANS'!AB82+'UNSECURED LOANS'!AB82+'CAR FINANCE'!AA81</f>
        <v>9684</v>
      </c>
      <c r="AB83" s="15">
        <f>+AA83/$AA$96</f>
        <v>0.15915590178483385</v>
      </c>
      <c r="AC83" s="57"/>
      <c r="AD83" s="56"/>
      <c r="AE83" s="57"/>
      <c r="AF83" s="15"/>
      <c r="AG83" s="10">
        <f>+'SECURED LOANS'!AG63+'RETAIL CREDIT'!AH81+'UCL LOANS'!AG82+'UNSECURED LOANS'!AH82+'CAR FINANCE'!AG81</f>
        <v>79974438.39000006</v>
      </c>
      <c r="AH83" s="15">
        <f>+AG83/$AG$96</f>
        <v>0.20994926403410888</v>
      </c>
      <c r="AI83" s="11">
        <f>+'SECURED LOANS'!AI63+'RETAIL CREDIT'!AJ81+'UCL LOANS'!AI82+'UNSECURED LOANS'!AJ82+'CAR FINANCE'!AI81</f>
        <v>11474</v>
      </c>
      <c r="AJ83" s="15">
        <f>+AI83/$AI$96</f>
        <v>0.18340206515136984</v>
      </c>
      <c r="AK83" s="57"/>
      <c r="AL83" s="56"/>
      <c r="AM83" s="57"/>
      <c r="AN83" s="10">
        <f>+'SECURED LOANS'!AN63+'RETAIL CREDIT'!AO81+'UCL LOANS'!AN82+'UNSECURED LOANS'!AO82+'CAR FINANCE'!AN81</f>
        <v>92414543.70000002</v>
      </c>
      <c r="AO83" s="15">
        <f aca="true" t="shared" si="75" ref="AO83:AO94">+AN83/$AN$33</f>
        <v>0.24311324923877436</v>
      </c>
      <c r="AP83" s="11">
        <f>+'SECURED LOANS'!AP63+'RETAIL CREDIT'!AQ81+'UCL LOANS'!AP82+'UNSECURED LOANS'!AQ82+'CAR FINANCE'!AP81</f>
        <v>12307</v>
      </c>
      <c r="AQ83" s="15">
        <f aca="true" t="shared" si="76" ref="AQ83:AQ94">+AP83/$AP$33</f>
        <v>0.19786809865268978</v>
      </c>
      <c r="AR83" s="57"/>
      <c r="AS83" s="56"/>
      <c r="AT83" s="57"/>
      <c r="AU83" s="10">
        <f>+'SECURED LOANS'!AU63+'RETAIL CREDIT'!AV81+'UCL LOANS'!AU82+'UNSECURED LOANS'!AV82+'CAR FINANCE'!AU81</f>
        <v>113059609.81000017</v>
      </c>
      <c r="AV83" s="15">
        <f aca="true" t="shared" si="77" ref="AV83:AV94">+AU83/$AU$33</f>
        <v>0.2960803001727063</v>
      </c>
      <c r="AW83" s="11">
        <f>+'SECURED LOANS'!AW63+'RETAIL CREDIT'!AX81+'UCL LOANS'!AW82+'UNSECURED LOANS'!AX82+'CAR FINANCE'!AW81</f>
        <v>15001</v>
      </c>
      <c r="AX83" s="15">
        <f aca="true" t="shared" si="78" ref="AX83:AX94">+AW83/$AW$33</f>
        <v>0.2374139431827174</v>
      </c>
      <c r="AY83" s="57"/>
      <c r="AZ83" s="56"/>
      <c r="BA83" s="57"/>
      <c r="BB83" s="10">
        <f>+'SECURED LOANS'!BB63+'RETAIL CREDIT'!BC81+'UCL LOANS'!BB82+'UNSECURED LOANS'!BC82+'CAR FINANCE'!BB81</f>
        <v>120889661.02000017</v>
      </c>
      <c r="BC83" s="15">
        <f aca="true" t="shared" si="79" ref="BC83:BC94">+BB83/$BB$33</f>
        <v>0.3349957268787936</v>
      </c>
      <c r="BD83" s="11">
        <f>+'SECURED LOANS'!BD63+'RETAIL CREDIT'!BE81+'UCL LOANS'!BD82+'UNSECURED LOANS'!BE82+'CAR FINANCE'!BD81</f>
        <v>15525</v>
      </c>
      <c r="BE83" s="15">
        <f aca="true" t="shared" si="80" ref="BE83:BE94">+BD83/$BD$33</f>
        <v>0.2599762211765494</v>
      </c>
      <c r="BF83" s="57"/>
      <c r="BG83" s="56"/>
      <c r="BH83" s="57"/>
      <c r="BI83" s="10">
        <f>+'SECURED LOANS'!BI63+'RETAIL CREDIT'!BJ81+'UCL LOANS'!BI82+'UNSECURED LOANS'!BJ82+'CAR FINANCE'!BI81</f>
        <v>122734752.29000007</v>
      </c>
      <c r="BJ83" s="15">
        <f aca="true" t="shared" si="81" ref="BJ83:BJ94">+BI83/$BB$33</f>
        <v>0.34010863468196023</v>
      </c>
      <c r="BK83" s="11">
        <f>+'SECURED LOANS'!BK63+'RETAIL CREDIT'!BL81+'UCL LOANS'!BK82+'UNSECURED LOANS'!BL82+'CAR FINANCE'!BK81</f>
        <v>14629</v>
      </c>
      <c r="BL83" s="15">
        <f aca="true" t="shared" si="82" ref="BL83:BL94">+BK83/$BD$33</f>
        <v>0.24497211849222164</v>
      </c>
      <c r="BM83" s="57"/>
      <c r="BN83" s="56"/>
      <c r="BO83" s="57"/>
      <c r="BP83" s="10">
        <f>+'SECURED LOANS'!BP63+'RETAIL CREDIT'!BQ81+'UCL LOANS'!BP82+'UNSECURED LOANS'!BQ82+'CAR FINANCE'!BP81</f>
        <v>134646926.8199999</v>
      </c>
      <c r="BQ83" s="15">
        <f aca="true" t="shared" si="83" ref="BQ83:BQ94">+BP83/$BP$33</f>
        <v>0.39611249198910725</v>
      </c>
      <c r="BR83" s="11">
        <f>+'SECURED LOANS'!BR63+'RETAIL CREDIT'!BS81+'UCL LOANS'!BR82+'UNSECURED LOANS'!BS82+'CAR FINANCE'!BR81</f>
        <v>12533</v>
      </c>
      <c r="BS83" s="15">
        <f aca="true" t="shared" si="84" ref="BS83:BS94">+BR83/$BR$33</f>
        <v>0.2516009876939755</v>
      </c>
      <c r="BT83" s="57"/>
      <c r="BU83" s="56"/>
      <c r="BV83" s="57"/>
      <c r="BW83" s="10">
        <f>+'SECURED LOANS'!BW63+'RETAIL CREDIT'!BX81+'UCL LOANS'!BW82+'UNSECURED LOANS'!BX82+'CAR FINANCE'!BW81</f>
        <v>136924030.15000024</v>
      </c>
      <c r="BX83" s="15">
        <f>+BW83/$BW$33</f>
        <v>0.4163637234729605</v>
      </c>
      <c r="BY83" s="11">
        <f>+'SECURED LOANS'!BY63+'RETAIL CREDIT'!BZ81+'UCL LOANS'!BY82+'UNSECURED LOANS'!BZ82+'CAR FINANCE'!BY81</f>
        <v>11069</v>
      </c>
      <c r="BZ83" s="15">
        <f>+BY83/$BY$33</f>
        <v>0.24354235423542353</v>
      </c>
      <c r="CA83" s="57"/>
      <c r="CB83" s="56"/>
      <c r="CC83" s="57"/>
      <c r="CD83" s="10">
        <f>+'SECURED LOANS'!CD63+'RETAIL CREDIT'!CE81+'UCL LOANS'!CD82+'UNSECURED LOANS'!CE82+'CAR FINANCE'!CD81</f>
        <v>104981596.59999993</v>
      </c>
      <c r="CE83" s="15">
        <f aca="true" t="shared" si="85" ref="CE83:CE94">+CD83/$CD$33</f>
        <v>0.3168907317569729</v>
      </c>
      <c r="CF83" s="11">
        <f>+'SECURED LOANS'!CF63+'RETAIL CREDIT'!CG81+'UCL LOANS'!CF82+'UNSECURED LOANS'!CG82+'CAR FINANCE'!CF81</f>
        <v>18437</v>
      </c>
      <c r="CG83" s="15">
        <f aca="true" t="shared" si="86" ref="CG83:CG94">+CF83/$CF$33</f>
        <v>0.3292968261622819</v>
      </c>
      <c r="CH83" s="57"/>
      <c r="CI83" s="56"/>
      <c r="CJ83" s="57"/>
      <c r="CK83" s="10">
        <f>+'SECURED LOANS'!CK63+'RETAIL CREDIT'!CL81+'UCL LOANS'!CK82+'UNSECURED LOANS'!CL82+'CAR FINANCE'!CK81</f>
        <v>110104575.96000004</v>
      </c>
      <c r="CL83" s="15">
        <f aca="true" t="shared" si="87" ref="CL83:CL94">+CK83/$CD$33</f>
        <v>0.3323546295328075</v>
      </c>
      <c r="CM83" s="11">
        <f>+'SECURED LOANS'!CM63+'RETAIL CREDIT'!CN81+'UCL LOANS'!CM82+'UNSECURED LOANS'!CN82+'CAR FINANCE'!CM81</f>
        <v>17789</v>
      </c>
      <c r="CN83" s="15">
        <f aca="true" t="shared" si="88" ref="CN83:CN94">+CM83/$CF$33</f>
        <v>0.3177231241851078</v>
      </c>
      <c r="CO83" s="57"/>
      <c r="CP83" s="56"/>
      <c r="CQ83" s="57"/>
    </row>
    <row r="84" spans="1:95" ht="12.75">
      <c r="A84" s="9" t="s">
        <v>64</v>
      </c>
      <c r="B84" s="9"/>
      <c r="C84" s="9"/>
      <c r="D84" s="10">
        <f>+'SECURED LOANS'!D64+'RETAIL CREDIT'!D82+'UNSECURED LOANS'!D83+'CAR FINANCE'!D82+'UCL LOANS'!D83</f>
        <v>11407591.640000002</v>
      </c>
      <c r="E84" s="15">
        <f aca="true" t="shared" si="89" ref="E84:E94">+D84/$D$96</f>
        <v>0.029838023856225717</v>
      </c>
      <c r="F84" s="11">
        <f>+'SECURED LOANS'!F64+'RETAIL CREDIT'!F82+'UNSECURED LOANS'!F83+'CAR FINANCE'!F82+'UCL LOANS'!F83</f>
        <v>2368</v>
      </c>
      <c r="G84" s="15">
        <f aca="true" t="shared" si="90" ref="G84:G94">+F84/$F$96</f>
        <v>0.034626970432544674</v>
      </c>
      <c r="H84" s="15"/>
      <c r="I84" s="10">
        <f>+'SECURED LOANS'!J64+'RETAIL CREDIT'!J82+'UCL LOANS'!J83+'UNSECURED LOANS'!J83+'CAR FINANCE'!I82</f>
        <v>9772266.309999999</v>
      </c>
      <c r="J84" s="15">
        <f aca="true" t="shared" si="91" ref="J84:J94">+I84/$I$96</f>
        <v>0.027554887707117778</v>
      </c>
      <c r="K84" s="11">
        <f>+'SECURED LOANS'!L64+'RETAIL CREDIT'!L82+'UCL LOANS'!L83+'UNSECURED LOANS'!L83+'CAR FINANCE'!K82</f>
        <v>2089</v>
      </c>
      <c r="L84" s="15">
        <f aca="true" t="shared" si="92" ref="L84:L94">+K84/$K$96</f>
        <v>0.03434838370219343</v>
      </c>
      <c r="M84" s="57"/>
      <c r="N84" s="56"/>
      <c r="O84" s="57"/>
      <c r="P84" s="15"/>
      <c r="Q84" s="10">
        <f>+'SECURED LOANS'!R64+'RETAIL CREDIT'!R82+'UCL LOANS'!R83+'UNSECURED LOANS'!R83+'CAR FINANCE'!Q82</f>
        <v>13993626.6</v>
      </c>
      <c r="R84" s="15">
        <f aca="true" t="shared" si="93" ref="R84:R94">+Q84/$Q$96</f>
        <v>0.03912004712654879</v>
      </c>
      <c r="S84" s="11">
        <f>+'SECURED LOANS'!T64+'RETAIL CREDIT'!T82+'UCL LOANS'!T83+'UNSECURED LOANS'!T83+'CAR FINANCE'!S82</f>
        <v>2205</v>
      </c>
      <c r="T84" s="15">
        <f aca="true" t="shared" si="94" ref="T84:T94">+S84/$S$96</f>
        <v>0.03543079345695279</v>
      </c>
      <c r="U84" s="57"/>
      <c r="V84" s="56"/>
      <c r="W84" s="57"/>
      <c r="X84" s="15"/>
      <c r="Y84" s="10">
        <f>+'SECURED LOANS'!Y64+'RETAIL CREDIT'!Z82+'UCL LOANS'!Z83+'UNSECURED LOANS'!Z83+'CAR FINANCE'!Y82</f>
        <v>16337326.7</v>
      </c>
      <c r="Z84" s="15">
        <f aca="true" t="shared" si="95" ref="Z84:Z94">+Y84/$Y$96</f>
        <v>0.04561306798093873</v>
      </c>
      <c r="AA84" s="11">
        <f>+'SECURED LOANS'!AA64+'RETAIL CREDIT'!AB82+'UCL LOANS'!AB83+'UNSECURED LOANS'!AB83+'CAR FINANCE'!AA82</f>
        <v>2462</v>
      </c>
      <c r="AB84" s="15">
        <f aca="true" t="shared" si="96" ref="AB84:AB94">+AA84/$AA$96</f>
        <v>0.04046280774414095</v>
      </c>
      <c r="AC84" s="57"/>
      <c r="AD84" s="56"/>
      <c r="AE84" s="57"/>
      <c r="AF84" s="15"/>
      <c r="AG84" s="10">
        <f>+'SECURED LOANS'!AG64+'RETAIL CREDIT'!AH82+'UCL LOANS'!AG83+'UNSECURED LOANS'!AH83+'CAR FINANCE'!AG82</f>
        <v>24622712.110000007</v>
      </c>
      <c r="AH84" s="15">
        <f aca="true" t="shared" si="97" ref="AH84:AH94">+AG84/$AG$96</f>
        <v>0.06463965724659136</v>
      </c>
      <c r="AI84" s="11">
        <f>+'SECURED LOANS'!AI64+'RETAIL CREDIT'!AJ82+'UCL LOANS'!AI83+'UNSECURED LOANS'!AJ83+'CAR FINANCE'!AI82</f>
        <v>3420</v>
      </c>
      <c r="AJ84" s="15">
        <f aca="true" t="shared" si="98" ref="AJ84:AJ94">+AI84/$AI$96</f>
        <v>0.05466577155461782</v>
      </c>
      <c r="AK84" s="57"/>
      <c r="AL84" s="56"/>
      <c r="AM84" s="57"/>
      <c r="AN84" s="10">
        <f>+'SECURED LOANS'!AN64+'RETAIL CREDIT'!AO82+'UCL LOANS'!AN83+'UNSECURED LOANS'!AO83+'CAR FINANCE'!AN82</f>
        <v>24948128.369999997</v>
      </c>
      <c r="AO84" s="15">
        <f t="shared" si="75"/>
        <v>0.06563058483679712</v>
      </c>
      <c r="AP84" s="11">
        <f>+'SECURED LOANS'!AP64+'RETAIL CREDIT'!AQ82+'UCL LOANS'!AP83+'UNSECURED LOANS'!AQ83+'CAR FINANCE'!AP82</f>
        <v>3855</v>
      </c>
      <c r="AQ84" s="15">
        <f t="shared" si="76"/>
        <v>0.06197948487089617</v>
      </c>
      <c r="AR84" s="57"/>
      <c r="AS84" s="56"/>
      <c r="AT84" s="57"/>
      <c r="AU84" s="10">
        <f>+'SECURED LOANS'!AU64+'RETAIL CREDIT'!AV82+'UCL LOANS'!AU83+'UNSECURED LOANS'!AV83+'CAR FINANCE'!AU82</f>
        <v>24629171.060000002</v>
      </c>
      <c r="AV84" s="15">
        <f t="shared" si="77"/>
        <v>0.06449882829690018</v>
      </c>
      <c r="AW84" s="11">
        <f>+'SECURED LOANS'!AW64+'RETAIL CREDIT'!AX82+'UCL LOANS'!AW83+'UNSECURED LOANS'!AX83+'CAR FINANCE'!AW82</f>
        <v>4036</v>
      </c>
      <c r="AX84" s="15">
        <f t="shared" si="78"/>
        <v>0.06387591991770199</v>
      </c>
      <c r="AY84" s="57"/>
      <c r="AZ84" s="56"/>
      <c r="BA84" s="57"/>
      <c r="BB84" s="10">
        <f>+'SECURED LOANS'!BB64+'RETAIL CREDIT'!BC82+'UCL LOANS'!BB83+'UNSECURED LOANS'!BC83+'CAR FINANCE'!BB82</f>
        <v>23500273.279999983</v>
      </c>
      <c r="BC84" s="15">
        <f t="shared" si="79"/>
        <v>0.06512129377202446</v>
      </c>
      <c r="BD84" s="11">
        <f>+'SECURED LOANS'!BD64+'RETAIL CREDIT'!BE82+'UCL LOANS'!BD83+'UNSECURED LOANS'!BE83+'CAR FINANCE'!BD82</f>
        <v>4178</v>
      </c>
      <c r="BE84" s="15">
        <f t="shared" si="80"/>
        <v>0.06996332702580504</v>
      </c>
      <c r="BF84" s="57"/>
      <c r="BG84" s="56"/>
      <c r="BH84" s="57"/>
      <c r="BI84" s="10">
        <f>+'SECURED LOANS'!BI64+'RETAIL CREDIT'!BJ82+'UCL LOANS'!BI83+'UNSECURED LOANS'!BJ83+'CAR FINANCE'!BI82</f>
        <v>20736139.200000025</v>
      </c>
      <c r="BJ84" s="15">
        <f t="shared" si="81"/>
        <v>0.0574616386989009</v>
      </c>
      <c r="BK84" s="11">
        <f>+'SECURED LOANS'!BK64+'RETAIL CREDIT'!BL82+'UCL LOANS'!BK83+'UNSECURED LOANS'!BL83+'CAR FINANCE'!BK82</f>
        <v>3820</v>
      </c>
      <c r="BL84" s="15">
        <f t="shared" si="82"/>
        <v>0.06396838421220088</v>
      </c>
      <c r="BM84" s="57"/>
      <c r="BN84" s="56"/>
      <c r="BO84" s="57"/>
      <c r="BP84" s="10">
        <f>+'SECURED LOANS'!BP64+'RETAIL CREDIT'!BQ82+'UCL LOANS'!BP83+'UNSECURED LOANS'!BQ83+'CAR FINANCE'!BP82</f>
        <v>19912617.339999977</v>
      </c>
      <c r="BQ84" s="15">
        <f t="shared" si="83"/>
        <v>0.05858014484888564</v>
      </c>
      <c r="BR84" s="11">
        <f>+'SECURED LOANS'!BR64+'RETAIL CREDIT'!BS82+'UCL LOANS'!BR83+'UNSECURED LOANS'!BS83+'CAR FINANCE'!BR82</f>
        <v>3624</v>
      </c>
      <c r="BS84" s="15">
        <f t="shared" si="84"/>
        <v>0.07275209282717363</v>
      </c>
      <c r="BT84" s="57"/>
      <c r="BU84" s="56"/>
      <c r="BV84" s="57"/>
      <c r="BW84" s="10">
        <f>+'SECURED LOANS'!BW64+'RETAIL CREDIT'!BX82+'UCL LOANS'!BW83+'UNSECURED LOANS'!BX83+'CAR FINANCE'!BW82</f>
        <v>18644012.059999995</v>
      </c>
      <c r="BX84" s="15">
        <f aca="true" t="shared" si="99" ref="BX84:BX94">+BW84/$BW$33</f>
        <v>0.0566934107422368</v>
      </c>
      <c r="BY84" s="11">
        <f>+'SECURED LOANS'!BY64+'RETAIL CREDIT'!BZ82+'UCL LOANS'!BY83+'UNSECURED LOANS'!BZ83+'CAR FINANCE'!BY82</f>
        <v>3361</v>
      </c>
      <c r="BZ84" s="15">
        <f aca="true" t="shared" si="100" ref="BZ84:BZ94">+BY84/$BY$33</f>
        <v>0.07394939493949394</v>
      </c>
      <c r="CA84" s="57"/>
      <c r="CB84" s="56"/>
      <c r="CC84" s="57"/>
      <c r="CD84" s="10">
        <f>+'SECURED LOANS'!CD64+'RETAIL CREDIT'!CE82+'UCL LOANS'!CD83+'UNSECURED LOANS'!CE83+'CAR FINANCE'!CD82</f>
        <v>58112913.78000007</v>
      </c>
      <c r="CE84" s="15">
        <f t="shared" si="85"/>
        <v>0.17541592401609662</v>
      </c>
      <c r="CF84" s="11">
        <f>+'SECURED LOANS'!CF64+'RETAIL CREDIT'!CG82+'UCL LOANS'!CF83+'UNSECURED LOANS'!CG83+'CAR FINANCE'!CF82</f>
        <v>5102</v>
      </c>
      <c r="CG84" s="15">
        <f t="shared" si="86"/>
        <v>0.09112504241904659</v>
      </c>
      <c r="CH84" s="57"/>
      <c r="CI84" s="56"/>
      <c r="CJ84" s="57"/>
      <c r="CK84" s="10">
        <f>+'SECURED LOANS'!CK64+'RETAIL CREDIT'!CL82+'UCL LOANS'!CK83+'UNSECURED LOANS'!CL83+'CAR FINANCE'!CK82</f>
        <v>56911703.38000006</v>
      </c>
      <c r="CL84" s="15">
        <f t="shared" si="87"/>
        <v>0.1717900271448531</v>
      </c>
      <c r="CM84" s="11">
        <f>+'SECURED LOANS'!CM64+'RETAIL CREDIT'!CN82+'UCL LOANS'!CM83+'UNSECURED LOANS'!CN83+'CAR FINANCE'!CM82</f>
        <v>4909</v>
      </c>
      <c r="CN84" s="15">
        <f t="shared" si="88"/>
        <v>0.08767793673757346</v>
      </c>
      <c r="CO84" s="57"/>
      <c r="CP84" s="56"/>
      <c r="CQ84" s="57"/>
    </row>
    <row r="85" spans="1:95" ht="12.75">
      <c r="A85" s="9" t="s">
        <v>65</v>
      </c>
      <c r="B85" s="9"/>
      <c r="C85" s="9"/>
      <c r="D85" s="10">
        <f>+'SECURED LOANS'!D65+'RETAIL CREDIT'!D83+'UNSECURED LOANS'!D84+'CAR FINANCE'!D83+'UCL LOANS'!D84</f>
        <v>22971965.299999986</v>
      </c>
      <c r="E85" s="15">
        <f t="shared" si="89"/>
        <v>0.06008613126037432</v>
      </c>
      <c r="F85" s="11">
        <f>+'SECURED LOANS'!F65+'RETAIL CREDIT'!F83+'UNSECURED LOANS'!F84+'CAR FINANCE'!F83+'UCL LOANS'!F84</f>
        <v>2909</v>
      </c>
      <c r="G85" s="15">
        <f t="shared" si="90"/>
        <v>0.04253794636329073</v>
      </c>
      <c r="H85" s="15"/>
      <c r="I85" s="10">
        <f>+'SECURED LOANS'!J65+'RETAIL CREDIT'!J83+'UCL LOANS'!J84+'UNSECURED LOANS'!J84+'CAR FINANCE'!I83</f>
        <v>20917211.17999999</v>
      </c>
      <c r="J85" s="15">
        <f t="shared" si="91"/>
        <v>0.05898032113811359</v>
      </c>
      <c r="K85" s="11">
        <f>+'SECURED LOANS'!L65+'RETAIL CREDIT'!L83+'UCL LOANS'!L84+'UNSECURED LOANS'!L84+'CAR FINANCE'!K83</f>
        <v>2758</v>
      </c>
      <c r="L85" s="15">
        <f t="shared" si="92"/>
        <v>0.04534841658719458</v>
      </c>
      <c r="M85" s="57"/>
      <c r="N85" s="56"/>
      <c r="O85" s="57"/>
      <c r="P85" s="15"/>
      <c r="Q85" s="10">
        <f>+'SECURED LOANS'!R65+'RETAIL CREDIT'!R83+'UCL LOANS'!R84+'UNSECURED LOANS'!R84+'CAR FINANCE'!Q83</f>
        <v>22325319.43000003</v>
      </c>
      <c r="R85" s="15">
        <f t="shared" si="93"/>
        <v>0.062411808831375884</v>
      </c>
      <c r="S85" s="11">
        <f>+'SECURED LOANS'!T65+'RETAIL CREDIT'!T83+'UCL LOANS'!T84+'UNSECURED LOANS'!T84+'CAR FINANCE'!S83</f>
        <v>3024</v>
      </c>
      <c r="T85" s="15">
        <f t="shared" si="94"/>
        <v>0.04859080245524954</v>
      </c>
      <c r="U85" s="57"/>
      <c r="V85" s="56"/>
      <c r="W85" s="57"/>
      <c r="X85" s="15"/>
      <c r="Y85" s="10">
        <f>+'SECURED LOANS'!Y65+'RETAIL CREDIT'!Z83+'UCL LOANS'!Z84+'UNSECURED LOANS'!Z84+'CAR FINANCE'!Y83</f>
        <v>23346682.849999994</v>
      </c>
      <c r="Z85" s="15">
        <f t="shared" si="95"/>
        <v>0.06518286935930995</v>
      </c>
      <c r="AA85" s="11">
        <f>+'SECURED LOANS'!AA65+'RETAIL CREDIT'!AB83+'UCL LOANS'!AB84+'UNSECURED LOANS'!AB84+'CAR FINANCE'!AA83</f>
        <v>3159</v>
      </c>
      <c r="AB85" s="15">
        <f t="shared" si="96"/>
        <v>0.05191795680899319</v>
      </c>
      <c r="AC85" s="57"/>
      <c r="AD85" s="56"/>
      <c r="AE85" s="57"/>
      <c r="AF85" s="15"/>
      <c r="AG85" s="10">
        <f>+'SECURED LOANS'!AG65+'RETAIL CREDIT'!AH83+'UCL LOANS'!AG84+'UNSECURED LOANS'!AH84+'CAR FINANCE'!AG83</f>
        <v>27130220.869999982</v>
      </c>
      <c r="AH85" s="15">
        <f t="shared" si="97"/>
        <v>0.07122238079325527</v>
      </c>
      <c r="AI85" s="11">
        <f>+'SECURED LOANS'!AI65+'RETAIL CREDIT'!AJ83+'UCL LOANS'!AI84+'UNSECURED LOANS'!AJ84+'CAR FINANCE'!AI83</f>
        <v>3787</v>
      </c>
      <c r="AJ85" s="15">
        <f t="shared" si="98"/>
        <v>0.06053195230331511</v>
      </c>
      <c r="AK85" s="57"/>
      <c r="AL85" s="56"/>
      <c r="AM85" s="57"/>
      <c r="AN85" s="10">
        <f>+'SECURED LOANS'!AN65+'RETAIL CREDIT'!AO83+'UCL LOANS'!AN84+'UNSECURED LOANS'!AO84+'CAR FINANCE'!AN83</f>
        <v>25902682.55000001</v>
      </c>
      <c r="AO85" s="15">
        <f t="shared" si="75"/>
        <v>0.06814171305301811</v>
      </c>
      <c r="AP85" s="11">
        <f>+'SECURED LOANS'!AP65+'RETAIL CREDIT'!AQ83+'UCL LOANS'!AP84+'UNSECURED LOANS'!AQ84+'CAR FINANCE'!AP83</f>
        <v>3712</v>
      </c>
      <c r="AQ85" s="15">
        <f t="shared" si="76"/>
        <v>0.059680375574777324</v>
      </c>
      <c r="AR85" s="57"/>
      <c r="AS85" s="56"/>
      <c r="AT85" s="57"/>
      <c r="AU85" s="10">
        <f>+'SECURED LOANS'!AU65+'RETAIL CREDIT'!AV83+'UCL LOANS'!AU84+'UNSECURED LOANS'!AV84+'CAR FINANCE'!AU83</f>
        <v>23519507.639999967</v>
      </c>
      <c r="AV85" s="15">
        <f t="shared" si="77"/>
        <v>0.06159284375444139</v>
      </c>
      <c r="AW85" s="11">
        <f>+'SECURED LOANS'!AW65+'RETAIL CREDIT'!AX83+'UCL LOANS'!AW84+'UNSECURED LOANS'!AX84+'CAR FINANCE'!AW83</f>
        <v>3604</v>
      </c>
      <c r="AX85" s="15">
        <f t="shared" si="78"/>
        <v>0.05703885415842368</v>
      </c>
      <c r="AY85" s="57"/>
      <c r="AZ85" s="56"/>
      <c r="BA85" s="57"/>
      <c r="BB85" s="10">
        <f>+'SECURED LOANS'!BB65+'RETAIL CREDIT'!BC83+'UCL LOANS'!BB84+'UNSECURED LOANS'!BC84+'CAR FINANCE'!BB83</f>
        <v>21063173.049999997</v>
      </c>
      <c r="BC85" s="15">
        <f t="shared" si="79"/>
        <v>0.058367877837718456</v>
      </c>
      <c r="BD85" s="11">
        <f>+'SECURED LOANS'!BD65+'RETAIL CREDIT'!BE83+'UCL LOANS'!BD84+'UNSECURED LOANS'!BE84+'CAR FINANCE'!BD83</f>
        <v>3465</v>
      </c>
      <c r="BE85" s="15">
        <f t="shared" si="80"/>
        <v>0.058023678349548705</v>
      </c>
      <c r="BF85" s="57"/>
      <c r="BG85" s="56"/>
      <c r="BH85" s="57"/>
      <c r="BI85" s="10">
        <f>+'SECURED LOANS'!BI65+'RETAIL CREDIT'!BJ83+'UCL LOANS'!BI84+'UNSECURED LOANS'!BJ84+'CAR FINANCE'!BI83</f>
        <v>18639894.19000001</v>
      </c>
      <c r="BJ85" s="15">
        <f t="shared" si="81"/>
        <v>0.05165276211743029</v>
      </c>
      <c r="BK85" s="11">
        <f>+'SECURED LOANS'!BK65+'RETAIL CREDIT'!BL83+'UCL LOANS'!BK84+'UNSECURED LOANS'!BL84+'CAR FINANCE'!BK83</f>
        <v>3118</v>
      </c>
      <c r="BL85" s="15">
        <f t="shared" si="82"/>
        <v>0.05221293768943517</v>
      </c>
      <c r="BM85" s="57"/>
      <c r="BN85" s="56"/>
      <c r="BO85" s="57"/>
      <c r="BP85" s="10">
        <f>+'SECURED LOANS'!BP65+'RETAIL CREDIT'!BQ83+'UCL LOANS'!BP84+'UNSECURED LOANS'!BQ84+'CAR FINANCE'!BP83</f>
        <v>17223411.69000001</v>
      </c>
      <c r="BQ85" s="15">
        <f t="shared" si="83"/>
        <v>0.05066887664061303</v>
      </c>
      <c r="BR85" s="11">
        <f>+'SECURED LOANS'!BR65+'RETAIL CREDIT'!BS83+'UCL LOANS'!BR84+'UNSECURED LOANS'!BS84+'CAR FINANCE'!BR83</f>
        <v>2911</v>
      </c>
      <c r="BS85" s="15">
        <f t="shared" si="84"/>
        <v>0.05843856021520487</v>
      </c>
      <c r="BT85" s="57"/>
      <c r="BU85" s="56"/>
      <c r="BV85" s="57"/>
      <c r="BW85" s="10">
        <f>+'SECURED LOANS'!BW65+'RETAIL CREDIT'!BX83+'UCL LOANS'!BW84+'UNSECURED LOANS'!BX84+'CAR FINANCE'!BW83</f>
        <v>15253120.51</v>
      </c>
      <c r="BX85" s="15">
        <f t="shared" si="99"/>
        <v>0.04638226060953678</v>
      </c>
      <c r="BY85" s="11">
        <f>+'SECURED LOANS'!BY65+'RETAIL CREDIT'!BZ83+'UCL LOANS'!BY84+'UNSECURED LOANS'!BZ84+'CAR FINANCE'!BY83</f>
        <v>2605</v>
      </c>
      <c r="BZ85" s="15">
        <f t="shared" si="100"/>
        <v>0.057315731573157315</v>
      </c>
      <c r="CA85" s="57"/>
      <c r="CB85" s="56"/>
      <c r="CC85" s="57"/>
      <c r="CD85" s="10">
        <f>+'SECURED LOANS'!CD65+'RETAIL CREDIT'!CE83+'UCL LOANS'!CD84+'UNSECURED LOANS'!CE84+'CAR FINANCE'!CD83</f>
        <v>18081377.770000003</v>
      </c>
      <c r="CE85" s="15">
        <f t="shared" si="85"/>
        <v>0.05457929025923738</v>
      </c>
      <c r="CF85" s="11">
        <f>+'SECURED LOANS'!CF65+'RETAIL CREDIT'!CG83+'UCL LOANS'!CF84+'UNSECURED LOANS'!CG84+'CAR FINANCE'!CF83</f>
        <v>2881</v>
      </c>
      <c r="CG85" s="15">
        <f t="shared" si="86"/>
        <v>0.0514565361053064</v>
      </c>
      <c r="CH85" s="57"/>
      <c r="CI85" s="56"/>
      <c r="CJ85" s="57"/>
      <c r="CK85" s="10">
        <f>+'SECURED LOANS'!CK65+'RETAIL CREDIT'!CL83+'UCL LOANS'!CK84+'UNSECURED LOANS'!CL84+'CAR FINANCE'!CK83</f>
        <v>17287826.209999993</v>
      </c>
      <c r="CL85" s="15">
        <f t="shared" si="87"/>
        <v>0.052183926284221485</v>
      </c>
      <c r="CM85" s="11">
        <f>+'SECURED LOANS'!CM65+'RETAIL CREDIT'!CN83+'UCL LOANS'!CM84+'UNSECURED LOANS'!CN84+'CAR FINANCE'!CM83</f>
        <v>2818</v>
      </c>
      <c r="CN85" s="15">
        <f t="shared" si="88"/>
        <v>0.05033131507974781</v>
      </c>
      <c r="CO85" s="57"/>
      <c r="CP85" s="56"/>
      <c r="CQ85" s="57"/>
    </row>
    <row r="86" spans="1:95" ht="12.75">
      <c r="A86" s="9" t="s">
        <v>66</v>
      </c>
      <c r="B86" s="9"/>
      <c r="C86" s="9"/>
      <c r="D86" s="10">
        <f>+'SECURED LOANS'!D66+'RETAIL CREDIT'!D84+'UNSECURED LOANS'!D85+'CAR FINANCE'!D84+'UCL LOANS'!D85</f>
        <v>21222607.850000005</v>
      </c>
      <c r="E86" s="15">
        <f t="shared" si="89"/>
        <v>0.05551046174366943</v>
      </c>
      <c r="F86" s="11">
        <f>+'SECURED LOANS'!F66+'RETAIL CREDIT'!F84+'UNSECURED LOANS'!F85+'CAR FINANCE'!F84+'UCL LOANS'!F85</f>
        <v>3704</v>
      </c>
      <c r="G86" s="15">
        <f t="shared" si="90"/>
        <v>0.05416313280496008</v>
      </c>
      <c r="H86" s="15"/>
      <c r="I86" s="10">
        <f>+'SECURED LOANS'!J66+'RETAIL CREDIT'!J84+'UCL LOANS'!J85+'UNSECURED LOANS'!J85+'CAR FINANCE'!I84</f>
        <v>18726428.179999977</v>
      </c>
      <c r="J86" s="15">
        <f t="shared" si="91"/>
        <v>0.05280296394780766</v>
      </c>
      <c r="K86" s="11">
        <f>+'SECURED LOANS'!L66+'RETAIL CREDIT'!L84+'UCL LOANS'!L85+'UNSECURED LOANS'!L85+'CAR FINANCE'!K84</f>
        <v>3463</v>
      </c>
      <c r="L86" s="15">
        <f t="shared" si="92"/>
        <v>0.05694037949291328</v>
      </c>
      <c r="M86" s="57"/>
      <c r="N86" s="56"/>
      <c r="O86" s="57"/>
      <c r="P86" s="15"/>
      <c r="Q86" s="10">
        <f>+'SECURED LOANS'!R66+'RETAIL CREDIT'!R84+'UCL LOANS'!R85+'UNSECURED LOANS'!R85+'CAR FINANCE'!Q84</f>
        <v>19374878.38999998</v>
      </c>
      <c r="R86" s="15">
        <f t="shared" si="93"/>
        <v>0.05416366874388022</v>
      </c>
      <c r="S86" s="11">
        <f>+'SECURED LOANS'!T66+'RETAIL CREDIT'!T84+'UCL LOANS'!T85+'UNSECURED LOANS'!T85+'CAR FINANCE'!S84</f>
        <v>3642</v>
      </c>
      <c r="T86" s="15">
        <f t="shared" si="94"/>
        <v>0.058521065655429506</v>
      </c>
      <c r="U86" s="57"/>
      <c r="V86" s="56"/>
      <c r="W86" s="57"/>
      <c r="X86" s="15"/>
      <c r="Y86" s="10">
        <f>+'SECURED LOANS'!Y66+'RETAIL CREDIT'!Z84+'UCL LOANS'!Z85+'UNSECURED LOANS'!Z85+'CAR FINANCE'!Y84</f>
        <v>19501494.54</v>
      </c>
      <c r="Z86" s="15">
        <f t="shared" si="95"/>
        <v>0.054447279687620226</v>
      </c>
      <c r="AA86" s="11">
        <f>+'SECURED LOANS'!AA66+'RETAIL CREDIT'!AB84+'UCL LOANS'!AB85+'UNSECURED LOANS'!AB85+'CAR FINANCE'!AA84</f>
        <v>3664</v>
      </c>
      <c r="AB86" s="15">
        <f t="shared" si="96"/>
        <v>0.0602175985274299</v>
      </c>
      <c r="AC86" s="57"/>
      <c r="AD86" s="56"/>
      <c r="AE86" s="57"/>
      <c r="AF86" s="15"/>
      <c r="AG86" s="10">
        <f>+'SECURED LOANS'!AG66+'RETAIL CREDIT'!AH84+'UCL LOANS'!AG85+'UNSECURED LOANS'!AH85+'CAR FINANCE'!AG84</f>
        <v>21784321.10000001</v>
      </c>
      <c r="AH86" s="15">
        <f t="shared" si="97"/>
        <v>0.05718830009314064</v>
      </c>
      <c r="AI86" s="11">
        <f>+'SECURED LOANS'!AI66+'RETAIL CREDIT'!AJ84+'UCL LOANS'!AI85+'UNSECURED LOANS'!AJ85+'CAR FINANCE'!AI84</f>
        <v>3945</v>
      </c>
      <c r="AJ86" s="15">
        <f t="shared" si="98"/>
        <v>0.06305744701256354</v>
      </c>
      <c r="AK86" s="57"/>
      <c r="AL86" s="56"/>
      <c r="AM86" s="57"/>
      <c r="AN86" s="10">
        <f>+'SECURED LOANS'!AN66+'RETAIL CREDIT'!AO84+'UCL LOANS'!AN85+'UNSECURED LOANS'!AO85+'CAR FINANCE'!AN84</f>
        <v>21284024.47000002</v>
      </c>
      <c r="AO86" s="15">
        <f t="shared" si="75"/>
        <v>0.05599149374774532</v>
      </c>
      <c r="AP86" s="11">
        <f>+'SECURED LOANS'!AP66+'RETAIL CREDIT'!AQ84+'UCL LOANS'!AP85+'UNSECURED LOANS'!AQ85+'CAR FINANCE'!AP84</f>
        <v>4002</v>
      </c>
      <c r="AQ86" s="15">
        <f t="shared" si="76"/>
        <v>0.06434290491655681</v>
      </c>
      <c r="AR86" s="57"/>
      <c r="AS86" s="56"/>
      <c r="AT86" s="57"/>
      <c r="AU86" s="10">
        <f>+'SECURED LOANS'!AU66+'RETAIL CREDIT'!AV84+'UCL LOANS'!AU85+'UNSECURED LOANS'!AV85+'CAR FINANCE'!AU84</f>
        <v>19129910.940000016</v>
      </c>
      <c r="AV86" s="15">
        <f t="shared" si="77"/>
        <v>0.05009737591444758</v>
      </c>
      <c r="AW86" s="11">
        <f>+'SECURED LOANS'!AW66+'RETAIL CREDIT'!AX84+'UCL LOANS'!AW85+'UNSECURED LOANS'!AX85+'CAR FINANCE'!AW84</f>
        <v>3800</v>
      </c>
      <c r="AX86" s="15">
        <f t="shared" si="78"/>
        <v>0.06014085621587402</v>
      </c>
      <c r="AY86" s="57"/>
      <c r="AZ86" s="56"/>
      <c r="BA86" s="57"/>
      <c r="BB86" s="10">
        <f>+'SECURED LOANS'!BB66+'RETAIL CREDIT'!BC84+'UCL LOANS'!BB85+'UNSECURED LOANS'!BC85+'CAR FINANCE'!BB84</f>
        <v>17199482.85000001</v>
      </c>
      <c r="BC86" s="15">
        <f t="shared" si="79"/>
        <v>0.04766125746950241</v>
      </c>
      <c r="BD86" s="11">
        <f>+'SECURED LOANS'!BD66+'RETAIL CREDIT'!BE84+'UCL LOANS'!BD85+'UNSECURED LOANS'!BE85+'CAR FINANCE'!BD84</f>
        <v>3590</v>
      </c>
      <c r="BE86" s="15">
        <f t="shared" si="80"/>
        <v>0.06011688463921496</v>
      </c>
      <c r="BF86" s="57"/>
      <c r="BG86" s="56"/>
      <c r="BH86" s="57"/>
      <c r="BI86" s="10">
        <f>+'SECURED LOANS'!BI66+'RETAIL CREDIT'!BJ84+'UCL LOANS'!BI85+'UNSECURED LOANS'!BJ85+'CAR FINANCE'!BI84</f>
        <v>15248059.419999983</v>
      </c>
      <c r="BJ86" s="15">
        <f t="shared" si="81"/>
        <v>0.04225369403632333</v>
      </c>
      <c r="BK86" s="11">
        <f>+'SECURED LOANS'!BK66+'RETAIL CREDIT'!BL84+'UCL LOANS'!BK85+'UNSECURED LOANS'!BL85+'CAR FINANCE'!BK84</f>
        <v>3265</v>
      </c>
      <c r="BL86" s="15">
        <f t="shared" si="82"/>
        <v>0.05467454828608269</v>
      </c>
      <c r="BM86" s="57"/>
      <c r="BN86" s="56"/>
      <c r="BO86" s="57"/>
      <c r="BP86" s="10">
        <f>+'SECURED LOANS'!BP66+'RETAIL CREDIT'!BQ84+'UCL LOANS'!BP85+'UNSECURED LOANS'!BQ85+'CAR FINANCE'!BP84</f>
        <v>13825315.679999996</v>
      </c>
      <c r="BQ86" s="15">
        <f t="shared" si="83"/>
        <v>0.04067215179639316</v>
      </c>
      <c r="BR86" s="11">
        <f>+'SECURED LOANS'!BR66+'RETAIL CREDIT'!BS84+'UCL LOANS'!BR85+'UNSECURED LOANS'!BS85+'CAR FINANCE'!BR84</f>
        <v>2941</v>
      </c>
      <c r="BS86" s="15">
        <f t="shared" si="84"/>
        <v>0.05904081263927087</v>
      </c>
      <c r="BT86" s="57"/>
      <c r="BU86" s="56"/>
      <c r="BV86" s="57"/>
      <c r="BW86" s="10">
        <f>+'SECURED LOANS'!BW66+'RETAIL CREDIT'!BX84+'UCL LOANS'!BW85+'UNSECURED LOANS'!BX85+'CAR FINANCE'!BW84</f>
        <v>12400213.159999993</v>
      </c>
      <c r="BX86" s="15">
        <f t="shared" si="99"/>
        <v>0.037707032998517055</v>
      </c>
      <c r="BY86" s="11">
        <f>+'SECURED LOANS'!BY66+'RETAIL CREDIT'!BZ84+'UCL LOANS'!BY85+'UNSECURED LOANS'!BZ85+'CAR FINANCE'!BY84</f>
        <v>2580</v>
      </c>
      <c r="BZ86" s="15">
        <f t="shared" si="100"/>
        <v>0.05676567656765676</v>
      </c>
      <c r="CA86" s="57"/>
      <c r="CB86" s="56"/>
      <c r="CC86" s="57"/>
      <c r="CD86" s="10">
        <f>+'SECURED LOANS'!CD66+'RETAIL CREDIT'!CE84+'UCL LOANS'!CD85+'UNSECURED LOANS'!CE85+'CAR FINANCE'!CD84</f>
        <v>11890046.16</v>
      </c>
      <c r="CE86" s="15">
        <f t="shared" si="85"/>
        <v>0.0358905327247289</v>
      </c>
      <c r="CF86" s="11">
        <f>+'SECURED LOANS'!CF66+'RETAIL CREDIT'!CG84+'UCL LOANS'!CF85+'UNSECURED LOANS'!CG85+'CAR FINANCE'!CF84</f>
        <v>3136</v>
      </c>
      <c r="CG86" s="15">
        <f t="shared" si="86"/>
        <v>0.056011002161138794</v>
      </c>
      <c r="CH86" s="57"/>
      <c r="CI86" s="56"/>
      <c r="CJ86" s="57"/>
      <c r="CK86" s="10">
        <f>+'SECURED LOANS'!CK66+'RETAIL CREDIT'!CL84+'UCL LOANS'!CK85+'UNSECURED LOANS'!CL85+'CAR FINANCE'!CK84</f>
        <v>13357530.409999993</v>
      </c>
      <c r="CL86" s="15">
        <f t="shared" si="87"/>
        <v>0.04032018680587411</v>
      </c>
      <c r="CM86" s="11">
        <f>+'SECURED LOANS'!CM66+'RETAIL CREDIT'!CN84+'UCL LOANS'!CM85+'UNSECURED LOANS'!CN85+'CAR FINANCE'!CM84</f>
        <v>3517</v>
      </c>
      <c r="CN86" s="15">
        <f t="shared" si="88"/>
        <v>0.06281591026808837</v>
      </c>
      <c r="CO86" s="57"/>
      <c r="CP86" s="56"/>
      <c r="CQ86" s="57"/>
    </row>
    <row r="87" spans="1:95" ht="12.75">
      <c r="A87" s="9" t="s">
        <v>67</v>
      </c>
      <c r="B87" s="9"/>
      <c r="C87" s="9"/>
      <c r="D87" s="10">
        <f>+'SECURED LOANS'!D67+'RETAIL CREDIT'!D85+'UNSECURED LOANS'!D86+'CAR FINANCE'!D85+'UCL LOANS'!D86</f>
        <v>19669058.489999972</v>
      </c>
      <c r="E87" s="15">
        <f t="shared" si="89"/>
        <v>0.05144695348282278</v>
      </c>
      <c r="F87" s="11">
        <f>+'SECURED LOANS'!F67+'RETAIL CREDIT'!F85+'UNSECURED LOANS'!F86+'CAR FINANCE'!F85+'UCL LOANS'!F86</f>
        <v>4759</v>
      </c>
      <c r="G87" s="15">
        <f t="shared" si="90"/>
        <v>0.06959026701371626</v>
      </c>
      <c r="H87" s="15"/>
      <c r="I87" s="10">
        <f>+'SECURED LOANS'!J67+'RETAIL CREDIT'!J85+'UCL LOANS'!J86+'UNSECURED LOANS'!J86+'CAR FINANCE'!I85</f>
        <v>17548102.890000034</v>
      </c>
      <c r="J87" s="15">
        <f t="shared" si="91"/>
        <v>0.04948043670403206</v>
      </c>
      <c r="K87" s="11">
        <f>+'SECURED LOANS'!L67+'RETAIL CREDIT'!L85+'UCL LOANS'!L86+'UNSECURED LOANS'!L86+'CAR FINANCE'!K85</f>
        <v>4414</v>
      </c>
      <c r="L87" s="15">
        <f t="shared" si="92"/>
        <v>0.07257719754020191</v>
      </c>
      <c r="M87" s="57"/>
      <c r="N87" s="56"/>
      <c r="O87" s="57"/>
      <c r="P87" s="15"/>
      <c r="Q87" s="10">
        <f>+'SECURED LOANS'!R67+'RETAIL CREDIT'!R85+'UCL LOANS'!R86+'UNSECURED LOANS'!R86+'CAR FINANCE'!Q85</f>
        <v>16488181.429999977</v>
      </c>
      <c r="R87" s="15">
        <f t="shared" si="93"/>
        <v>0.04609372916758303</v>
      </c>
      <c r="S87" s="11">
        <f>+'SECURED LOANS'!T67+'RETAIL CREDIT'!T85+'UCL LOANS'!T86+'UNSECURED LOANS'!T86+'CAR FINANCE'!S85</f>
        <v>4363</v>
      </c>
      <c r="T87" s="15">
        <f t="shared" si="94"/>
        <v>0.07010637272230613</v>
      </c>
      <c r="U87" s="57"/>
      <c r="V87" s="56"/>
      <c r="W87" s="57"/>
      <c r="X87" s="15"/>
      <c r="Y87" s="10">
        <f>+'SECURED LOANS'!Y67+'RETAIL CREDIT'!Z85+'UCL LOANS'!Z86+'UNSECURED LOANS'!Z86+'CAR FINANCE'!Y85</f>
        <v>15507059.849999992</v>
      </c>
      <c r="Z87" s="15">
        <f t="shared" si="95"/>
        <v>0.04329500095768638</v>
      </c>
      <c r="AA87" s="11">
        <f>+'SECURED LOANS'!AA67+'RETAIL CREDIT'!AB85+'UCL LOANS'!AB86+'UNSECURED LOANS'!AB86+'CAR FINANCE'!AA85</f>
        <v>4153</v>
      </c>
      <c r="AB87" s="15">
        <f t="shared" si="96"/>
        <v>0.06825428130033198</v>
      </c>
      <c r="AC87" s="57"/>
      <c r="AD87" s="56"/>
      <c r="AE87" s="57"/>
      <c r="AF87" s="15"/>
      <c r="AG87" s="10">
        <f>+'SECURED LOANS'!AG67+'RETAIL CREDIT'!AH85+'UCL LOANS'!AG86+'UNSECURED LOANS'!AH86+'CAR FINANCE'!AG85</f>
        <v>16108286.729999961</v>
      </c>
      <c r="AH87" s="15">
        <f t="shared" si="97"/>
        <v>0.04228754852046285</v>
      </c>
      <c r="AI87" s="11">
        <f>+'SECURED LOANS'!AI67+'RETAIL CREDIT'!AJ85+'UCL LOANS'!AI86+'UNSECURED LOANS'!AJ86+'CAR FINANCE'!AI85</f>
        <v>4074</v>
      </c>
      <c r="AJ87" s="15">
        <f t="shared" si="98"/>
        <v>0.06511940155365877</v>
      </c>
      <c r="AK87" s="57"/>
      <c r="AL87" s="56"/>
      <c r="AM87" s="57"/>
      <c r="AN87" s="10">
        <f>+'SECURED LOANS'!AN67+'RETAIL CREDIT'!AO85+'UCL LOANS'!AN86+'UNSECURED LOANS'!AO86+'CAR FINANCE'!AN85</f>
        <v>15688450.379999999</v>
      </c>
      <c r="AO87" s="15">
        <f t="shared" si="75"/>
        <v>0.04127131936921616</v>
      </c>
      <c r="AP87" s="11">
        <f>+'SECURED LOANS'!AP67+'RETAIL CREDIT'!AQ85+'UCL LOANS'!AP86+'UNSECURED LOANS'!AQ86+'CAR FINANCE'!AP85</f>
        <v>4057</v>
      </c>
      <c r="AQ87" s="15">
        <f t="shared" si="76"/>
        <v>0.06522717772275635</v>
      </c>
      <c r="AR87" s="57"/>
      <c r="AS87" s="56"/>
      <c r="AT87" s="57"/>
      <c r="AU87" s="10">
        <f>+'SECURED LOANS'!AU67+'RETAIL CREDIT'!AV85+'UCL LOANS'!AU86+'UNSECURED LOANS'!AV86+'CAR FINANCE'!AU85</f>
        <v>14319020.039999977</v>
      </c>
      <c r="AV87" s="15">
        <f t="shared" si="77"/>
        <v>0.03749862359110316</v>
      </c>
      <c r="AW87" s="11">
        <f>+'SECURED LOANS'!AW67+'RETAIL CREDIT'!AX85+'UCL LOANS'!AW86+'UNSECURED LOANS'!AX86+'CAR FINANCE'!AW85</f>
        <v>3888</v>
      </c>
      <c r="AX87" s="15">
        <f t="shared" si="78"/>
        <v>0.061533591833504785</v>
      </c>
      <c r="AY87" s="57"/>
      <c r="AZ87" s="56"/>
      <c r="BA87" s="57"/>
      <c r="BB87" s="10">
        <f>+'SECURED LOANS'!BB67+'RETAIL CREDIT'!BC85+'UCL LOANS'!BB86+'UNSECURED LOANS'!BC86+'CAR FINANCE'!BB85</f>
        <v>13084028.61999999</v>
      </c>
      <c r="BC87" s="15">
        <f t="shared" si="79"/>
        <v>0.036256977156505464</v>
      </c>
      <c r="BD87" s="11">
        <f>+'SECURED LOANS'!BD67+'RETAIL CREDIT'!BE85+'UCL LOANS'!BD86+'UNSECURED LOANS'!BE86+'CAR FINANCE'!BD85</f>
        <v>3706</v>
      </c>
      <c r="BE87" s="15">
        <f t="shared" si="80"/>
        <v>0.06205938007602525</v>
      </c>
      <c r="BF87" s="57"/>
      <c r="BG87" s="56"/>
      <c r="BH87" s="57"/>
      <c r="BI87" s="10">
        <f>+'SECURED LOANS'!BI67+'RETAIL CREDIT'!BJ85+'UCL LOANS'!BI86+'UNSECURED LOANS'!BJ86+'CAR FINANCE'!BI85</f>
        <v>11775588.16999998</v>
      </c>
      <c r="BJ87" s="15">
        <f t="shared" si="81"/>
        <v>0.03263117528124954</v>
      </c>
      <c r="BK87" s="11">
        <f>+'SECURED LOANS'!BK67+'RETAIL CREDIT'!BL85+'UCL LOANS'!BK86+'UNSECURED LOANS'!BL86+'CAR FINANCE'!BK85</f>
        <v>3356</v>
      </c>
      <c r="BL87" s="15">
        <f t="shared" si="82"/>
        <v>0.056198402464959725</v>
      </c>
      <c r="BM87" s="57"/>
      <c r="BN87" s="56"/>
      <c r="BO87" s="57"/>
      <c r="BP87" s="10">
        <f>+'SECURED LOANS'!BP67+'RETAIL CREDIT'!BQ85+'UCL LOANS'!BP86+'UNSECURED LOANS'!BQ86+'CAR FINANCE'!BP85</f>
        <v>10706356.940000009</v>
      </c>
      <c r="BQ87" s="15">
        <f t="shared" si="83"/>
        <v>0.03149660989513462</v>
      </c>
      <c r="BR87" s="11">
        <f>+'SECURED LOANS'!BR67+'RETAIL CREDIT'!BS85+'UCL LOANS'!BR86+'UNSECURED LOANS'!BS86+'CAR FINANCE'!BR85</f>
        <v>3076</v>
      </c>
      <c r="BS87" s="15">
        <f t="shared" si="84"/>
        <v>0.0617509485475679</v>
      </c>
      <c r="BT87" s="57"/>
      <c r="BU87" s="56"/>
      <c r="BV87" s="57"/>
      <c r="BW87" s="10">
        <f>+'SECURED LOANS'!BW67+'RETAIL CREDIT'!BX85+'UCL LOANS'!BW86+'UNSECURED LOANS'!BX86+'CAR FINANCE'!BW85</f>
        <v>9627224.299999997</v>
      </c>
      <c r="BX87" s="15">
        <f t="shared" si="99"/>
        <v>0.029274824527631374</v>
      </c>
      <c r="BY87" s="11">
        <f>+'SECURED LOANS'!BY67+'RETAIL CREDIT'!BZ85+'UCL LOANS'!BY86+'UNSECURED LOANS'!BZ86+'CAR FINANCE'!BY85</f>
        <v>2767</v>
      </c>
      <c r="BZ87" s="15">
        <f t="shared" si="100"/>
        <v>0.06088008800880088</v>
      </c>
      <c r="CA87" s="57"/>
      <c r="CB87" s="56"/>
      <c r="CC87" s="57"/>
      <c r="CD87" s="10">
        <f>+'SECURED LOANS'!CD67+'RETAIL CREDIT'!CE85+'UCL LOANS'!CD86+'UNSECURED LOANS'!CE86+'CAR FINANCE'!CD85</f>
        <v>11273962.179999998</v>
      </c>
      <c r="CE87" s="15">
        <f t="shared" si="85"/>
        <v>0.034030861033986594</v>
      </c>
      <c r="CF87" s="11">
        <f>+'SECURED LOANS'!CF67+'RETAIL CREDIT'!CG85+'UCL LOANS'!CF86+'UNSECURED LOANS'!CG86+'CAR FINANCE'!CF85</f>
        <v>3046</v>
      </c>
      <c r="CG87" s="15">
        <f t="shared" si="86"/>
        <v>0.05440354355319795</v>
      </c>
      <c r="CH87" s="57"/>
      <c r="CI87" s="56"/>
      <c r="CJ87" s="57"/>
      <c r="CK87" s="10">
        <f>+'SECURED LOANS'!CK67+'RETAIL CREDIT'!CL85+'UCL LOANS'!CK86+'UNSECURED LOANS'!CL86+'CAR FINANCE'!CK85</f>
        <v>11622251.060000006</v>
      </c>
      <c r="CL87" s="15">
        <f t="shared" si="87"/>
        <v>0.03508218356689251</v>
      </c>
      <c r="CM87" s="11">
        <f>+'SECURED LOANS'!CM67+'RETAIL CREDIT'!CN85+'UCL LOANS'!CM86+'UNSECURED LOANS'!CN86+'CAR FINANCE'!CM85</f>
        <v>3338</v>
      </c>
      <c r="CN87" s="15">
        <f t="shared" si="88"/>
        <v>0.05961885370340603</v>
      </c>
      <c r="CO87" s="57"/>
      <c r="CP87" s="56"/>
      <c r="CQ87" s="57"/>
    </row>
    <row r="88" spans="1:95" ht="12.75">
      <c r="A88" s="9" t="s">
        <v>68</v>
      </c>
      <c r="B88" s="9"/>
      <c r="C88" s="9"/>
      <c r="D88" s="10">
        <f>+'SECURED LOANS'!D68+'RETAIL CREDIT'!D86+'UNSECURED LOANS'!D87+'CAR FINANCE'!D86+'UCL LOANS'!D87</f>
        <v>115622071.66999996</v>
      </c>
      <c r="E88" s="15">
        <f t="shared" si="89"/>
        <v>0.30242440662924164</v>
      </c>
      <c r="F88" s="11">
        <f>+'SECURED LOANS'!F68+'RETAIL CREDIT'!F86+'UNSECURED LOANS'!F87+'CAR FINANCE'!F86+'UCL LOANS'!F87</f>
        <v>16797</v>
      </c>
      <c r="G88" s="15">
        <f t="shared" si="90"/>
        <v>0.2456204486298365</v>
      </c>
      <c r="H88" s="15"/>
      <c r="I88" s="10">
        <f>+'SECURED LOANS'!J68+'RETAIL CREDIT'!J86+'UCL LOANS'!J87+'UNSECURED LOANS'!J87+'CAR FINANCE'!I86</f>
        <v>107101952.08000012</v>
      </c>
      <c r="J88" s="15">
        <f t="shared" si="91"/>
        <v>0.30199568545911976</v>
      </c>
      <c r="K88" s="11">
        <f>+'SECURED LOANS'!L68+'RETAIL CREDIT'!L86+'UCL LOANS'!L87+'UNSECURED LOANS'!L87+'CAR FINANCE'!K86</f>
        <v>15852</v>
      </c>
      <c r="L88" s="15">
        <f t="shared" si="92"/>
        <v>0.26064651912262815</v>
      </c>
      <c r="M88" s="57"/>
      <c r="N88" s="56"/>
      <c r="O88" s="57"/>
      <c r="P88" s="15"/>
      <c r="Q88" s="10">
        <f>+'SECURED LOANS'!R68+'RETAIL CREDIT'!R86+'UCL LOANS'!R87+'UNSECURED LOANS'!R87+'CAR FINANCE'!Q86</f>
        <v>100461208.27000023</v>
      </c>
      <c r="R88" s="15">
        <f t="shared" si="93"/>
        <v>0.28084551019193565</v>
      </c>
      <c r="S88" s="11">
        <f>+'SECURED LOANS'!T68+'RETAIL CREDIT'!T86+'UCL LOANS'!T87+'UNSECURED LOANS'!T87+'CAR FINANCE'!S86</f>
        <v>15167</v>
      </c>
      <c r="T88" s="15">
        <f t="shared" si="94"/>
        <v>0.24370922646784715</v>
      </c>
      <c r="U88" s="57"/>
      <c r="V88" s="56"/>
      <c r="W88" s="57"/>
      <c r="X88" s="15"/>
      <c r="Y88" s="10">
        <f>+'SECURED LOANS'!Y68+'RETAIL CREDIT'!Z86+'UCL LOANS'!Z87+'UNSECURED LOANS'!Z87+'CAR FINANCE'!Y86</f>
        <v>93522446.26000066</v>
      </c>
      <c r="Z88" s="15">
        <f t="shared" si="95"/>
        <v>0.26111038711131973</v>
      </c>
      <c r="AA88" s="11">
        <f>+'SECURED LOANS'!AA68+'RETAIL CREDIT'!AB86+'UCL LOANS'!AB87+'UNSECURED LOANS'!AB87+'CAR FINANCE'!AA86</f>
        <v>14346</v>
      </c>
      <c r="AB88" s="15">
        <f t="shared" si="96"/>
        <v>0.2357755645399862</v>
      </c>
      <c r="AC88" s="57"/>
      <c r="AD88" s="56"/>
      <c r="AE88" s="57"/>
      <c r="AF88" s="15"/>
      <c r="AG88" s="10">
        <f>+'SECURED LOANS'!AG68+'RETAIL CREDIT'!AH86+'UCL LOANS'!AG87+'UNSECURED LOANS'!AH87+'CAR FINANCE'!AG86</f>
        <v>87693919.49999994</v>
      </c>
      <c r="AH88" s="15">
        <f t="shared" si="97"/>
        <v>0.2302144814010161</v>
      </c>
      <c r="AI88" s="11">
        <f>+'SECURED LOANS'!AI68+'RETAIL CREDIT'!AJ86+'UCL LOANS'!AI87+'UNSECURED LOANS'!AJ87+'CAR FINANCE'!AI86</f>
        <v>13776</v>
      </c>
      <c r="AJ88" s="15">
        <f t="shared" si="98"/>
        <v>0.22019756401649562</v>
      </c>
      <c r="AK88" s="57"/>
      <c r="AL88" s="56"/>
      <c r="AM88" s="57"/>
      <c r="AN88" s="10">
        <f>+'SECURED LOANS'!AN68+'RETAIL CREDIT'!AO86+'UCL LOANS'!AN87+'UNSECURED LOANS'!AO87+'CAR FINANCE'!AN86</f>
        <v>82022325.15000002</v>
      </c>
      <c r="AO88" s="15">
        <f t="shared" si="75"/>
        <v>0.21577463004165373</v>
      </c>
      <c r="AP88" s="11">
        <f>+'SECURED LOANS'!AP68+'RETAIL CREDIT'!AQ86+'UCL LOANS'!AP87+'UNSECURED LOANS'!AQ87+'CAR FINANCE'!AP86</f>
        <v>13022</v>
      </c>
      <c r="AQ88" s="15">
        <f t="shared" si="76"/>
        <v>0.20936364513328404</v>
      </c>
      <c r="AR88" s="57"/>
      <c r="AS88" s="56"/>
      <c r="AT88" s="57"/>
      <c r="AU88" s="10">
        <f>+'SECURED LOANS'!AU68+'RETAIL CREDIT'!AV86+'UCL LOANS'!AU87+'UNSECURED LOANS'!AV87+'CAR FINANCE'!AU86</f>
        <v>75250257.26999968</v>
      </c>
      <c r="AV88" s="15">
        <f t="shared" si="77"/>
        <v>0.19706523663063444</v>
      </c>
      <c r="AW88" s="11">
        <f>+'SECURED LOANS'!AW68+'RETAIL CREDIT'!AX86+'UCL LOANS'!AW87+'UNSECURED LOANS'!AX87+'CAR FINANCE'!AW86</f>
        <v>12246</v>
      </c>
      <c r="AX88" s="15">
        <f t="shared" si="78"/>
        <v>0.19381182242620876</v>
      </c>
      <c r="AY88" s="57"/>
      <c r="AZ88" s="56"/>
      <c r="BA88" s="57"/>
      <c r="BB88" s="10">
        <f>+'SECURED LOANS'!BB68+'RETAIL CREDIT'!BC86+'UCL LOANS'!BB87+'UNSECURED LOANS'!BC87+'CAR FINANCE'!BB86</f>
        <v>67787015.23999985</v>
      </c>
      <c r="BC88" s="15">
        <f t="shared" si="79"/>
        <v>0.18784369359353817</v>
      </c>
      <c r="BD88" s="11">
        <f>+'SECURED LOANS'!BD68+'RETAIL CREDIT'!BE86+'UCL LOANS'!BD87+'UNSECURED LOANS'!BE87+'CAR FINANCE'!BD86</f>
        <v>11253</v>
      </c>
      <c r="BE88" s="15">
        <f t="shared" si="80"/>
        <v>0.1884388030209153</v>
      </c>
      <c r="BF88" s="57"/>
      <c r="BG88" s="56"/>
      <c r="BH88" s="57"/>
      <c r="BI88" s="10">
        <f>+'SECURED LOANS'!BI68+'RETAIL CREDIT'!BJ86+'UCL LOANS'!BI87+'UNSECURED LOANS'!BJ87+'CAR FINANCE'!BI86</f>
        <v>62443072.800000004</v>
      </c>
      <c r="BJ88" s="15">
        <f t="shared" si="81"/>
        <v>0.17303516599091706</v>
      </c>
      <c r="BK88" s="11">
        <f>+'SECURED LOANS'!BK68+'RETAIL CREDIT'!BL86+'UCL LOANS'!BK87+'UNSECURED LOANS'!BL87+'CAR FINANCE'!BK86</f>
        <v>10537</v>
      </c>
      <c r="BL88" s="15">
        <f t="shared" si="82"/>
        <v>0.176448917393707</v>
      </c>
      <c r="BM88" s="57"/>
      <c r="BN88" s="56"/>
      <c r="BO88" s="57"/>
      <c r="BP88" s="10">
        <f>+'SECURED LOANS'!BP68+'RETAIL CREDIT'!BQ86+'UCL LOANS'!BP87+'UNSECURED LOANS'!BQ87+'CAR FINANCE'!BP86</f>
        <v>57087527.21000026</v>
      </c>
      <c r="BQ88" s="15">
        <f t="shared" si="83"/>
        <v>0.16794354835056152</v>
      </c>
      <c r="BR88" s="11">
        <f>+'SECURED LOANS'!BR68+'RETAIL CREDIT'!BS86+'UCL LOANS'!BR87+'UNSECURED LOANS'!BS87+'CAR FINANCE'!BR86</f>
        <v>9729</v>
      </c>
      <c r="BS88" s="15">
        <f t="shared" si="84"/>
        <v>0.19531046112460604</v>
      </c>
      <c r="BT88" s="57"/>
      <c r="BU88" s="56"/>
      <c r="BV88" s="57"/>
      <c r="BW88" s="10">
        <f>+'SECURED LOANS'!BW68+'RETAIL CREDIT'!BX86+'UCL LOANS'!BW87+'UNSECURED LOANS'!BX87+'CAR FINANCE'!BW86</f>
        <v>52623034.160000056</v>
      </c>
      <c r="BX88" s="15">
        <f t="shared" si="99"/>
        <v>0.16001809484646096</v>
      </c>
      <c r="BY88" s="11">
        <f>+'SECURED LOANS'!BY68+'RETAIL CREDIT'!BZ86+'UCL LOANS'!BY87+'UNSECURED LOANS'!BZ87+'CAR FINANCE'!BY86</f>
        <v>9048</v>
      </c>
      <c r="BZ88" s="15">
        <f t="shared" si="100"/>
        <v>0.19907590759075908</v>
      </c>
      <c r="CA88" s="57"/>
      <c r="CB88" s="56"/>
      <c r="CC88" s="57"/>
      <c r="CD88" s="10">
        <f>+'SECURED LOANS'!CD68+'RETAIL CREDIT'!CE86+'UCL LOANS'!CD87+'UNSECURED LOANS'!CE87+'CAR FINANCE'!CD86</f>
        <v>48588171.36999998</v>
      </c>
      <c r="CE88" s="15">
        <f t="shared" si="85"/>
        <v>0.14666514588112584</v>
      </c>
      <c r="CF88" s="11">
        <f>+'SECURED LOANS'!CF68+'RETAIL CREDIT'!CG86+'UCL LOANS'!CF87+'UNSECURED LOANS'!CG87+'CAR FINANCE'!CF86</f>
        <v>8713</v>
      </c>
      <c r="CG88" s="15">
        <f t="shared" si="86"/>
        <v>0.15561985389987318</v>
      </c>
      <c r="CH88" s="57"/>
      <c r="CI88" s="56"/>
      <c r="CJ88" s="57"/>
      <c r="CK88" s="10">
        <f>+'SECURED LOANS'!CK68+'RETAIL CREDIT'!CL86+'UCL LOANS'!CK87+'UNSECURED LOANS'!CL87+'CAR FINANCE'!CK86</f>
        <v>46461675.600000106</v>
      </c>
      <c r="CL88" s="15">
        <f t="shared" si="87"/>
        <v>0.14024624178309683</v>
      </c>
      <c r="CM88" s="11">
        <f>+'SECURED LOANS'!CM68+'RETAIL CREDIT'!CN86+'UCL LOANS'!CM87+'UNSECURED LOANS'!CN87+'CAR FINANCE'!CM86</f>
        <v>8645</v>
      </c>
      <c r="CN88" s="15">
        <f t="shared" si="88"/>
        <v>0.15440532961831788</v>
      </c>
      <c r="CO88" s="57"/>
      <c r="CP88" s="56"/>
      <c r="CQ88" s="57"/>
    </row>
    <row r="89" spans="1:95" ht="12.75">
      <c r="A89" s="9" t="s">
        <v>69</v>
      </c>
      <c r="B89" s="9"/>
      <c r="C89" s="9"/>
      <c r="D89" s="10">
        <f>+'SECURED LOANS'!D69+'RETAIL CREDIT'!D87+'UNSECURED LOANS'!D88+'CAR FINANCE'!D87+'UCL LOANS'!D88</f>
        <v>4310148.29</v>
      </c>
      <c r="E89" s="15">
        <f t="shared" si="89"/>
        <v>0.011273747479699444</v>
      </c>
      <c r="F89" s="11">
        <f>+'SECURED LOANS'!F69+'RETAIL CREDIT'!F87+'UNSECURED LOANS'!F88+'CAR FINANCE'!F87+'UCL LOANS'!F88</f>
        <v>1643</v>
      </c>
      <c r="G89" s="15">
        <f t="shared" si="90"/>
        <v>0.02402538531278332</v>
      </c>
      <c r="H89" s="15"/>
      <c r="I89" s="10">
        <f>+'SECURED LOANS'!J69+'RETAIL CREDIT'!J87+'UCL LOANS'!J88+'UNSECURED LOANS'!J88+'CAR FINANCE'!I87</f>
        <v>3580228.79</v>
      </c>
      <c r="J89" s="15">
        <f t="shared" si="91"/>
        <v>0.010095181521331275</v>
      </c>
      <c r="K89" s="11">
        <f>+'SECURED LOANS'!L69+'RETAIL CREDIT'!L87+'UCL LOANS'!L88+'UNSECURED LOANS'!L88+'CAR FINANCE'!K87</f>
        <v>1473</v>
      </c>
      <c r="L89" s="15">
        <f t="shared" si="92"/>
        <v>0.024219803347693115</v>
      </c>
      <c r="M89" s="57"/>
      <c r="N89" s="56"/>
      <c r="O89" s="57"/>
      <c r="P89" s="15"/>
      <c r="Q89" s="10">
        <f>+'SECURED LOANS'!R69+'RETAIL CREDIT'!R87+'UCL LOANS'!R88+'UNSECURED LOANS'!R88+'CAR FINANCE'!Q87</f>
        <v>3463837.1100000003</v>
      </c>
      <c r="R89" s="15">
        <f t="shared" si="93"/>
        <v>0.009683370498244435</v>
      </c>
      <c r="S89" s="11">
        <f>+'SECURED LOANS'!T69+'RETAIL CREDIT'!T87+'UCL LOANS'!T88+'UNSECURED LOANS'!T88+'CAR FINANCE'!S87</f>
        <v>1466</v>
      </c>
      <c r="T89" s="15">
        <f t="shared" si="94"/>
        <v>0.02355625542308063</v>
      </c>
      <c r="U89" s="57"/>
      <c r="V89" s="56"/>
      <c r="W89" s="57"/>
      <c r="X89" s="15"/>
      <c r="Y89" s="10">
        <f>+'SECURED LOANS'!Y69+'RETAIL CREDIT'!Z87+'UCL LOANS'!Z88+'UNSECURED LOANS'!Z88+'CAR FINANCE'!Y87</f>
        <v>3280902.8</v>
      </c>
      <c r="Z89" s="15">
        <f t="shared" si="95"/>
        <v>0.009160130369141253</v>
      </c>
      <c r="AA89" s="11">
        <f>+'SECURED LOANS'!AA69+'RETAIL CREDIT'!AB87+'UCL LOANS'!AB88+'UNSECURED LOANS'!AB88+'CAR FINANCE'!AA87</f>
        <v>1068</v>
      </c>
      <c r="AB89" s="15">
        <f t="shared" si="96"/>
        <v>0.017552509614436447</v>
      </c>
      <c r="AC89" s="57"/>
      <c r="AD89" s="56"/>
      <c r="AE89" s="57"/>
      <c r="AF89" s="15"/>
      <c r="AG89" s="10">
        <f>+'SECURED LOANS'!AG69+'RETAIL CREDIT'!AH87+'UCL LOANS'!AG88+'UNSECURED LOANS'!AH88+'CAR FINANCE'!AG87</f>
        <v>3472396.670000001</v>
      </c>
      <c r="AH89" s="15">
        <f t="shared" si="97"/>
        <v>0.009115751732395379</v>
      </c>
      <c r="AI89" s="11">
        <f>+'SECURED LOANS'!AI69+'RETAIL CREDIT'!AJ87+'UCL LOANS'!AI88+'UNSECURED LOANS'!AJ88+'CAR FINANCE'!AI87</f>
        <v>1034</v>
      </c>
      <c r="AJ89" s="15">
        <f t="shared" si="98"/>
        <v>0.016527604616220708</v>
      </c>
      <c r="AK89" s="57"/>
      <c r="AL89" s="56"/>
      <c r="AM89" s="57"/>
      <c r="AN89" s="10">
        <f>+'SECURED LOANS'!AN69+'RETAIL CREDIT'!AO87+'UCL LOANS'!AN88+'UNSECURED LOANS'!AO88+'CAR FINANCE'!AN87</f>
        <v>3415157.7</v>
      </c>
      <c r="AO89" s="15">
        <f t="shared" si="75"/>
        <v>0.008984192875583276</v>
      </c>
      <c r="AP89" s="11">
        <f>+'SECURED LOANS'!AP69+'RETAIL CREDIT'!AQ87+'UCL LOANS'!AP88+'UNSECURED LOANS'!AQ88+'CAR FINANCE'!AP87</f>
        <v>1019</v>
      </c>
      <c r="AQ89" s="15">
        <f t="shared" si="76"/>
        <v>0.016383163445769962</v>
      </c>
      <c r="AR89" s="57"/>
      <c r="AS89" s="56"/>
      <c r="AT89" s="57"/>
      <c r="AU89" s="10">
        <f>+'SECURED LOANS'!AU69+'RETAIL CREDIT'!AV87+'UCL LOANS'!AU88+'UNSECURED LOANS'!AV88+'CAR FINANCE'!AU87</f>
        <v>3170439.25</v>
      </c>
      <c r="AV89" s="15">
        <f t="shared" si="77"/>
        <v>0.00830274053127239</v>
      </c>
      <c r="AW89" s="11">
        <f>+'SECURED LOANS'!AW69+'RETAIL CREDIT'!AX87+'UCL LOANS'!AW88+'UNSECURED LOANS'!AX88+'CAR FINANCE'!AW87</f>
        <v>983</v>
      </c>
      <c r="AX89" s="15">
        <f t="shared" si="78"/>
        <v>0.015557489910580043</v>
      </c>
      <c r="AY89" s="57"/>
      <c r="AZ89" s="56"/>
      <c r="BA89" s="57"/>
      <c r="BB89" s="10">
        <f>+'SECURED LOANS'!BB69+'RETAIL CREDIT'!BC87+'UCL LOANS'!BB88+'UNSECURED LOANS'!BC88+'CAR FINANCE'!BB87</f>
        <v>2794909.4299999997</v>
      </c>
      <c r="BC89" s="15">
        <f t="shared" si="79"/>
        <v>0.007744936234938607</v>
      </c>
      <c r="BD89" s="11">
        <f>+'SECURED LOANS'!BD69+'RETAIL CREDIT'!BE87+'UCL LOANS'!BD88+'UNSECURED LOANS'!BE88+'CAR FINANCE'!BD87</f>
        <v>882</v>
      </c>
      <c r="BE89" s="15">
        <f t="shared" si="80"/>
        <v>0.014769663579885125</v>
      </c>
      <c r="BF89" s="57"/>
      <c r="BG89" s="56"/>
      <c r="BH89" s="57"/>
      <c r="BI89" s="10">
        <f>+'SECURED LOANS'!BI69+'RETAIL CREDIT'!BJ87+'UCL LOANS'!BI88+'UNSECURED LOANS'!BJ88+'CAR FINANCE'!BI87</f>
        <v>2435730.33</v>
      </c>
      <c r="BJ89" s="15">
        <f t="shared" si="81"/>
        <v>0.006749619822691704</v>
      </c>
      <c r="BK89" s="11">
        <f>+'SECURED LOANS'!BK69+'RETAIL CREDIT'!BL87+'UCL LOANS'!BK88+'UNSECURED LOANS'!BL88+'CAR FINANCE'!BK87</f>
        <v>749</v>
      </c>
      <c r="BL89" s="15">
        <f t="shared" si="82"/>
        <v>0.012542492087680225</v>
      </c>
      <c r="BM89" s="57"/>
      <c r="BN89" s="56"/>
      <c r="BO89" s="57"/>
      <c r="BP89" s="10">
        <f>+'SECURED LOANS'!BP69+'RETAIL CREDIT'!BQ87+'UCL LOANS'!BP88+'UNSECURED LOANS'!BQ88+'CAR FINANCE'!BP87</f>
        <v>2052974.13</v>
      </c>
      <c r="BQ89" s="15">
        <f t="shared" si="83"/>
        <v>0.006039563752617922</v>
      </c>
      <c r="BR89" s="11">
        <f>+'SECURED LOANS'!BR69+'RETAIL CREDIT'!BS87+'UCL LOANS'!BR88+'UNSECURED LOANS'!BS88+'CAR FINANCE'!BR87</f>
        <v>602</v>
      </c>
      <c r="BS89" s="15">
        <f t="shared" si="84"/>
        <v>0.012085198642924538</v>
      </c>
      <c r="BT89" s="57"/>
      <c r="BU89" s="56"/>
      <c r="BV89" s="57"/>
      <c r="BW89" s="10">
        <f>+'SECURED LOANS'!BW69+'RETAIL CREDIT'!BX87+'UCL LOANS'!BW88+'UNSECURED LOANS'!BX88+'CAR FINANCE'!BW87</f>
        <v>1894367.0599999998</v>
      </c>
      <c r="BX89" s="15">
        <f t="shared" si="99"/>
        <v>0.005760462366335949</v>
      </c>
      <c r="BY89" s="11">
        <f>+'SECURED LOANS'!BY69+'RETAIL CREDIT'!BZ87+'UCL LOANS'!BY88+'UNSECURED LOANS'!BZ88+'CAR FINANCE'!BY87</f>
        <v>520</v>
      </c>
      <c r="BZ89" s="15">
        <f t="shared" si="100"/>
        <v>0.01144114411441144</v>
      </c>
      <c r="CA89" s="57"/>
      <c r="CB89" s="56"/>
      <c r="CC89" s="57"/>
      <c r="CD89" s="10">
        <f>+'SECURED LOANS'!CD69+'RETAIL CREDIT'!CE87+'UCL LOANS'!CD88+'UNSECURED LOANS'!CE88+'CAR FINANCE'!CD87</f>
        <v>1791889.6</v>
      </c>
      <c r="CE89" s="15">
        <f t="shared" si="85"/>
        <v>0.005408883318237798</v>
      </c>
      <c r="CF89" s="11">
        <f>+'SECURED LOANS'!CF69+'RETAIL CREDIT'!CG87+'UCL LOANS'!CF88+'UNSECURED LOANS'!CG88+'CAR FINANCE'!CF87</f>
        <v>615</v>
      </c>
      <c r="CG89" s="15">
        <f t="shared" si="86"/>
        <v>0.010984300487595777</v>
      </c>
      <c r="CH89" s="57"/>
      <c r="CI89" s="56"/>
      <c r="CJ89" s="57"/>
      <c r="CK89" s="10">
        <f>+'SECURED LOANS'!CK69+'RETAIL CREDIT'!CL87+'UCL LOANS'!CK88+'UNSECURED LOANS'!CL88+'CAR FINANCE'!CK87</f>
        <v>2104758.95</v>
      </c>
      <c r="CL89" s="15">
        <f t="shared" si="87"/>
        <v>0.006353290723695647</v>
      </c>
      <c r="CM89" s="11">
        <f>+'SECURED LOANS'!CM69+'RETAIL CREDIT'!CN87+'UCL LOANS'!CM88+'UNSECURED LOANS'!CN88+'CAR FINANCE'!CM87</f>
        <v>744</v>
      </c>
      <c r="CN89" s="15">
        <f t="shared" si="88"/>
        <v>0.01328832449231099</v>
      </c>
      <c r="CO89" s="57"/>
      <c r="CP89" s="56"/>
      <c r="CQ89" s="57"/>
    </row>
    <row r="90" spans="1:95" ht="12.75">
      <c r="A90" s="9" t="s">
        <v>70</v>
      </c>
      <c r="B90" s="9"/>
      <c r="C90" s="9"/>
      <c r="D90" s="10">
        <f>+'RETAIL CREDIT'!D88+'UNSECURED LOANS'!D89+'CAR FINANCE'!D88+'UCL LOANS'!D89</f>
        <v>23411211.839999996</v>
      </c>
      <c r="E90" s="15">
        <f t="shared" si="89"/>
        <v>0.06123503710771625</v>
      </c>
      <c r="F90" s="11">
        <f>+'RETAIL CREDIT'!F88+'UNSECURED LOANS'!F89+'CAR FINANCE'!F88+'UCL LOANS'!F89</f>
        <v>7453</v>
      </c>
      <c r="G90" s="15">
        <f t="shared" si="90"/>
        <v>0.10898429503114672</v>
      </c>
      <c r="H90" s="15"/>
      <c r="I90" s="10">
        <f>+'RETAIL CREDIT'!J88+'UCL LOANS'!J89+'UNSECURED LOANS'!J89+'CAR FINANCE'!I88</f>
        <v>21116147.010000035</v>
      </c>
      <c r="J90" s="15">
        <f t="shared" si="91"/>
        <v>0.059541261075962415</v>
      </c>
      <c r="K90" s="11">
        <f>+'RETAIL CREDIT'!L88+'UCL LOANS'!L89+'UNSECURED LOANS'!L89+'CAR FINANCE'!K88</f>
        <v>6846</v>
      </c>
      <c r="L90" s="15">
        <f t="shared" si="92"/>
        <v>0.11256535893978756</v>
      </c>
      <c r="M90" s="57"/>
      <c r="N90" s="56"/>
      <c r="O90" s="57"/>
      <c r="P90" s="15"/>
      <c r="Q90" s="10">
        <f>+'RETAIL CREDIT'!R88+'UCL LOANS'!R89+'UNSECURED LOANS'!R89+'CAR FINANCE'!Q88</f>
        <v>19296120.189999986</v>
      </c>
      <c r="R90" s="15">
        <f t="shared" si="93"/>
        <v>0.05394349533325043</v>
      </c>
      <c r="S90" s="11">
        <f>+'RETAIL CREDIT'!T88+'UCL LOANS'!T89+'UNSECURED LOANS'!T89+'CAR FINANCE'!S88</f>
        <v>6419</v>
      </c>
      <c r="T90" s="15">
        <f t="shared" si="94"/>
        <v>0.10314297650801812</v>
      </c>
      <c r="U90" s="57"/>
      <c r="V90" s="56"/>
      <c r="W90" s="57"/>
      <c r="X90" s="15"/>
      <c r="Y90" s="10">
        <f>+'RETAIL CREDIT'!Z88+'UCL LOANS'!Z89+'UNSECURED LOANS'!Z89+'CAR FINANCE'!Y88</f>
        <v>17693517.170000013</v>
      </c>
      <c r="Z90" s="15">
        <f t="shared" si="95"/>
        <v>0.04939948966663667</v>
      </c>
      <c r="AA90" s="11">
        <f>+'RETAIL CREDIT'!AB88+'UCL LOANS'!AB89+'UNSECURED LOANS'!AB89+'CAR FINANCE'!AA88</f>
        <v>5969</v>
      </c>
      <c r="AB90" s="15">
        <f t="shared" si="96"/>
        <v>0.09810012161851231</v>
      </c>
      <c r="AC90" s="57"/>
      <c r="AD90" s="56"/>
      <c r="AE90" s="57"/>
      <c r="AF90" s="15"/>
      <c r="AG90" s="10">
        <f>+'RETAIL CREDIT'!AH88+'UCL LOANS'!AG89+'UNSECURED LOANS'!AH89+'CAR FINANCE'!AG88</f>
        <v>16222923.090000046</v>
      </c>
      <c r="AH90" s="15">
        <f t="shared" si="97"/>
        <v>0.042588492420765074</v>
      </c>
      <c r="AI90" s="11">
        <f>+'RETAIL CREDIT'!AJ88+'UCL LOANS'!AI89+'UNSECURED LOANS'!AJ89+'CAR FINANCE'!AI88</f>
        <v>5562</v>
      </c>
      <c r="AJ90" s="15">
        <f t="shared" si="98"/>
        <v>0.08890380742303634</v>
      </c>
      <c r="AK90" s="57"/>
      <c r="AL90" s="56"/>
      <c r="AM90" s="57"/>
      <c r="AN90" s="10">
        <f>+'RETAIL CREDIT'!AO88+'UCL LOANS'!AN89+'UNSECURED LOANS'!AO89+'CAR FINANCE'!AN88</f>
        <v>14929832.400000019</v>
      </c>
      <c r="AO90" s="15">
        <f t="shared" si="75"/>
        <v>0.039275636929367135</v>
      </c>
      <c r="AP90" s="11">
        <f>+'RETAIL CREDIT'!AQ88+'UCL LOANS'!AP89+'UNSECURED LOANS'!AQ89+'CAR FINANCE'!AP88</f>
        <v>5124</v>
      </c>
      <c r="AQ90" s="15">
        <f t="shared" si="76"/>
        <v>0.08238207016302775</v>
      </c>
      <c r="AR90" s="57"/>
      <c r="AS90" s="56"/>
      <c r="AT90" s="57"/>
      <c r="AU90" s="10">
        <f>+'RETAIL CREDIT'!AV88+'UCL LOANS'!AU89+'UNSECURED LOANS'!AV89+'CAR FINANCE'!AU88</f>
        <v>13527590.17000002</v>
      </c>
      <c r="AV90" s="15">
        <f t="shared" si="77"/>
        <v>0.03542602848955429</v>
      </c>
      <c r="AW90" s="11">
        <f>+'RETAIL CREDIT'!AX88+'UCL LOANS'!AW89+'UNSECURED LOANS'!AX89+'CAR FINANCE'!AW88</f>
        <v>4738</v>
      </c>
      <c r="AX90" s="15">
        <f t="shared" si="78"/>
        <v>0.07498615177652924</v>
      </c>
      <c r="AY90" s="57"/>
      <c r="AZ90" s="56"/>
      <c r="BA90" s="57"/>
      <c r="BB90" s="10">
        <f>+'RETAIL CREDIT'!BC88+'UCL LOANS'!BB89+'UNSECURED LOANS'!BC89+'CAR FINANCE'!BB88</f>
        <v>11738717.519999996</v>
      </c>
      <c r="BC90" s="15">
        <f t="shared" si="79"/>
        <v>0.03252900351492128</v>
      </c>
      <c r="BD90" s="11">
        <f>+'RETAIL CREDIT'!BE88+'UCL LOANS'!BD89+'UNSECURED LOANS'!BE89+'CAR FINANCE'!BD88</f>
        <v>4172</v>
      </c>
      <c r="BE90" s="15">
        <f t="shared" si="80"/>
        <v>0.06986285312390107</v>
      </c>
      <c r="BF90" s="57"/>
      <c r="BG90" s="56"/>
      <c r="BH90" s="57"/>
      <c r="BI90" s="10">
        <f>+'RETAIL CREDIT'!BJ88+'UCL LOANS'!BI89+'UNSECURED LOANS'!BJ89+'CAR FINANCE'!BI88</f>
        <v>10710137.389999991</v>
      </c>
      <c r="BJ90" s="15">
        <f t="shared" si="81"/>
        <v>0.029678718838836125</v>
      </c>
      <c r="BK90" s="11">
        <f>+'RETAIL CREDIT'!BL88+'UCL LOANS'!BK89+'UNSECURED LOANS'!BL89+'CAR FINANCE'!BK88</f>
        <v>3823</v>
      </c>
      <c r="BL90" s="15">
        <f t="shared" si="82"/>
        <v>0.06401862116315288</v>
      </c>
      <c r="BM90" s="57"/>
      <c r="BN90" s="56"/>
      <c r="BO90" s="57"/>
      <c r="BP90" s="10">
        <f>+'RETAIL CREDIT'!BQ88+'UCL LOANS'!BP89+'UNSECURED LOANS'!BQ89+'CAR FINANCE'!BP88</f>
        <v>9752348.440000016</v>
      </c>
      <c r="BQ90" s="15">
        <f t="shared" si="83"/>
        <v>0.02869004985519425</v>
      </c>
      <c r="BR90" s="11">
        <f>+'RETAIL CREDIT'!BS88+'UCL LOANS'!BR89+'UNSECURED LOANS'!BS89+'CAR FINANCE'!BR88</f>
        <v>3507</v>
      </c>
      <c r="BS90" s="15">
        <f t="shared" si="84"/>
        <v>0.07040330837331621</v>
      </c>
      <c r="BT90" s="57"/>
      <c r="BU90" s="56"/>
      <c r="BV90" s="57"/>
      <c r="BW90" s="10">
        <f>+'RETAIL CREDIT'!BX88+'UCL LOANS'!BW89+'UNSECURED LOANS'!BX89+'CAR FINANCE'!BW88</f>
        <v>8916473.92999999</v>
      </c>
      <c r="BX90" s="15">
        <f t="shared" si="99"/>
        <v>0.02711354816008073</v>
      </c>
      <c r="BY90" s="11">
        <f>+'RETAIL CREDIT'!BZ88+'UCL LOANS'!BY89+'UNSECURED LOANS'!BZ89+'CAR FINANCE'!BY88</f>
        <v>3223</v>
      </c>
      <c r="BZ90" s="15">
        <f t="shared" si="100"/>
        <v>0.07091309130913091</v>
      </c>
      <c r="CA90" s="57"/>
      <c r="CB90" s="56"/>
      <c r="CC90" s="57"/>
      <c r="CD90" s="10">
        <f>+'RETAIL CREDIT'!CE88+'UCL LOANS'!CD89+'UNSECURED LOANS'!CE89+'CAR FINANCE'!CD88</f>
        <v>8207791.110000004</v>
      </c>
      <c r="CE90" s="15">
        <f t="shared" si="85"/>
        <v>0.02477551318700634</v>
      </c>
      <c r="CF90" s="11">
        <f>+'RETAIL CREDIT'!CG88+'UCL LOANS'!CF89+'UNSECURED LOANS'!CG89+'CAR FINANCE'!CF88</f>
        <v>3045</v>
      </c>
      <c r="CG90" s="15">
        <f t="shared" si="86"/>
        <v>0.054385682901998605</v>
      </c>
      <c r="CH90" s="57"/>
      <c r="CI90" s="56"/>
      <c r="CJ90" s="57"/>
      <c r="CK90" s="10">
        <f>+'RETAIL CREDIT'!CL88+'UCL LOANS'!CK89+'UNSECURED LOANS'!CL89+'CAR FINANCE'!CK88</f>
        <v>7825196.67</v>
      </c>
      <c r="CL90" s="15">
        <f t="shared" si="87"/>
        <v>0.023620638085233018</v>
      </c>
      <c r="CM90" s="11">
        <f>+'RETAIL CREDIT'!CN88+'UCL LOANS'!CM89+'UNSECURED LOANS'!CN89+'CAR FINANCE'!CM88</f>
        <v>2917</v>
      </c>
      <c r="CN90" s="15">
        <f t="shared" si="88"/>
        <v>0.052099519548482735</v>
      </c>
      <c r="CO90" s="57"/>
      <c r="CP90" s="56"/>
      <c r="CQ90" s="57"/>
    </row>
    <row r="91" spans="1:95" ht="12.75">
      <c r="A91" s="9" t="s">
        <v>71</v>
      </c>
      <c r="B91" s="9"/>
      <c r="C91" s="9"/>
      <c r="D91" s="10">
        <f>+'RETAIL CREDIT'!D89+'UNSECURED LOANS'!D90+'CAR FINANCE'!D89+'UCL LOANS'!D90</f>
        <v>3570347.5700000003</v>
      </c>
      <c r="E91" s="15">
        <f t="shared" si="89"/>
        <v>0.009338703499442368</v>
      </c>
      <c r="F91" s="11">
        <f>+'RETAIL CREDIT'!F89+'UNSECURED LOANS'!F90+'CAR FINANCE'!F89+'UCL LOANS'!F90</f>
        <v>1349</v>
      </c>
      <c r="G91" s="15">
        <f t="shared" si="90"/>
        <v>0.01972625976076975</v>
      </c>
      <c r="H91" s="15"/>
      <c r="I91" s="10">
        <f>+'RETAIL CREDIT'!J89+'UCL LOANS'!J90+'UNSECURED LOANS'!J90+'CAR FINANCE'!I89</f>
        <v>2800071.049999995</v>
      </c>
      <c r="J91" s="15">
        <f t="shared" si="91"/>
        <v>0.007895368475145582</v>
      </c>
      <c r="K91" s="11">
        <f>+'RETAIL CREDIT'!L89+'UCL LOANS'!L90+'UNSECURED LOANS'!L90+'CAR FINANCE'!K89</f>
        <v>1235</v>
      </c>
      <c r="L91" s="15">
        <f t="shared" si="92"/>
        <v>0.020306488210727086</v>
      </c>
      <c r="M91" s="57"/>
      <c r="N91" s="56"/>
      <c r="O91" s="57"/>
      <c r="P91" s="15"/>
      <c r="Q91" s="10">
        <f>+'RETAIL CREDIT'!R89+'UCL LOANS'!R90+'UNSECURED LOANS'!R90+'CAR FINANCE'!Q89</f>
        <v>2542183.23</v>
      </c>
      <c r="R91" s="15">
        <f t="shared" si="93"/>
        <v>0.007106830173810841</v>
      </c>
      <c r="S91" s="11">
        <f>+'RETAIL CREDIT'!T89+'UCL LOANS'!T90+'UNSECURED LOANS'!T90+'CAR FINANCE'!S89</f>
        <v>1110</v>
      </c>
      <c r="T91" s="15">
        <f t="shared" si="94"/>
        <v>0.0178359096313912</v>
      </c>
      <c r="U91" s="57"/>
      <c r="V91" s="56"/>
      <c r="W91" s="57"/>
      <c r="X91" s="15"/>
      <c r="Y91" s="10">
        <f>+'RETAIL CREDIT'!Z89+'UCL LOANS'!Z90+'UNSECURED LOANS'!Z90+'CAR FINANCE'!Y89</f>
        <v>2231064.4299999997</v>
      </c>
      <c r="Z91" s="15">
        <f t="shared" si="95"/>
        <v>0.00622902971729422</v>
      </c>
      <c r="AA91" s="11">
        <f>+'RETAIL CREDIT'!AB89+'UCL LOANS'!AB90+'UNSECURED LOANS'!AB90+'CAR FINANCE'!AA89</f>
        <v>969</v>
      </c>
      <c r="AB91" s="15">
        <f t="shared" si="96"/>
        <v>0.015925451138940932</v>
      </c>
      <c r="AC91" s="57"/>
      <c r="AD91" s="56"/>
      <c r="AE91" s="57"/>
      <c r="AF91" s="15"/>
      <c r="AG91" s="10">
        <f>+'RETAIL CREDIT'!AH89+'UCL LOANS'!AG90+'UNSECURED LOANS'!AH90+'CAR FINANCE'!AG89</f>
        <v>2071855.16</v>
      </c>
      <c r="AH91" s="15">
        <f t="shared" si="97"/>
        <v>0.005439043709266747</v>
      </c>
      <c r="AI91" s="11">
        <f>+'RETAIL CREDIT'!AJ89+'UCL LOANS'!AI90+'UNSECURED LOANS'!AJ90+'CAR FINANCE'!AI89</f>
        <v>867</v>
      </c>
      <c r="AJ91" s="15">
        <f t="shared" si="98"/>
        <v>0.0138582526134075</v>
      </c>
      <c r="AK91" s="57"/>
      <c r="AL91" s="56"/>
      <c r="AM91" s="57"/>
      <c r="AN91" s="10">
        <f>+'RETAIL CREDIT'!AO89+'UCL LOANS'!AN90+'UNSECURED LOANS'!AO90+'CAR FINANCE'!AN89</f>
        <v>1924905.63</v>
      </c>
      <c r="AO91" s="15">
        <f t="shared" si="75"/>
        <v>0.005063814021594415</v>
      </c>
      <c r="AP91" s="11">
        <f>+'RETAIL CREDIT'!AQ89+'UCL LOANS'!AP90+'UNSECURED LOANS'!AQ90+'CAR FINANCE'!AP89</f>
        <v>830</v>
      </c>
      <c r="AQ91" s="15">
        <f t="shared" si="76"/>
        <v>0.013344480529920577</v>
      </c>
      <c r="AR91" s="57"/>
      <c r="AS91" s="56"/>
      <c r="AT91" s="57"/>
      <c r="AU91" s="10">
        <f>+'RETAIL CREDIT'!AV89+'UCL LOANS'!AU90+'UNSECURED LOANS'!AV90+'CAR FINANCE'!AU89</f>
        <v>1695987.85</v>
      </c>
      <c r="AV91" s="15">
        <f t="shared" si="77"/>
        <v>0.004441449891443439</v>
      </c>
      <c r="AW91" s="11">
        <f>+'RETAIL CREDIT'!AX89+'UCL LOANS'!AW90+'UNSECURED LOANS'!AX90+'CAR FINANCE'!AW89</f>
        <v>822</v>
      </c>
      <c r="AX91" s="15">
        <f t="shared" si="78"/>
        <v>0.013009416791960117</v>
      </c>
      <c r="AY91" s="57"/>
      <c r="AZ91" s="56"/>
      <c r="BA91" s="57"/>
      <c r="BB91" s="10">
        <f>+'RETAIL CREDIT'!BC89+'UCL LOANS'!BB90+'UNSECURED LOANS'!BC90+'CAR FINANCE'!BB89</f>
        <v>1386266.83</v>
      </c>
      <c r="BC91" s="15">
        <f t="shared" si="79"/>
        <v>0.0038414655186019674</v>
      </c>
      <c r="BD91" s="11">
        <f>+'RETAIL CREDIT'!BE89+'UCL LOANS'!BD90+'UNSECURED LOANS'!BE90+'CAR FINANCE'!BD89</f>
        <v>700</v>
      </c>
      <c r="BE91" s="15">
        <f t="shared" si="80"/>
        <v>0.011721955222131052</v>
      </c>
      <c r="BF91" s="57"/>
      <c r="BG91" s="56"/>
      <c r="BH91" s="57"/>
      <c r="BI91" s="10">
        <f>+'RETAIL CREDIT'!BJ89+'UCL LOANS'!BI90+'UNSECURED LOANS'!BJ90+'CAR FINANCE'!BI89</f>
        <v>1110082.05</v>
      </c>
      <c r="BJ91" s="15">
        <f t="shared" si="81"/>
        <v>0.003076133559290303</v>
      </c>
      <c r="BK91" s="11">
        <f>+'RETAIL CREDIT'!BL89+'UCL LOANS'!BK90+'UNSECURED LOANS'!BL90+'CAR FINANCE'!BK89</f>
        <v>543</v>
      </c>
      <c r="BL91" s="15">
        <f t="shared" si="82"/>
        <v>0.00909288812231023</v>
      </c>
      <c r="BM91" s="57"/>
      <c r="BN91" s="56"/>
      <c r="BO91" s="57"/>
      <c r="BP91" s="10">
        <f>+'RETAIL CREDIT'!BQ89+'UCL LOANS'!BP90+'UNSECURED LOANS'!BQ90+'CAR FINANCE'!BP89</f>
        <v>890581.1799999999</v>
      </c>
      <c r="BQ91" s="15">
        <f t="shared" si="83"/>
        <v>0.0026199657048243943</v>
      </c>
      <c r="BR91" s="11">
        <f>+'RETAIL CREDIT'!BS89+'UCL LOANS'!BR90+'UNSECURED LOANS'!BS90+'CAR FINANCE'!BR89</f>
        <v>423</v>
      </c>
      <c r="BS91" s="15">
        <f t="shared" si="84"/>
        <v>0.008491759179330698</v>
      </c>
      <c r="BT91" s="57"/>
      <c r="BU91" s="56"/>
      <c r="BV91" s="57"/>
      <c r="BW91" s="10">
        <f>+'RETAIL CREDIT'!BX89+'UCL LOANS'!BW90+'UNSECURED LOANS'!BX90+'CAR FINANCE'!BW89</f>
        <v>733889.21</v>
      </c>
      <c r="BX91" s="15">
        <f t="shared" si="99"/>
        <v>0.0022316378195812907</v>
      </c>
      <c r="BY91" s="11">
        <f>+'RETAIL CREDIT'!BZ89+'UCL LOANS'!BY90+'UNSECURED LOANS'!BZ90+'CAR FINANCE'!BY89</f>
        <v>347</v>
      </c>
      <c r="BZ91" s="15">
        <f t="shared" si="100"/>
        <v>0.007634763476347635</v>
      </c>
      <c r="CA91" s="57"/>
      <c r="CB91" s="56"/>
      <c r="CC91" s="57"/>
      <c r="CD91" s="10">
        <f>+'RETAIL CREDIT'!CE89+'UCL LOANS'!CD90+'UNSECURED LOANS'!CE90+'CAR FINANCE'!CD89</f>
        <v>655540.56</v>
      </c>
      <c r="CE91" s="15">
        <f t="shared" si="85"/>
        <v>0.0019787727990676794</v>
      </c>
      <c r="CF91" s="11">
        <f>+'RETAIL CREDIT'!CG89+'UCL LOANS'!CF90+'UNSECURED LOANS'!CG90+'CAR FINANCE'!CF89</f>
        <v>444</v>
      </c>
      <c r="CG91" s="15">
        <f t="shared" si="86"/>
        <v>0.00793012913250817</v>
      </c>
      <c r="CH91" s="57"/>
      <c r="CI91" s="56"/>
      <c r="CJ91" s="57"/>
      <c r="CK91" s="10">
        <f>+'RETAIL CREDIT'!CL89+'UCL LOANS'!CK90+'UNSECURED LOANS'!CL90+'CAR FINANCE'!CK89</f>
        <v>1061320.6800000009</v>
      </c>
      <c r="CL91" s="15">
        <f t="shared" si="87"/>
        <v>0.003203634711286231</v>
      </c>
      <c r="CM91" s="11">
        <f>+'RETAIL CREDIT'!CN89+'UCL LOANS'!CM90+'UNSECURED LOANS'!CN90+'CAR FINANCE'!CM89</f>
        <v>673</v>
      </c>
      <c r="CN91" s="15">
        <f t="shared" si="88"/>
        <v>0.012020218257157655</v>
      </c>
      <c r="CO91" s="57"/>
      <c r="CP91" s="56"/>
      <c r="CQ91" s="57"/>
    </row>
    <row r="92" spans="1:95" ht="12.75">
      <c r="A92" s="9" t="s">
        <v>72</v>
      </c>
      <c r="B92" s="9"/>
      <c r="C92" s="9"/>
      <c r="D92" s="10">
        <f>+'RETAIL CREDIT'!D90+'UNSECURED LOANS'!D91+'CAR FINANCE'!D90+'UCL LOANS'!D91</f>
        <v>25641892.620000027</v>
      </c>
      <c r="E92" s="15">
        <f t="shared" si="89"/>
        <v>0.06706966973042337</v>
      </c>
      <c r="F92" s="11">
        <f>+'RETAIL CREDIT'!F90+'UNSECURED LOANS'!F91+'CAR FINANCE'!F90+'UCL LOANS'!F91</f>
        <v>3680</v>
      </c>
      <c r="G92" s="15">
        <f t="shared" si="90"/>
        <v>0.05381218378030591</v>
      </c>
      <c r="H92" s="15"/>
      <c r="I92" s="10">
        <f>+'RETAIL CREDIT'!J90+'UCL LOANS'!J91+'UNSECURED LOANS'!J91+'CAR FINANCE'!I90</f>
        <v>24497947.179999977</v>
      </c>
      <c r="J92" s="15">
        <f t="shared" si="91"/>
        <v>0.06907693284095551</v>
      </c>
      <c r="K92" s="11">
        <f>+'RETAIL CREDIT'!L90+'UCL LOANS'!L91+'UNSECURED LOANS'!L91+'CAR FINANCE'!K90</f>
        <v>3365</v>
      </c>
      <c r="L92" s="15">
        <f t="shared" si="92"/>
        <v>0.05532901443651551</v>
      </c>
      <c r="M92" s="57"/>
      <c r="N92" s="56"/>
      <c r="O92" s="57"/>
      <c r="P92" s="15"/>
      <c r="Q92" s="10">
        <f>+'RETAIL CREDIT'!R90+'UCL LOANS'!R91+'UNSECURED LOANS'!R91+'CAR FINANCE'!Q90</f>
        <v>22956140.759999976</v>
      </c>
      <c r="R92" s="15">
        <f t="shared" si="93"/>
        <v>0.06417530880628804</v>
      </c>
      <c r="S92" s="11">
        <f>+'RETAIL CREDIT'!T90+'UCL LOANS'!T91+'UNSECURED LOANS'!T91+'CAR FINANCE'!S90</f>
        <v>3188</v>
      </c>
      <c r="T92" s="15">
        <f t="shared" si="94"/>
        <v>0.051226017932319956</v>
      </c>
      <c r="U92" s="57"/>
      <c r="V92" s="56"/>
      <c r="W92" s="57"/>
      <c r="X92" s="15"/>
      <c r="Y92" s="10">
        <f>+'RETAIL CREDIT'!Z90+'UCL LOANS'!Z91+'UNSECURED LOANS'!Z91+'CAR FINANCE'!Y90</f>
        <v>21684138.789999995</v>
      </c>
      <c r="Z92" s="15">
        <f t="shared" si="95"/>
        <v>0.06054112247974942</v>
      </c>
      <c r="AA92" s="11">
        <f>+'RETAIL CREDIT'!AB90+'UCL LOANS'!AB91+'UNSECURED LOANS'!AB91+'CAR FINANCE'!AA90</f>
        <v>3033</v>
      </c>
      <c r="AB92" s="15">
        <f t="shared" si="96"/>
        <v>0.049847155112908</v>
      </c>
      <c r="AC92" s="57"/>
      <c r="AD92" s="56"/>
      <c r="AE92" s="57"/>
      <c r="AF92" s="15"/>
      <c r="AG92" s="10">
        <f>+'RETAIL CREDIT'!AH90+'UCL LOANS'!AG91+'UNSECURED LOANS'!AH91+'CAR FINANCE'!AG90</f>
        <v>20253687.679999992</v>
      </c>
      <c r="AH92" s="15">
        <f t="shared" si="97"/>
        <v>0.05317007418865968</v>
      </c>
      <c r="AI92" s="11">
        <f>+'RETAIL CREDIT'!AJ90+'UCL LOANS'!AI91+'UNSECURED LOANS'!AJ91+'CAR FINANCE'!AI90</f>
        <v>2849</v>
      </c>
      <c r="AJ92" s="15">
        <f t="shared" si="98"/>
        <v>0.04553882548511876</v>
      </c>
      <c r="AK92" s="57"/>
      <c r="AL92" s="56"/>
      <c r="AM92" s="57"/>
      <c r="AN92" s="10">
        <f>+'RETAIL CREDIT'!AO90+'UCL LOANS'!AN91+'UNSECURED LOANS'!AO91+'CAR FINANCE'!AN90</f>
        <v>19128315.669999998</v>
      </c>
      <c r="AO92" s="15">
        <f t="shared" si="75"/>
        <v>0.05032051004974731</v>
      </c>
      <c r="AP92" s="11">
        <f>+'RETAIL CREDIT'!AQ90+'UCL LOANS'!AP91+'UNSECURED LOANS'!AQ91+'CAR FINANCE'!AP90</f>
        <v>2714</v>
      </c>
      <c r="AQ92" s="15">
        <f t="shared" si="76"/>
        <v>0.04363484356410174</v>
      </c>
      <c r="AR92" s="57"/>
      <c r="AS92" s="56"/>
      <c r="AT92" s="57"/>
      <c r="AU92" s="10">
        <f>+'RETAIL CREDIT'!AV90+'UCL LOANS'!AU91+'UNSECURED LOANS'!AV91+'CAR FINANCE'!AU90</f>
        <v>18075581.520000022</v>
      </c>
      <c r="AV92" s="15">
        <f t="shared" si="77"/>
        <v>0.047336299950368824</v>
      </c>
      <c r="AW92" s="11">
        <f>+'RETAIL CREDIT'!AX90+'UCL LOANS'!AW91+'UNSECURED LOANS'!AX91+'CAR FINANCE'!AW90</f>
        <v>2596</v>
      </c>
      <c r="AX92" s="15">
        <f t="shared" si="78"/>
        <v>0.04108570072010762</v>
      </c>
      <c r="AY92" s="57"/>
      <c r="AZ92" s="56"/>
      <c r="BA92" s="57"/>
      <c r="BB92" s="10">
        <f>+'RETAIL CREDIT'!BC90+'UCL LOANS'!BB91+'UNSECURED LOANS'!BC91+'CAR FINANCE'!BB90</f>
        <v>15517392.329999993</v>
      </c>
      <c r="BC92" s="15">
        <f t="shared" si="79"/>
        <v>0.04300003887008795</v>
      </c>
      <c r="BD92" s="11">
        <f>+'RETAIL CREDIT'!BE90+'UCL LOANS'!BD91+'UNSECURED LOANS'!BE91+'CAR FINANCE'!BD90</f>
        <v>2262</v>
      </c>
      <c r="BE92" s="15">
        <f t="shared" si="80"/>
        <v>0.03787866101780062</v>
      </c>
      <c r="BF92" s="57"/>
      <c r="BG92" s="56"/>
      <c r="BH92" s="57"/>
      <c r="BI92" s="10">
        <f>+'RETAIL CREDIT'!BJ90+'UCL LOANS'!BI91+'UNSECURED LOANS'!BJ91+'CAR FINANCE'!BI90</f>
        <v>14652093.750000002</v>
      </c>
      <c r="BJ92" s="15">
        <f t="shared" si="81"/>
        <v>0.04060222151888926</v>
      </c>
      <c r="BK92" s="11">
        <f>+'RETAIL CREDIT'!BL90+'UCL LOANS'!BK91+'UNSECURED LOANS'!BL91+'CAR FINANCE'!BK90</f>
        <v>2085</v>
      </c>
      <c r="BL92" s="15">
        <f t="shared" si="82"/>
        <v>0.0349146809116332</v>
      </c>
      <c r="BM92" s="57"/>
      <c r="BN92" s="56"/>
      <c r="BO92" s="57"/>
      <c r="BP92" s="10">
        <f>+'RETAIL CREDIT'!BQ90+'UCL LOANS'!BP91+'UNSECURED LOANS'!BQ91+'CAR FINANCE'!BP90</f>
        <v>13805682.830000004</v>
      </c>
      <c r="BQ92" s="15">
        <f t="shared" si="83"/>
        <v>0.04061439468806538</v>
      </c>
      <c r="BR92" s="11">
        <f>+'RETAIL CREDIT'!BS90+'UCL LOANS'!BR91+'UNSECURED LOANS'!BS91+'CAR FINANCE'!BR90</f>
        <v>1928</v>
      </c>
      <c r="BS92" s="15">
        <f t="shared" si="84"/>
        <v>0.038704755786642044</v>
      </c>
      <c r="BT92" s="57"/>
      <c r="BU92" s="56"/>
      <c r="BV92" s="57"/>
      <c r="BW92" s="10">
        <f>+'RETAIL CREDIT'!BX90+'UCL LOANS'!BW91+'UNSECURED LOANS'!BX91+'CAR FINANCE'!BW90</f>
        <v>13241895.770000001</v>
      </c>
      <c r="BX92" s="15">
        <f t="shared" si="99"/>
        <v>0.040266453029450484</v>
      </c>
      <c r="BY92" s="11">
        <f>+'RETAIL CREDIT'!BZ90+'UCL LOANS'!BY91+'UNSECURED LOANS'!BZ91+'CAR FINANCE'!BY90</f>
        <v>1808</v>
      </c>
      <c r="BZ92" s="15">
        <f t="shared" si="100"/>
        <v>0.03977997799779978</v>
      </c>
      <c r="CA92" s="57"/>
      <c r="CB92" s="56"/>
      <c r="CC92" s="57"/>
      <c r="CD92" s="10">
        <f>+'RETAIL CREDIT'!CE90+'UCL LOANS'!CD91+'UNSECURED LOANS'!CE91+'CAR FINANCE'!CD90</f>
        <v>12756671.940000001</v>
      </c>
      <c r="CE92" s="15">
        <f t="shared" si="85"/>
        <v>0.03850647386563224</v>
      </c>
      <c r="CF92" s="11">
        <f>+'RETAIL CREDIT'!CG90+'UCL LOANS'!CF91+'UNSECURED LOANS'!CG91+'CAR FINANCE'!CF90</f>
        <v>1783</v>
      </c>
      <c r="CG92" s="15">
        <f t="shared" si="86"/>
        <v>0.03184554108842808</v>
      </c>
      <c r="CH92" s="57"/>
      <c r="CI92" s="56"/>
      <c r="CJ92" s="57"/>
      <c r="CK92" s="10">
        <f>+'RETAIL CREDIT'!CL90+'UCL LOANS'!CK91+'UNSECURED LOANS'!CL91+'CAR FINANCE'!CK90</f>
        <v>12312354.809999993</v>
      </c>
      <c r="CL92" s="15">
        <f t="shared" si="87"/>
        <v>0.03716528660026481</v>
      </c>
      <c r="CM92" s="11">
        <f>+'RETAIL CREDIT'!CN90+'UCL LOANS'!CM91+'UNSECURED LOANS'!CN91+'CAR FINANCE'!CM90</f>
        <v>1748</v>
      </c>
      <c r="CN92" s="15">
        <f t="shared" si="88"/>
        <v>0.03122041829645109</v>
      </c>
      <c r="CO92" s="57"/>
      <c r="CP92" s="56"/>
      <c r="CQ92" s="57"/>
    </row>
    <row r="93" spans="1:95" ht="12.75">
      <c r="A93" s="9" t="s">
        <v>73</v>
      </c>
      <c r="B93" s="9"/>
      <c r="C93" s="9"/>
      <c r="D93" s="10">
        <f>+'RETAIL CREDIT'!D91+'UNSECURED LOANS'!D92+'CAR FINANCE'!D91+'UCL LOANS'!D92</f>
        <v>11674181.630000006</v>
      </c>
      <c r="E93" s="15">
        <f t="shared" si="89"/>
        <v>0.030535324279705033</v>
      </c>
      <c r="F93" s="11">
        <f>+'RETAIL CREDIT'!F91+'UNSECURED LOANS'!F92+'CAR FINANCE'!F91+'UCL LOANS'!F92</f>
        <v>1835</v>
      </c>
      <c r="G93" s="15">
        <f t="shared" si="90"/>
        <v>0.02683297751001667</v>
      </c>
      <c r="H93" s="15"/>
      <c r="I93" s="10">
        <f>+'RETAIL CREDIT'!J91+'UCL LOANS'!J92+'UNSECURED LOANS'!J92+'CAR FINANCE'!I91</f>
        <v>10992120.590000007</v>
      </c>
      <c r="J93" s="15">
        <f t="shared" si="91"/>
        <v>0.030994514364656875</v>
      </c>
      <c r="K93" s="11">
        <f>+'RETAIL CREDIT'!L91+'UCL LOANS'!L92+'UNSECURED LOANS'!L92+'CAR FINANCE'!K91</f>
        <v>1748</v>
      </c>
      <c r="L93" s="15">
        <f t="shared" si="92"/>
        <v>0.028741491005952184</v>
      </c>
      <c r="M93" s="57"/>
      <c r="N93" s="56"/>
      <c r="O93" s="57"/>
      <c r="P93" s="15"/>
      <c r="Q93" s="10">
        <f>+'RETAIL CREDIT'!R91+'UCL LOANS'!R92+'UNSECURED LOANS'!R92+'CAR FINANCE'!Q91</f>
        <v>10297368.069999993</v>
      </c>
      <c r="R93" s="15">
        <f t="shared" si="93"/>
        <v>0.028786928199000143</v>
      </c>
      <c r="S93" s="11">
        <f>+'RETAIL CREDIT'!T91+'UCL LOANS'!T92+'UNSECURED LOANS'!T92+'CAR FINANCE'!S91</f>
        <v>1651</v>
      </c>
      <c r="T93" s="15">
        <f t="shared" si="94"/>
        <v>0.0265289070283125</v>
      </c>
      <c r="U93" s="57"/>
      <c r="V93" s="56"/>
      <c r="W93" s="57"/>
      <c r="X93" s="15"/>
      <c r="Y93" s="10">
        <f>+'RETAIL CREDIT'!Z91+'UCL LOANS'!Z92+'UNSECURED LOANS'!Z92+'CAR FINANCE'!Y91</f>
        <v>9802314.670000002</v>
      </c>
      <c r="Z93" s="15">
        <f t="shared" si="95"/>
        <v>0.027367613663088656</v>
      </c>
      <c r="AA93" s="11">
        <f>+'RETAIL CREDIT'!AB91+'UCL LOANS'!AB92+'UNSECURED LOANS'!AB92+'CAR FINANCE'!AA91</f>
        <v>1531</v>
      </c>
      <c r="AB93" s="15">
        <f t="shared" si="96"/>
        <v>0.025161884100844755</v>
      </c>
      <c r="AC93" s="57"/>
      <c r="AD93" s="56"/>
      <c r="AE93" s="57"/>
      <c r="AF93" s="15"/>
      <c r="AG93" s="10">
        <f>+'RETAIL CREDIT'!AH91+'UCL LOANS'!AG92+'UNSECURED LOANS'!AH92+'CAR FINANCE'!AG91</f>
        <v>9196272.169999992</v>
      </c>
      <c r="AH93" s="15">
        <f t="shared" si="97"/>
        <v>0.024142096059911505</v>
      </c>
      <c r="AI93" s="11">
        <f>+'RETAIL CREDIT'!AJ91+'UCL LOANS'!AI92+'UNSECURED LOANS'!AJ92+'CAR FINANCE'!AI91</f>
        <v>1441</v>
      </c>
      <c r="AJ93" s="15">
        <f t="shared" si="98"/>
        <v>0.02303315111409482</v>
      </c>
      <c r="AK93" s="57"/>
      <c r="AL93" s="56"/>
      <c r="AM93" s="57"/>
      <c r="AN93" s="10">
        <f>+'RETAIL CREDIT'!AO91+'UCL LOANS'!AN92+'UNSECURED LOANS'!AO92+'CAR FINANCE'!AN91</f>
        <v>8569749.680000002</v>
      </c>
      <c r="AO93" s="15">
        <f t="shared" si="75"/>
        <v>0.02254428368581283</v>
      </c>
      <c r="AP93" s="11">
        <f>+'RETAIL CREDIT'!AQ91+'UCL LOANS'!AP92+'UNSECURED LOANS'!AQ92+'CAR FINANCE'!AP91</f>
        <v>1362</v>
      </c>
      <c r="AQ93" s="15">
        <f t="shared" si="76"/>
        <v>0.021897810218978103</v>
      </c>
      <c r="AR93" s="57"/>
      <c r="AS93" s="56"/>
      <c r="AT93" s="57"/>
      <c r="AU93" s="10">
        <f>+'RETAIL CREDIT'!AV91+'UCL LOANS'!AU92+'UNSECURED LOANS'!AV92+'CAR FINANCE'!AU91</f>
        <v>8148848.76</v>
      </c>
      <c r="AV93" s="15">
        <f t="shared" si="77"/>
        <v>0.021340190285261185</v>
      </c>
      <c r="AW93" s="11">
        <f>+'RETAIL CREDIT'!AX91+'UCL LOANS'!AW92+'UNSECURED LOANS'!AX92+'CAR FINANCE'!AW91</f>
        <v>1294</v>
      </c>
      <c r="AX93" s="15">
        <f t="shared" si="78"/>
        <v>0.020479544195616046</v>
      </c>
      <c r="AY93" s="57"/>
      <c r="AZ93" s="56"/>
      <c r="BA93" s="57"/>
      <c r="BB93" s="10">
        <f>+'RETAIL CREDIT'!BC91+'UCL LOANS'!BB92+'UNSECURED LOANS'!BC92+'CAR FINANCE'!BB91</f>
        <v>7498427.7</v>
      </c>
      <c r="BC93" s="15">
        <f t="shared" si="79"/>
        <v>0.02077879296389127</v>
      </c>
      <c r="BD93" s="11">
        <f>+'RETAIL CREDIT'!BE91+'UCL LOANS'!BD92+'UNSECURED LOANS'!BE92+'CAR FINANCE'!BD91</f>
        <v>1185</v>
      </c>
      <c r="BE93" s="15">
        <f t="shared" si="80"/>
        <v>0.019843595626036138</v>
      </c>
      <c r="BF93" s="57"/>
      <c r="BG93" s="56"/>
      <c r="BH93" s="57"/>
      <c r="BI93" s="10">
        <f>+'RETAIL CREDIT'!BJ91+'UCL LOANS'!BI92+'UNSECURED LOANS'!BJ92+'CAR FINANCE'!BI91</f>
        <v>7162874.9</v>
      </c>
      <c r="BJ93" s="15">
        <f t="shared" si="81"/>
        <v>0.019848947076378878</v>
      </c>
      <c r="BK93" s="11">
        <f>+'RETAIL CREDIT'!BL91+'UCL LOANS'!BK92+'UNSECURED LOANS'!BL92+'CAR FINANCE'!BK91</f>
        <v>1112</v>
      </c>
      <c r="BL93" s="15">
        <f t="shared" si="82"/>
        <v>0.018621163152871042</v>
      </c>
      <c r="BM93" s="57"/>
      <c r="BN93" s="56"/>
      <c r="BO93" s="57"/>
      <c r="BP93" s="10">
        <f>+'RETAIL CREDIT'!BQ91+'UCL LOANS'!BP92+'UNSECURED LOANS'!BQ92+'CAR FINANCE'!BP91</f>
        <v>6895688.710000001</v>
      </c>
      <c r="BQ93" s="15">
        <f t="shared" si="83"/>
        <v>0.02028615508284688</v>
      </c>
      <c r="BR93" s="11">
        <f>+'RETAIL CREDIT'!BS91+'UCL LOANS'!BR92+'UNSECURED LOANS'!BS92+'CAR FINANCE'!BR91</f>
        <v>1064</v>
      </c>
      <c r="BS93" s="15">
        <f t="shared" si="84"/>
        <v>0.021359885973541045</v>
      </c>
      <c r="BT93" s="57"/>
      <c r="BU93" s="56"/>
      <c r="BV93" s="57"/>
      <c r="BW93" s="10">
        <f>+'RETAIL CREDIT'!BX91+'UCL LOANS'!BW92+'UNSECURED LOANS'!BX92+'CAR FINANCE'!BW91</f>
        <v>6736722.0200000005</v>
      </c>
      <c r="BX93" s="15">
        <f t="shared" si="99"/>
        <v>0.020485276844222945</v>
      </c>
      <c r="BY93" s="11">
        <f>+'RETAIL CREDIT'!BZ91+'UCL LOANS'!BY92+'UNSECURED LOANS'!BZ92+'CAR FINANCE'!BY91</f>
        <v>1014</v>
      </c>
      <c r="BZ93" s="15">
        <f t="shared" si="100"/>
        <v>0.02231023102310231</v>
      </c>
      <c r="CA93" s="57"/>
      <c r="CB93" s="56"/>
      <c r="CC93" s="57"/>
      <c r="CD93" s="10">
        <f>+'RETAIL CREDIT'!CE91+'UCL LOANS'!CD92+'UNSECURED LOANS'!CE92+'CAR FINANCE'!CD91</f>
        <v>6479701.5</v>
      </c>
      <c r="CE93" s="15">
        <f t="shared" si="85"/>
        <v>0.01955921243725642</v>
      </c>
      <c r="CF93" s="11">
        <f>+'RETAIL CREDIT'!CG91+'UCL LOANS'!CF92+'UNSECURED LOANS'!CG92+'CAR FINANCE'!CF91</f>
        <v>992</v>
      </c>
      <c r="CG93" s="15">
        <f t="shared" si="86"/>
        <v>0.017717765989747985</v>
      </c>
      <c r="CH93" s="57"/>
      <c r="CI93" s="56"/>
      <c r="CJ93" s="57"/>
      <c r="CK93" s="10">
        <f>+'RETAIL CREDIT'!CL91+'UCL LOANS'!CK92+'UNSECURED LOANS'!CL92+'CAR FINANCE'!CK91</f>
        <v>6329323.25</v>
      </c>
      <c r="CL93" s="15">
        <f t="shared" si="87"/>
        <v>0.01910529027159912</v>
      </c>
      <c r="CM93" s="11">
        <f>+'RETAIL CREDIT'!CN91+'UCL LOANS'!CM92+'UNSECURED LOANS'!CN92+'CAR FINANCE'!CM91</f>
        <v>990</v>
      </c>
      <c r="CN93" s="15">
        <f t="shared" si="88"/>
        <v>0.0176820446873493</v>
      </c>
      <c r="CO93" s="57"/>
      <c r="CP93" s="56"/>
      <c r="CQ93" s="57"/>
    </row>
    <row r="94" spans="1:95" ht="12.75">
      <c r="A94" s="9" t="s">
        <v>74</v>
      </c>
      <c r="B94" s="9"/>
      <c r="C94" s="9"/>
      <c r="D94" s="10">
        <f>+'RETAIL CREDIT'!D92+'UNSECURED LOANS'!D93+'CAR FINANCE'!D92+'UCL LOANS'!D93</f>
        <v>85860855.19000007</v>
      </c>
      <c r="E94" s="15">
        <f t="shared" si="89"/>
        <v>0.2245801152709533</v>
      </c>
      <c r="F94" s="11">
        <f>+'RETAIL CREDIT'!F92+'UNSECURED LOANS'!F93+'CAR FINANCE'!F92+'UCL LOANS'!F93</f>
        <v>12976</v>
      </c>
      <c r="G94" s="15">
        <f t="shared" si="90"/>
        <v>0.18974643932968735</v>
      </c>
      <c r="H94" s="15"/>
      <c r="I94" s="10">
        <f>+'RETAIL CREDIT'!J92+'UCL LOANS'!J93+'UNSECURED LOANS'!J93+'CAR FINANCE'!I92</f>
        <v>83137464.89999995</v>
      </c>
      <c r="J94" s="15">
        <f t="shared" si="91"/>
        <v>0.23442295133010393</v>
      </c>
      <c r="K94" s="11">
        <f>+'RETAIL CREDIT'!L92+'UCL LOANS'!L93+'UNSECURED LOANS'!L93+'CAR FINANCE'!K92</f>
        <v>11439</v>
      </c>
      <c r="L94" s="15">
        <f t="shared" si="92"/>
        <v>0.18808576408300173</v>
      </c>
      <c r="M94" s="57"/>
      <c r="N94" s="56"/>
      <c r="O94" s="57"/>
      <c r="P94" s="15"/>
      <c r="Q94" s="10">
        <f>+'RETAIL CREDIT'!R92+'UCL LOANS'!R93+'UNSECURED LOANS'!R93+'CAR FINANCE'!Q92</f>
        <v>78943402.55000001</v>
      </c>
      <c r="R94" s="15">
        <f t="shared" si="93"/>
        <v>0.22069115579274584</v>
      </c>
      <c r="S94" s="11">
        <f>+'RETAIL CREDIT'!T92+'UCL LOANS'!T93+'UNSECURED LOANS'!T93+'CAR FINANCE'!S92</f>
        <v>11142</v>
      </c>
      <c r="T94" s="15">
        <f t="shared" si="94"/>
        <v>0.17903396857023493</v>
      </c>
      <c r="U94" s="57"/>
      <c r="V94" s="56"/>
      <c r="W94" s="57"/>
      <c r="X94" s="15"/>
      <c r="Y94" s="10">
        <f>+'RETAIL CREDIT'!Z92+'UCL LOANS'!Z93+'UNSECURED LOANS'!Z93+'CAR FINANCE'!Y92</f>
        <v>75970054.57</v>
      </c>
      <c r="Z94" s="15">
        <f t="shared" si="95"/>
        <v>0.21210491332202075</v>
      </c>
      <c r="AA94" s="11">
        <f>+'RETAIL CREDIT'!AB92+'UCL LOANS'!AB93+'UNSECURED LOANS'!AB93+'CAR FINANCE'!AA92</f>
        <v>10808</v>
      </c>
      <c r="AB94" s="15">
        <f t="shared" si="96"/>
        <v>0.1776287677086415</v>
      </c>
      <c r="AC94" s="57"/>
      <c r="AD94" s="56"/>
      <c r="AE94" s="57"/>
      <c r="AF94" s="15"/>
      <c r="AG94" s="10">
        <f>+'RETAIL CREDIT'!AH92+'UCL LOANS'!AG93+'UNSECURED LOANS'!AH93+'CAR FINANCE'!AG92</f>
        <v>72391656.38999976</v>
      </c>
      <c r="AH94" s="15">
        <f t="shared" si="97"/>
        <v>0.19004290980042646</v>
      </c>
      <c r="AI94" s="11">
        <f>+'RETAIL CREDIT'!AJ92+'UCL LOANS'!AI93+'UNSECURED LOANS'!AJ93+'CAR FINANCE'!AI92</f>
        <v>10333</v>
      </c>
      <c r="AJ94" s="15">
        <f t="shared" si="98"/>
        <v>0.16516415715610114</v>
      </c>
      <c r="AK94" s="57"/>
      <c r="AL94" s="56"/>
      <c r="AM94" s="57"/>
      <c r="AN94" s="10">
        <f>+'RETAIL CREDIT'!AO92+'UCL LOANS'!AN93+'UNSECURED LOANS'!AO93+'CAR FINANCE'!AN92</f>
        <v>69901490.51999997</v>
      </c>
      <c r="AO94" s="15">
        <f t="shared" si="75"/>
        <v>0.1838885721506903</v>
      </c>
      <c r="AP94" s="11">
        <f>+'RETAIL CREDIT'!AQ92+'UCL LOANS'!AP93+'UNSECURED LOANS'!AQ93+'CAR FINANCE'!AP92</f>
        <v>10194</v>
      </c>
      <c r="AQ94" s="15">
        <f t="shared" si="76"/>
        <v>0.16389594520724138</v>
      </c>
      <c r="AR94" s="57"/>
      <c r="AS94" s="56"/>
      <c r="AT94" s="57"/>
      <c r="AU94" s="10">
        <f>+'RETAIL CREDIT'!AV92+'UCL LOANS'!AU93+'UNSECURED LOANS'!AV93+'CAR FINANCE'!AU92</f>
        <v>67328625.76999968</v>
      </c>
      <c r="AV94" s="15">
        <f t="shared" si="77"/>
        <v>0.17632008249186515</v>
      </c>
      <c r="AW94" s="11">
        <f>+'RETAIL CREDIT'!AX92+'UCL LOANS'!AW93+'UNSECURED LOANS'!AX93+'CAR FINANCE'!AW92</f>
        <v>10177</v>
      </c>
      <c r="AX94" s="15">
        <f t="shared" si="78"/>
        <v>0.1610667088707763</v>
      </c>
      <c r="AY94" s="57"/>
      <c r="AZ94" s="56"/>
      <c r="BA94" s="57"/>
      <c r="BB94" s="10">
        <f>+'RETAIL CREDIT'!BC92+'UCL LOANS'!BB93+'UNSECURED LOANS'!BC93+'CAR FINANCE'!BB92</f>
        <v>58409914.99</v>
      </c>
      <c r="BC94" s="15">
        <f t="shared" si="79"/>
        <v>0.161858936189476</v>
      </c>
      <c r="BD94" s="11">
        <f>+'RETAIL CREDIT'!BE92+'UCL LOANS'!BD93+'UNSECURED LOANS'!BE93+'CAR FINANCE'!BD92</f>
        <v>8799</v>
      </c>
      <c r="BE94" s="15">
        <f t="shared" si="80"/>
        <v>0.1473449771421873</v>
      </c>
      <c r="BF94" s="57"/>
      <c r="BG94" s="56"/>
      <c r="BH94" s="57"/>
      <c r="BI94" s="10">
        <f>+'RETAIL CREDIT'!BJ92+'UCL LOANS'!BI93+'UNSECURED LOANS'!BJ93+'CAR FINANCE'!BI92</f>
        <v>56342694.9400001</v>
      </c>
      <c r="BJ94" s="15">
        <f t="shared" si="81"/>
        <v>0.15613049028744339</v>
      </c>
      <c r="BK94" s="11">
        <f>+'RETAIL CREDIT'!BL92+'UCL LOANS'!BK93+'UNSECURED LOANS'!BL93+'CAR FINANCE'!BK92</f>
        <v>8251</v>
      </c>
      <c r="BL94" s="15">
        <f t="shared" si="82"/>
        <v>0.13816836076829045</v>
      </c>
      <c r="BM94" s="57"/>
      <c r="BN94" s="56"/>
      <c r="BO94" s="57"/>
      <c r="BP94" s="10">
        <f>+'RETAIL CREDIT'!BQ92+'UCL LOANS'!BP93+'UNSECURED LOANS'!BQ93+'CAR FINANCE'!BP92</f>
        <v>53121499.4300001</v>
      </c>
      <c r="BQ94" s="15">
        <f t="shared" si="83"/>
        <v>0.15627604739575662</v>
      </c>
      <c r="BR94" s="11">
        <f>+'RETAIL CREDIT'!BS92+'UCL LOANS'!BR93+'UNSECURED LOANS'!BS93+'CAR FINANCE'!BR92</f>
        <v>7475</v>
      </c>
      <c r="BS94" s="15">
        <f t="shared" si="84"/>
        <v>0.15006122899644672</v>
      </c>
      <c r="BT94" s="57"/>
      <c r="BU94" s="56"/>
      <c r="BV94" s="57"/>
      <c r="BW94" s="10">
        <f>+'RETAIL CREDIT'!BX92+'UCL LOANS'!BW93+'UNSECURED LOANS'!BX93+'CAR FINANCE'!BW92</f>
        <v>51861789.84000009</v>
      </c>
      <c r="BX94" s="15">
        <f t="shared" si="99"/>
        <v>0.15770327458298636</v>
      </c>
      <c r="BY94" s="11">
        <f>+'RETAIL CREDIT'!BZ92+'UCL LOANS'!BY93+'UNSECURED LOANS'!BZ93+'CAR FINANCE'!BY92</f>
        <v>7108</v>
      </c>
      <c r="BZ94" s="15">
        <f t="shared" si="100"/>
        <v>0.15639163916391638</v>
      </c>
      <c r="CA94" s="57"/>
      <c r="CB94" s="56"/>
      <c r="CC94" s="57"/>
      <c r="CD94" s="10">
        <f>+'RETAIL CREDIT'!CE92+'UCL LOANS'!CD93+'UNSECURED LOANS'!CE93+'CAR FINANCE'!CD92</f>
        <v>48466759.15000003</v>
      </c>
      <c r="CE94" s="15">
        <f t="shared" si="85"/>
        <v>0.14629865872065126</v>
      </c>
      <c r="CF94" s="11">
        <f>+'RETAIL CREDIT'!CG92+'UCL LOANS'!CF93+'UNSECURED LOANS'!CG93+'CAR FINANCE'!CF92</f>
        <v>7795</v>
      </c>
      <c r="CG94" s="15">
        <f t="shared" si="86"/>
        <v>0.13922377609887657</v>
      </c>
      <c r="CH94" s="57"/>
      <c r="CI94" s="56"/>
      <c r="CJ94" s="57"/>
      <c r="CK94" s="10">
        <f>+'RETAIL CREDIT'!CL92+'UCL LOANS'!CK93+'UNSECURED LOANS'!CL93+'CAR FINANCE'!CK92</f>
        <v>45287980.980000116</v>
      </c>
      <c r="CL94" s="15">
        <f t="shared" si="87"/>
        <v>0.13670340228515934</v>
      </c>
      <c r="CM94" s="11">
        <f>+'RETAIL CREDIT'!CN92+'UCL LOANS'!CM93+'UNSECURED LOANS'!CN93+'CAR FINANCE'!CM92</f>
        <v>7287</v>
      </c>
      <c r="CN94" s="15">
        <f t="shared" si="88"/>
        <v>0.13015056528961047</v>
      </c>
      <c r="CO94" s="57"/>
      <c r="CP94" s="56"/>
      <c r="CQ94" s="57"/>
    </row>
    <row r="95" spans="1:95" ht="12.75">
      <c r="A95" s="9"/>
      <c r="B95" s="9"/>
      <c r="C95" s="9"/>
      <c r="D95" s="10"/>
      <c r="E95" s="9"/>
      <c r="F95" s="11"/>
      <c r="G95" s="9"/>
      <c r="H95" s="9"/>
      <c r="I95" s="10"/>
      <c r="J95" s="9"/>
      <c r="K95" s="11"/>
      <c r="L95" s="9"/>
      <c r="M95" s="55"/>
      <c r="N95" s="56"/>
      <c r="O95" s="55"/>
      <c r="P95" s="9"/>
      <c r="Q95" s="10"/>
      <c r="R95" s="9"/>
      <c r="S95" s="11"/>
      <c r="T95" s="9"/>
      <c r="U95" s="55"/>
      <c r="V95" s="56"/>
      <c r="W95" s="55"/>
      <c r="X95" s="9"/>
      <c r="Y95" s="10"/>
      <c r="Z95" s="9"/>
      <c r="AA95" s="11"/>
      <c r="AB95" s="9"/>
      <c r="AC95" s="55"/>
      <c r="AD95" s="56"/>
      <c r="AE95" s="55"/>
      <c r="AF95" s="9"/>
      <c r="AG95" s="10"/>
      <c r="AH95" s="15"/>
      <c r="AI95" s="11"/>
      <c r="AJ95" s="15"/>
      <c r="AK95" s="55"/>
      <c r="AL95" s="56"/>
      <c r="AM95" s="55"/>
      <c r="AN95" s="10"/>
      <c r="AO95" s="15"/>
      <c r="AP95" s="11"/>
      <c r="AQ95" s="15"/>
      <c r="AR95" s="55"/>
      <c r="AS95" s="56"/>
      <c r="AT95" s="55"/>
      <c r="AU95" s="10"/>
      <c r="AV95" s="15"/>
      <c r="AW95" s="11"/>
      <c r="AX95" s="15"/>
      <c r="AY95" s="55"/>
      <c r="AZ95" s="56"/>
      <c r="BA95" s="55"/>
      <c r="BB95" s="10"/>
      <c r="BC95" s="15"/>
      <c r="BD95" s="11"/>
      <c r="BE95" s="15"/>
      <c r="BF95" s="55"/>
      <c r="BG95" s="56"/>
      <c r="BH95" s="55"/>
      <c r="BI95" s="10"/>
      <c r="BJ95" s="15"/>
      <c r="BK95" s="11"/>
      <c r="BL95" s="15"/>
      <c r="BM95" s="55"/>
      <c r="BN95" s="56"/>
      <c r="BO95" s="55"/>
      <c r="BP95" s="10"/>
      <c r="BQ95" s="15"/>
      <c r="BR95" s="11"/>
      <c r="BS95" s="15"/>
      <c r="BT95" s="55"/>
      <c r="BU95" s="56"/>
      <c r="BV95" s="55"/>
      <c r="BW95" s="10"/>
      <c r="BX95" s="15"/>
      <c r="BY95" s="11"/>
      <c r="BZ95" s="15"/>
      <c r="CA95" s="55"/>
      <c r="CB95" s="56"/>
      <c r="CC95" s="55"/>
      <c r="CD95" s="10"/>
      <c r="CE95" s="15"/>
      <c r="CF95" s="11"/>
      <c r="CG95" s="15"/>
      <c r="CH95" s="55"/>
      <c r="CI95" s="56"/>
      <c r="CJ95" s="55"/>
      <c r="CK95" s="10"/>
      <c r="CL95" s="15"/>
      <c r="CM95" s="11"/>
      <c r="CN95" s="15"/>
      <c r="CO95" s="55"/>
      <c r="CP95" s="56"/>
      <c r="CQ95" s="55"/>
    </row>
    <row r="96" spans="1:95" ht="13.5" thickBot="1">
      <c r="A96" s="9"/>
      <c r="B96" s="13"/>
      <c r="C96" s="13"/>
      <c r="D96" s="22">
        <f>SUM(D83:D95)</f>
        <v>382317263.87</v>
      </c>
      <c r="E96" s="13"/>
      <c r="F96" s="23">
        <f>SUM(F83:F95)</f>
        <v>68386</v>
      </c>
      <c r="G96" s="13"/>
      <c r="H96" s="13"/>
      <c r="I96" s="22">
        <f>SUM(I83:I95)</f>
        <v>354647292.1200001</v>
      </c>
      <c r="J96" s="13"/>
      <c r="K96" s="23">
        <f>SUM(K83:K95)</f>
        <v>60818</v>
      </c>
      <c r="L96" s="13"/>
      <c r="M96" s="54"/>
      <c r="N96" s="32"/>
      <c r="O96" s="54"/>
      <c r="P96" s="13"/>
      <c r="Q96" s="22">
        <f>SUM(Q83:Q95)</f>
        <v>357709860.4900002</v>
      </c>
      <c r="R96" s="13"/>
      <c r="S96" s="23">
        <f>SUM(S83:S95)</f>
        <v>62234</v>
      </c>
      <c r="T96" s="13"/>
      <c r="U96" s="54"/>
      <c r="V96" s="32"/>
      <c r="W96" s="54"/>
      <c r="X96" s="13"/>
      <c r="Y96" s="22">
        <f>SUM(Y83:Y95)</f>
        <v>358172063.9100008</v>
      </c>
      <c r="Z96" s="13"/>
      <c r="AA96" s="23">
        <f>SUM(AA83:AA95)</f>
        <v>60846</v>
      </c>
      <c r="AB96" s="13"/>
      <c r="AC96" s="54"/>
      <c r="AD96" s="32"/>
      <c r="AE96" s="54"/>
      <c r="AF96" s="13"/>
      <c r="AG96" s="22">
        <f>SUM(AG83:AG95)</f>
        <v>380922689.8599998</v>
      </c>
      <c r="AH96" s="13"/>
      <c r="AI96" s="23">
        <f>SUM(AI83:AI95)</f>
        <v>62562</v>
      </c>
      <c r="AJ96" s="13"/>
      <c r="AK96" s="54"/>
      <c r="AL96" s="32"/>
      <c r="AM96" s="54"/>
      <c r="AN96" s="22">
        <f>SUM(AN83:AN95)</f>
        <v>380129606.2200001</v>
      </c>
      <c r="AO96" s="101"/>
      <c r="AP96" s="23">
        <f>SUM(AP83:AP95)</f>
        <v>62198</v>
      </c>
      <c r="AQ96" s="101"/>
      <c r="AR96" s="54"/>
      <c r="AS96" s="32"/>
      <c r="AT96" s="54"/>
      <c r="AU96" s="22">
        <f>SUM(AU83:AU95)</f>
        <v>381854550.07999957</v>
      </c>
      <c r="AV96" s="101"/>
      <c r="AW96" s="23">
        <f>SUM(AW83:AW95)</f>
        <v>63185</v>
      </c>
      <c r="AX96" s="101"/>
      <c r="AY96" s="54"/>
      <c r="AZ96" s="32"/>
      <c r="BA96" s="54"/>
      <c r="BB96" s="22">
        <f>SUM(BB83:BB95)</f>
        <v>360869262.85999995</v>
      </c>
      <c r="BC96" s="101"/>
      <c r="BD96" s="23">
        <f>SUM(BD83:BD95)</f>
        <v>59717</v>
      </c>
      <c r="BE96" s="101"/>
      <c r="BF96" s="54"/>
      <c r="BG96" s="32"/>
      <c r="BH96" s="54"/>
      <c r="BI96" s="22">
        <f>SUM(BI83:BI95)</f>
        <v>343991119.4300002</v>
      </c>
      <c r="BJ96" s="101"/>
      <c r="BK96" s="23">
        <f>SUM(BK83:BK95)</f>
        <v>55288</v>
      </c>
      <c r="BL96" s="101"/>
      <c r="BM96" s="54"/>
      <c r="BN96" s="32"/>
      <c r="BO96" s="54"/>
      <c r="BP96" s="22">
        <f>SUM(BP83:BP95)</f>
        <v>339920930.4000002</v>
      </c>
      <c r="BQ96" s="101"/>
      <c r="BR96" s="23">
        <f>SUM(BR83:BR95)</f>
        <v>49813</v>
      </c>
      <c r="BS96" s="101"/>
      <c r="BT96" s="54"/>
      <c r="BU96" s="32"/>
      <c r="BV96" s="54"/>
      <c r="BW96" s="22">
        <f>SUM(BW83:BW95)</f>
        <v>328856772.1700004</v>
      </c>
      <c r="BX96" s="101"/>
      <c r="BY96" s="23">
        <f>SUM(BY83:BY95)</f>
        <v>45450</v>
      </c>
      <c r="BZ96" s="101"/>
      <c r="CA96" s="54"/>
      <c r="CB96" s="32"/>
      <c r="CC96" s="54"/>
      <c r="CD96" s="22">
        <f>SUM(CD83:CD95)</f>
        <v>331286421.72</v>
      </c>
      <c r="CE96" s="101"/>
      <c r="CF96" s="23">
        <f>SUM(CF83:CF95)</f>
        <v>55989</v>
      </c>
      <c r="CG96" s="101"/>
      <c r="CH96" s="54"/>
      <c r="CI96" s="32"/>
      <c r="CJ96" s="54"/>
      <c r="CK96" s="22">
        <f>SUM(CK83:CK95)</f>
        <v>330666497.9600003</v>
      </c>
      <c r="CL96" s="101"/>
      <c r="CM96" s="23">
        <f>SUM(CM83:CM95)</f>
        <v>55375</v>
      </c>
      <c r="CN96" s="101"/>
      <c r="CO96" s="54"/>
      <c r="CP96" s="32"/>
      <c r="CQ96" s="54"/>
    </row>
    <row r="97" spans="1:95" ht="13.5" thickTop="1">
      <c r="A97" s="9"/>
      <c r="B97" s="9"/>
      <c r="C97" s="9"/>
      <c r="D97" s="10"/>
      <c r="E97" s="9"/>
      <c r="F97" s="11"/>
      <c r="G97" s="9"/>
      <c r="H97" s="9"/>
      <c r="I97" s="10"/>
      <c r="J97" s="9"/>
      <c r="K97" s="11"/>
      <c r="L97" s="9"/>
      <c r="M97" s="55"/>
      <c r="N97" s="56"/>
      <c r="O97" s="55"/>
      <c r="P97" s="9"/>
      <c r="Q97" s="10"/>
      <c r="R97" s="9"/>
      <c r="S97" s="11"/>
      <c r="T97" s="9"/>
      <c r="U97" s="55"/>
      <c r="V97" s="56"/>
      <c r="W97" s="55"/>
      <c r="X97" s="9"/>
      <c r="Y97" s="10"/>
      <c r="Z97" s="9"/>
      <c r="AA97" s="11"/>
      <c r="AB97" s="9"/>
      <c r="AC97" s="55"/>
      <c r="AD97" s="56"/>
      <c r="AE97" s="55"/>
      <c r="AF97" s="9"/>
      <c r="AG97" s="10"/>
      <c r="AH97" s="9"/>
      <c r="AI97" s="11"/>
      <c r="AJ97" s="9"/>
      <c r="AK97" s="55"/>
      <c r="AL97" s="56"/>
      <c r="AM97" s="55"/>
      <c r="AN97" s="10"/>
      <c r="AO97" s="15"/>
      <c r="AP97" s="11"/>
      <c r="AQ97" s="15"/>
      <c r="AR97" s="55"/>
      <c r="AS97" s="56"/>
      <c r="AT97" s="55"/>
      <c r="AU97" s="10"/>
      <c r="AV97" s="15"/>
      <c r="AW97" s="11"/>
      <c r="AX97" s="15"/>
      <c r="AY97" s="55"/>
      <c r="AZ97" s="56"/>
      <c r="BA97" s="55"/>
      <c r="BB97" s="10"/>
      <c r="BC97" s="15"/>
      <c r="BD97" s="11"/>
      <c r="BE97" s="15"/>
      <c r="BF97" s="55"/>
      <c r="BG97" s="56"/>
      <c r="BH97" s="55"/>
      <c r="BI97" s="10"/>
      <c r="BJ97" s="15"/>
      <c r="BK97" s="11"/>
      <c r="BL97" s="15"/>
      <c r="BM97" s="55"/>
      <c r="BN97" s="56"/>
      <c r="BO97" s="55"/>
      <c r="BP97" s="10"/>
      <c r="BQ97" s="15"/>
      <c r="BR97" s="11"/>
      <c r="BS97" s="15"/>
      <c r="BT97" s="55"/>
      <c r="BU97" s="56"/>
      <c r="BV97" s="55"/>
      <c r="BW97" s="10"/>
      <c r="BX97" s="15"/>
      <c r="BY97" s="11"/>
      <c r="BZ97" s="15"/>
      <c r="CA97" s="55"/>
      <c r="CB97" s="56"/>
      <c r="CC97" s="55"/>
      <c r="CD97" s="10"/>
      <c r="CE97" s="15"/>
      <c r="CF97" s="11"/>
      <c r="CG97" s="15"/>
      <c r="CH97" s="55"/>
      <c r="CI97" s="56"/>
      <c r="CJ97" s="55"/>
      <c r="CK97" s="10"/>
      <c r="CL97" s="15"/>
      <c r="CM97" s="11"/>
      <c r="CN97" s="15"/>
      <c r="CO97" s="55"/>
      <c r="CP97" s="56"/>
      <c r="CQ97" s="55"/>
    </row>
    <row r="98" spans="1:95" ht="12.75">
      <c r="A98" s="9"/>
      <c r="B98" s="9"/>
      <c r="C98" s="9"/>
      <c r="D98" s="10"/>
      <c r="E98" s="9"/>
      <c r="F98" s="11"/>
      <c r="G98" s="9"/>
      <c r="H98" s="9"/>
      <c r="I98" s="9"/>
      <c r="J98" s="9"/>
      <c r="K98" s="9"/>
      <c r="L98" s="10"/>
      <c r="M98" s="55"/>
      <c r="N98" s="56"/>
      <c r="O98" s="55"/>
      <c r="P98" s="9"/>
      <c r="Q98" s="9"/>
      <c r="R98" s="9"/>
      <c r="S98" s="9"/>
      <c r="T98" s="10"/>
      <c r="U98" s="55"/>
      <c r="V98" s="56"/>
      <c r="W98" s="55"/>
      <c r="X98" s="9"/>
      <c r="Y98" s="9"/>
      <c r="Z98" s="9"/>
      <c r="AA98" s="9"/>
      <c r="AB98" s="10"/>
      <c r="AC98" s="55"/>
      <c r="AD98" s="56"/>
      <c r="AE98" s="55"/>
      <c r="AF98" s="9"/>
      <c r="AG98" s="9"/>
      <c r="AH98" s="9"/>
      <c r="AI98" s="9"/>
      <c r="AJ98" s="10"/>
      <c r="AK98" s="55"/>
      <c r="AL98" s="56"/>
      <c r="AM98" s="55"/>
      <c r="AN98" s="9"/>
      <c r="AO98" s="15"/>
      <c r="AP98" s="9"/>
      <c r="AQ98" s="15"/>
      <c r="AR98" s="55"/>
      <c r="AS98" s="56"/>
      <c r="AT98" s="55"/>
      <c r="AU98" s="9"/>
      <c r="AV98" s="15"/>
      <c r="AW98" s="9"/>
      <c r="AX98" s="15"/>
      <c r="AY98" s="55"/>
      <c r="AZ98" s="56"/>
      <c r="BA98" s="55"/>
      <c r="BB98" s="9"/>
      <c r="BC98" s="15"/>
      <c r="BD98" s="9"/>
      <c r="BE98" s="15"/>
      <c r="BF98" s="55"/>
      <c r="BG98" s="56"/>
      <c r="BH98" s="55"/>
      <c r="BI98" s="9"/>
      <c r="BJ98" s="15"/>
      <c r="BK98" s="9"/>
      <c r="BL98" s="15"/>
      <c r="BM98" s="55"/>
      <c r="BN98" s="56"/>
      <c r="BO98" s="55"/>
      <c r="BP98" s="9"/>
      <c r="BQ98" s="15"/>
      <c r="BR98" s="9"/>
      <c r="BS98" s="15"/>
      <c r="BT98" s="55"/>
      <c r="BU98" s="56"/>
      <c r="BV98" s="55"/>
      <c r="BW98" s="9"/>
      <c r="BX98" s="15"/>
      <c r="BY98" s="9"/>
      <c r="BZ98" s="15"/>
      <c r="CA98" s="55"/>
      <c r="CB98" s="56"/>
      <c r="CC98" s="55"/>
      <c r="CD98" s="9"/>
      <c r="CE98" s="15"/>
      <c r="CF98" s="9"/>
      <c r="CG98" s="15"/>
      <c r="CH98" s="55"/>
      <c r="CI98" s="56"/>
      <c r="CJ98" s="55"/>
      <c r="CK98" s="9"/>
      <c r="CL98" s="15"/>
      <c r="CM98" s="9"/>
      <c r="CN98" s="15"/>
      <c r="CO98" s="55"/>
      <c r="CP98" s="56"/>
      <c r="CQ98" s="55"/>
    </row>
    <row r="99" spans="1:95" ht="12.75">
      <c r="A99" s="9"/>
      <c r="B99" s="9"/>
      <c r="C99" s="9"/>
      <c r="D99" s="10"/>
      <c r="E99" s="9"/>
      <c r="F99" s="11"/>
      <c r="G99" s="9"/>
      <c r="H99" s="9"/>
      <c r="I99" s="9"/>
      <c r="J99" s="9"/>
      <c r="K99" s="9"/>
      <c r="L99" s="10"/>
      <c r="M99" s="55"/>
      <c r="N99" s="56"/>
      <c r="O99" s="55"/>
      <c r="P99" s="9"/>
      <c r="Q99" s="9"/>
      <c r="R99" s="9"/>
      <c r="S99" s="9"/>
      <c r="T99" s="10"/>
      <c r="U99" s="55"/>
      <c r="V99" s="56"/>
      <c r="W99" s="55"/>
      <c r="X99" s="9"/>
      <c r="Y99" s="9"/>
      <c r="Z99" s="9"/>
      <c r="AA99" s="9"/>
      <c r="AB99" s="10"/>
      <c r="AC99" s="55"/>
      <c r="AD99" s="56"/>
      <c r="AE99" s="55"/>
      <c r="AF99" s="9"/>
      <c r="AG99" s="9"/>
      <c r="AH99" s="9"/>
      <c r="AI99" s="9"/>
      <c r="AJ99" s="10"/>
      <c r="AK99" s="55"/>
      <c r="AL99" s="56"/>
      <c r="AM99" s="55"/>
      <c r="AN99" s="9"/>
      <c r="AO99" s="15"/>
      <c r="AP99" s="9"/>
      <c r="AQ99" s="15"/>
      <c r="AR99" s="55"/>
      <c r="AS99" s="56"/>
      <c r="AT99" s="55"/>
      <c r="AU99" s="9"/>
      <c r="AV99" s="15"/>
      <c r="AW99" s="9"/>
      <c r="AX99" s="15"/>
      <c r="AY99" s="55"/>
      <c r="AZ99" s="56"/>
      <c r="BA99" s="55"/>
      <c r="BB99" s="9"/>
      <c r="BC99" s="15"/>
      <c r="BD99" s="9"/>
      <c r="BE99" s="15"/>
      <c r="BF99" s="55"/>
      <c r="BG99" s="56"/>
      <c r="BH99" s="55"/>
      <c r="BI99" s="9"/>
      <c r="BJ99" s="15"/>
      <c r="BK99" s="9"/>
      <c r="BL99" s="15"/>
      <c r="BM99" s="55"/>
      <c r="BN99" s="56"/>
      <c r="BO99" s="55"/>
      <c r="BP99" s="9"/>
      <c r="BQ99" s="15"/>
      <c r="BR99" s="9"/>
      <c r="BS99" s="15"/>
      <c r="BT99" s="55"/>
      <c r="BU99" s="56"/>
      <c r="BV99" s="55"/>
      <c r="BW99" s="9"/>
      <c r="BX99" s="15"/>
      <c r="BY99" s="9"/>
      <c r="BZ99" s="15"/>
      <c r="CA99" s="55"/>
      <c r="CB99" s="56"/>
      <c r="CC99" s="55"/>
      <c r="CD99" s="9"/>
      <c r="CE99" s="15"/>
      <c r="CF99" s="9"/>
      <c r="CG99" s="15"/>
      <c r="CH99" s="55"/>
      <c r="CI99" s="56"/>
      <c r="CJ99" s="55"/>
      <c r="CK99" s="9"/>
      <c r="CL99" s="15"/>
      <c r="CM99" s="9"/>
      <c r="CN99" s="15"/>
      <c r="CO99" s="55"/>
      <c r="CP99" s="56"/>
      <c r="CQ99" s="55"/>
    </row>
    <row r="100" spans="1:95" ht="12.75">
      <c r="A100" s="20" t="s">
        <v>99</v>
      </c>
      <c r="B100" s="9"/>
      <c r="C100" s="9"/>
      <c r="D100" s="10"/>
      <c r="E100" s="9"/>
      <c r="F100" s="11"/>
      <c r="G100" s="9"/>
      <c r="H100" s="9"/>
      <c r="I100" s="20" t="s">
        <v>99</v>
      </c>
      <c r="J100" s="9"/>
      <c r="K100" s="9"/>
      <c r="L100" s="10"/>
      <c r="M100" s="9"/>
      <c r="N100" s="11"/>
      <c r="O100" s="9"/>
      <c r="P100" s="9"/>
      <c r="Q100" s="20" t="s">
        <v>99</v>
      </c>
      <c r="R100" s="9"/>
      <c r="S100" s="9"/>
      <c r="T100" s="10"/>
      <c r="U100" s="9"/>
      <c r="V100" s="11"/>
      <c r="W100" s="9"/>
      <c r="X100" s="9"/>
      <c r="Y100" s="20" t="s">
        <v>99</v>
      </c>
      <c r="Z100" s="9"/>
      <c r="AA100" s="9"/>
      <c r="AB100" s="10"/>
      <c r="AC100" s="9"/>
      <c r="AD100" s="11"/>
      <c r="AE100" s="9"/>
      <c r="AF100" s="9"/>
      <c r="AG100" s="20" t="s">
        <v>99</v>
      </c>
      <c r="AH100" s="9"/>
      <c r="AI100" s="9"/>
      <c r="AJ100" s="10"/>
      <c r="AK100" s="9"/>
      <c r="AL100" s="11"/>
      <c r="AM100" s="9"/>
      <c r="AN100" s="20" t="s">
        <v>99</v>
      </c>
      <c r="AO100" s="15"/>
      <c r="AP100" s="9"/>
      <c r="AQ100" s="15"/>
      <c r="AR100" s="9"/>
      <c r="AS100" s="11"/>
      <c r="AT100" s="9"/>
      <c r="AU100" s="20" t="s">
        <v>99</v>
      </c>
      <c r="AV100" s="15"/>
      <c r="AW100" s="9"/>
      <c r="AX100" s="15"/>
      <c r="AY100" s="9"/>
      <c r="AZ100" s="11"/>
      <c r="BA100" s="9"/>
      <c r="BB100" s="20" t="s">
        <v>99</v>
      </c>
      <c r="BC100" s="15"/>
      <c r="BD100" s="9"/>
      <c r="BE100" s="15"/>
      <c r="BF100" s="9"/>
      <c r="BG100" s="11"/>
      <c r="BH100" s="9"/>
      <c r="BI100" s="20" t="s">
        <v>99</v>
      </c>
      <c r="BJ100" s="15"/>
      <c r="BK100" s="9"/>
      <c r="BL100" s="15"/>
      <c r="BM100" s="9"/>
      <c r="BN100" s="11"/>
      <c r="BO100" s="9"/>
      <c r="BP100" s="20" t="s">
        <v>99</v>
      </c>
      <c r="BQ100" s="15"/>
      <c r="BR100" s="9"/>
      <c r="BS100" s="15"/>
      <c r="BT100" s="9"/>
      <c r="BU100" s="11"/>
      <c r="BV100" s="9"/>
      <c r="BW100" s="20" t="s">
        <v>99</v>
      </c>
      <c r="BX100" s="15"/>
      <c r="BY100" s="9"/>
      <c r="BZ100" s="15"/>
      <c r="CA100" s="9"/>
      <c r="CB100" s="11"/>
      <c r="CC100" s="9"/>
      <c r="CD100" s="20" t="s">
        <v>99</v>
      </c>
      <c r="CE100" s="15"/>
      <c r="CF100" s="9"/>
      <c r="CG100" s="15"/>
      <c r="CH100" s="9"/>
      <c r="CI100" s="11"/>
      <c r="CJ100" s="9"/>
      <c r="CK100" s="20" t="s">
        <v>99</v>
      </c>
      <c r="CL100" s="15"/>
      <c r="CM100" s="9"/>
      <c r="CN100" s="15"/>
      <c r="CO100" s="9"/>
      <c r="CP100" s="11"/>
      <c r="CQ100" s="9"/>
    </row>
    <row r="101" spans="1:95" ht="12.75">
      <c r="A101" s="9"/>
      <c r="B101" s="9"/>
      <c r="C101" s="9"/>
      <c r="D101" s="10"/>
      <c r="E101" s="9"/>
      <c r="F101" s="11"/>
      <c r="G101" s="9"/>
      <c r="H101" s="9"/>
      <c r="I101" s="9"/>
      <c r="J101" s="9"/>
      <c r="K101" s="9"/>
      <c r="L101" s="10"/>
      <c r="M101" s="9"/>
      <c r="N101" s="11"/>
      <c r="O101" s="9"/>
      <c r="P101" s="9"/>
      <c r="Q101" s="9"/>
      <c r="R101" s="9"/>
      <c r="S101" s="9"/>
      <c r="T101" s="10"/>
      <c r="U101" s="9"/>
      <c r="V101" s="11"/>
      <c r="W101" s="9"/>
      <c r="X101" s="9"/>
      <c r="Y101" s="9"/>
      <c r="Z101" s="9"/>
      <c r="AA101" s="9"/>
      <c r="AB101" s="10"/>
      <c r="AC101" s="9"/>
      <c r="AD101" s="11"/>
      <c r="AE101" s="9"/>
      <c r="AF101" s="9"/>
      <c r="AG101" s="9"/>
      <c r="AH101" s="9"/>
      <c r="AI101" s="9"/>
      <c r="AJ101" s="10"/>
      <c r="AK101" s="9"/>
      <c r="AL101" s="11"/>
      <c r="AM101" s="9"/>
      <c r="AN101" s="9"/>
      <c r="AO101" s="15"/>
      <c r="AP101" s="9"/>
      <c r="AQ101" s="15"/>
      <c r="AR101" s="9"/>
      <c r="AS101" s="11"/>
      <c r="AT101" s="9"/>
      <c r="AU101" s="9"/>
      <c r="AV101" s="15"/>
      <c r="AW101" s="9"/>
      <c r="AX101" s="15"/>
      <c r="AY101" s="9"/>
      <c r="AZ101" s="11"/>
      <c r="BA101" s="9"/>
      <c r="BB101" s="9"/>
      <c r="BC101" s="15"/>
      <c r="BD101" s="9"/>
      <c r="BE101" s="15"/>
      <c r="BF101" s="9"/>
      <c r="BG101" s="11"/>
      <c r="BH101" s="9"/>
      <c r="BI101" s="9"/>
      <c r="BJ101" s="15"/>
      <c r="BK101" s="9"/>
      <c r="BL101" s="15"/>
      <c r="BM101" s="9"/>
      <c r="BN101" s="11"/>
      <c r="BO101" s="9"/>
      <c r="BP101" s="9"/>
      <c r="BQ101" s="15"/>
      <c r="BR101" s="9"/>
      <c r="BS101" s="15"/>
      <c r="BT101" s="9"/>
      <c r="BU101" s="11"/>
      <c r="BV101" s="9"/>
      <c r="BW101" s="9"/>
      <c r="BX101" s="15"/>
      <c r="BY101" s="9"/>
      <c r="BZ101" s="15"/>
      <c r="CA101" s="9"/>
      <c r="CB101" s="11"/>
      <c r="CC101" s="9"/>
      <c r="CD101" s="9"/>
      <c r="CE101" s="15"/>
      <c r="CF101" s="9"/>
      <c r="CG101" s="15"/>
      <c r="CH101" s="9"/>
      <c r="CI101" s="11"/>
      <c r="CJ101" s="9"/>
      <c r="CK101" s="9"/>
      <c r="CL101" s="15"/>
      <c r="CM101" s="9"/>
      <c r="CN101" s="15"/>
      <c r="CO101" s="9"/>
      <c r="CP101" s="11"/>
      <c r="CQ101" s="9"/>
    </row>
    <row r="102" spans="1:95" s="30" customFormat="1" ht="12.75">
      <c r="A102" s="26"/>
      <c r="B102" s="26"/>
      <c r="C102" s="26"/>
      <c r="D102" s="28" t="s">
        <v>143</v>
      </c>
      <c r="E102" s="27" t="s">
        <v>96</v>
      </c>
      <c r="F102" s="29" t="s">
        <v>97</v>
      </c>
      <c r="G102" s="27" t="s">
        <v>96</v>
      </c>
      <c r="H102" s="27"/>
      <c r="I102" s="28" t="s">
        <v>143</v>
      </c>
      <c r="J102" s="27" t="s">
        <v>96</v>
      </c>
      <c r="K102" s="29" t="s">
        <v>97</v>
      </c>
      <c r="L102" s="27" t="s">
        <v>96</v>
      </c>
      <c r="M102" s="54"/>
      <c r="N102" s="32"/>
      <c r="O102" s="54"/>
      <c r="P102" s="27"/>
      <c r="Q102" s="28" t="s">
        <v>143</v>
      </c>
      <c r="R102" s="27" t="s">
        <v>96</v>
      </c>
      <c r="S102" s="29" t="s">
        <v>97</v>
      </c>
      <c r="T102" s="27" t="s">
        <v>96</v>
      </c>
      <c r="U102" s="54"/>
      <c r="V102" s="32"/>
      <c r="W102" s="54"/>
      <c r="X102" s="27"/>
      <c r="Y102" s="28" t="s">
        <v>143</v>
      </c>
      <c r="Z102" s="27" t="s">
        <v>96</v>
      </c>
      <c r="AA102" s="29" t="s">
        <v>97</v>
      </c>
      <c r="AB102" s="27" t="s">
        <v>96</v>
      </c>
      <c r="AC102" s="54"/>
      <c r="AD102" s="32"/>
      <c r="AE102" s="54"/>
      <c r="AF102" s="27"/>
      <c r="AG102" s="28" t="s">
        <v>143</v>
      </c>
      <c r="AH102" s="27" t="s">
        <v>96</v>
      </c>
      <c r="AI102" s="29" t="s">
        <v>97</v>
      </c>
      <c r="AJ102" s="27" t="s">
        <v>96</v>
      </c>
      <c r="AK102" s="54"/>
      <c r="AL102" s="32"/>
      <c r="AM102" s="54"/>
      <c r="AN102" s="28" t="s">
        <v>143</v>
      </c>
      <c r="AO102" s="102" t="s">
        <v>96</v>
      </c>
      <c r="AP102" s="93" t="s">
        <v>97</v>
      </c>
      <c r="AQ102" s="102" t="s">
        <v>96</v>
      </c>
      <c r="AR102" s="54"/>
      <c r="AS102" s="32"/>
      <c r="AT102" s="54"/>
      <c r="AU102" s="28" t="s">
        <v>143</v>
      </c>
      <c r="AV102" s="104" t="s">
        <v>96</v>
      </c>
      <c r="AW102" s="29" t="s">
        <v>97</v>
      </c>
      <c r="AX102" s="104" t="s">
        <v>96</v>
      </c>
      <c r="AY102" s="54"/>
      <c r="AZ102" s="32"/>
      <c r="BA102" s="54"/>
      <c r="BB102" s="28" t="s">
        <v>143</v>
      </c>
      <c r="BC102" s="104" t="s">
        <v>96</v>
      </c>
      <c r="BD102" s="29" t="s">
        <v>97</v>
      </c>
      <c r="BE102" s="104" t="s">
        <v>96</v>
      </c>
      <c r="BF102" s="54"/>
      <c r="BG102" s="32"/>
      <c r="BH102" s="54"/>
      <c r="BI102" s="28" t="s">
        <v>143</v>
      </c>
      <c r="BJ102" s="104" t="s">
        <v>96</v>
      </c>
      <c r="BK102" s="29" t="s">
        <v>97</v>
      </c>
      <c r="BL102" s="104" t="s">
        <v>96</v>
      </c>
      <c r="BM102" s="54"/>
      <c r="BN102" s="32"/>
      <c r="BO102" s="54"/>
      <c r="BP102" s="28" t="s">
        <v>143</v>
      </c>
      <c r="BQ102" s="104" t="s">
        <v>96</v>
      </c>
      <c r="BR102" s="29" t="s">
        <v>97</v>
      </c>
      <c r="BS102" s="104" t="s">
        <v>96</v>
      </c>
      <c r="BT102" s="54"/>
      <c r="BU102" s="32"/>
      <c r="BV102" s="54"/>
      <c r="BW102" s="28" t="s">
        <v>143</v>
      </c>
      <c r="BX102" s="104" t="s">
        <v>96</v>
      </c>
      <c r="BY102" s="29" t="s">
        <v>97</v>
      </c>
      <c r="BZ102" s="104" t="s">
        <v>96</v>
      </c>
      <c r="CA102" s="54"/>
      <c r="CB102" s="32"/>
      <c r="CC102" s="54"/>
      <c r="CD102" s="28" t="s">
        <v>143</v>
      </c>
      <c r="CE102" s="104" t="s">
        <v>96</v>
      </c>
      <c r="CF102" s="29" t="s">
        <v>97</v>
      </c>
      <c r="CG102" s="104" t="s">
        <v>96</v>
      </c>
      <c r="CH102" s="54"/>
      <c r="CI102" s="32"/>
      <c r="CJ102" s="54"/>
      <c r="CK102" s="28" t="s">
        <v>143</v>
      </c>
      <c r="CL102" s="104" t="s">
        <v>96</v>
      </c>
      <c r="CM102" s="29" t="s">
        <v>97</v>
      </c>
      <c r="CN102" s="104" t="s">
        <v>96</v>
      </c>
      <c r="CO102" s="54"/>
      <c r="CP102" s="32"/>
      <c r="CQ102" s="54"/>
    </row>
    <row r="103" spans="1:95" ht="12.75">
      <c r="A103" s="9"/>
      <c r="B103" s="9"/>
      <c r="C103" s="9"/>
      <c r="D103" s="10"/>
      <c r="E103" s="9"/>
      <c r="F103" s="11"/>
      <c r="G103" s="9"/>
      <c r="H103" s="9"/>
      <c r="I103" s="10"/>
      <c r="J103" s="9"/>
      <c r="K103" s="11"/>
      <c r="L103" s="9"/>
      <c r="M103" s="55"/>
      <c r="N103" s="56"/>
      <c r="O103" s="55"/>
      <c r="P103" s="9"/>
      <c r="Q103" s="10"/>
      <c r="R103" s="9"/>
      <c r="S103" s="11"/>
      <c r="T103" s="9"/>
      <c r="U103" s="55"/>
      <c r="V103" s="56"/>
      <c r="W103" s="55"/>
      <c r="X103" s="9"/>
      <c r="Y103" s="10"/>
      <c r="Z103" s="9"/>
      <c r="AA103" s="11"/>
      <c r="AB103" s="9"/>
      <c r="AC103" s="55"/>
      <c r="AD103" s="56"/>
      <c r="AE103" s="55"/>
      <c r="AF103" s="9"/>
      <c r="AG103" s="10"/>
      <c r="AH103" s="9"/>
      <c r="AI103" s="11"/>
      <c r="AJ103" s="9"/>
      <c r="AK103" s="55"/>
      <c r="AL103" s="56"/>
      <c r="AM103" s="55"/>
      <c r="AN103" s="10"/>
      <c r="AO103" s="15"/>
      <c r="AP103" s="11"/>
      <c r="AQ103" s="15"/>
      <c r="AR103" s="55"/>
      <c r="AS103" s="56"/>
      <c r="AT103" s="55"/>
      <c r="AU103" s="10"/>
      <c r="AV103" s="15"/>
      <c r="AW103" s="11"/>
      <c r="AX103" s="15"/>
      <c r="AY103" s="55"/>
      <c r="AZ103" s="56"/>
      <c r="BA103" s="55"/>
      <c r="BB103" s="10"/>
      <c r="BC103" s="15"/>
      <c r="BD103" s="11"/>
      <c r="BE103" s="15"/>
      <c r="BF103" s="55"/>
      <c r="BG103" s="56"/>
      <c r="BH103" s="55"/>
      <c r="BI103" s="10"/>
      <c r="BJ103" s="15"/>
      <c r="BK103" s="11"/>
      <c r="BL103" s="15"/>
      <c r="BM103" s="55"/>
      <c r="BN103" s="56"/>
      <c r="BO103" s="55"/>
      <c r="BP103" s="10"/>
      <c r="BQ103" s="15"/>
      <c r="BR103" s="11"/>
      <c r="BS103" s="15"/>
      <c r="BT103" s="55"/>
      <c r="BU103" s="56"/>
      <c r="BV103" s="55"/>
      <c r="BW103" s="10"/>
      <c r="BX103" s="15"/>
      <c r="BY103" s="11"/>
      <c r="BZ103" s="15"/>
      <c r="CA103" s="55"/>
      <c r="CB103" s="56"/>
      <c r="CC103" s="55"/>
      <c r="CD103" s="10"/>
      <c r="CE103" s="15"/>
      <c r="CF103" s="11"/>
      <c r="CG103" s="15"/>
      <c r="CH103" s="55"/>
      <c r="CI103" s="56"/>
      <c r="CJ103" s="55"/>
      <c r="CK103" s="10"/>
      <c r="CL103" s="15"/>
      <c r="CM103" s="11"/>
      <c r="CN103" s="15"/>
      <c r="CO103" s="55"/>
      <c r="CP103" s="56"/>
      <c r="CQ103" s="55"/>
    </row>
    <row r="104" spans="1:95" ht="12.75">
      <c r="A104" s="9">
        <v>1986</v>
      </c>
      <c r="B104" s="9"/>
      <c r="C104" s="9"/>
      <c r="D104" s="10">
        <f>+'UCL LOANS'!D102</f>
        <v>681152.92</v>
      </c>
      <c r="E104" s="15">
        <f>+D104/$D$124</f>
        <v>0.0017816431125946067</v>
      </c>
      <c r="F104" s="11">
        <f>+'UCL LOANS'!F102</f>
        <v>82</v>
      </c>
      <c r="G104" s="15">
        <f>+F104/$F$124</f>
        <v>0.0011990758342350773</v>
      </c>
      <c r="H104" s="9"/>
      <c r="I104" s="10">
        <f>+'UCL LOANS'!J102</f>
        <v>679836.18</v>
      </c>
      <c r="J104" s="15">
        <f>+I104/$I$124</f>
        <v>0.0019169360519746136</v>
      </c>
      <c r="K104" s="11">
        <f>+'UCL LOANS'!L102</f>
        <v>63</v>
      </c>
      <c r="L104" s="15">
        <f>+K104/$K$124</f>
        <v>0.0010358775362557138</v>
      </c>
      <c r="M104" s="55"/>
      <c r="N104" s="56"/>
      <c r="O104" s="55"/>
      <c r="P104" s="9"/>
      <c r="Q104" s="10">
        <f>+'UCL LOANS'!R102</f>
        <v>679750.32</v>
      </c>
      <c r="R104" s="15">
        <f>+Q104/$Q$124</f>
        <v>0.001900283987332248</v>
      </c>
      <c r="S104" s="11">
        <f>+'UCL LOANS'!T102</f>
        <v>63</v>
      </c>
      <c r="T104" s="15">
        <f>+S104/$S$124</f>
        <v>0.0010123083844843655</v>
      </c>
      <c r="U104" s="55"/>
      <c r="V104" s="56"/>
      <c r="W104" s="55"/>
      <c r="X104" s="9"/>
      <c r="Y104" s="10">
        <f>+'UCL LOANS'!Z102</f>
        <v>673087.06</v>
      </c>
      <c r="Z104" s="15">
        <f>+Y104/$Y$124</f>
        <v>0.001879228247597588</v>
      </c>
      <c r="AA104" s="11">
        <f>+'UCL LOANS'!AB102</f>
        <v>62</v>
      </c>
      <c r="AB104" s="15">
        <f>+AA104/$AA$124</f>
        <v>0.001018965913946685</v>
      </c>
      <c r="AC104" s="55"/>
      <c r="AD104" s="56"/>
      <c r="AE104" s="55"/>
      <c r="AF104" s="9"/>
      <c r="AG104" s="10">
        <f>+'UCL LOANS'!AG102</f>
        <v>672981.46</v>
      </c>
      <c r="AH104" s="15">
        <f aca="true" t="shared" si="101" ref="AH104:AH120">+AG104/$AG$33</f>
        <v>0.0017667140286322656</v>
      </c>
      <c r="AI104" s="11">
        <f>+'UCL LOANS'!AI102</f>
        <v>62</v>
      </c>
      <c r="AJ104" s="15">
        <f aca="true" t="shared" si="102" ref="AJ104:AJ120">+AI104/$AI$33</f>
        <v>0.0009910169112240658</v>
      </c>
      <c r="AK104" s="55"/>
      <c r="AL104" s="56"/>
      <c r="AM104" s="55"/>
      <c r="AN104" s="10">
        <f>+'UCL LOANS'!AN102</f>
        <v>648916.4</v>
      </c>
      <c r="AO104" s="15">
        <f aca="true" t="shared" si="103" ref="AO104:AO121">+AN104/$AN$33</f>
        <v>0.0017070925005100487</v>
      </c>
      <c r="AP104" s="11">
        <f>+'UCL LOANS'!AP102</f>
        <v>60</v>
      </c>
      <c r="AQ104" s="15">
        <f aca="true" t="shared" si="104" ref="AQ104:AQ121">+AP104/$AP$33</f>
        <v>0.0009646612431267887</v>
      </c>
      <c r="AR104" s="55"/>
      <c r="AS104" s="56"/>
      <c r="AT104" s="55"/>
      <c r="AU104" s="10">
        <f>+'UCL LOANS'!AU102</f>
        <v>648529.8900000018</v>
      </c>
      <c r="AV104" s="15">
        <f aca="true" t="shared" si="105" ref="AV104:AV121">+AU104/$AU$33</f>
        <v>0.001698368894292688</v>
      </c>
      <c r="AW104" s="11">
        <f>+'UCL LOANS'!AW102</f>
        <v>236</v>
      </c>
      <c r="AX104" s="15">
        <f aca="true" t="shared" si="106" ref="AX104:AX121">+AW104/$AW$33</f>
        <v>0.0037350637018279654</v>
      </c>
      <c r="AY104" s="55"/>
      <c r="AZ104" s="56"/>
      <c r="BA104" s="55"/>
      <c r="BB104" s="10">
        <f>+'UCL LOANS'!BB102</f>
        <v>637613.87</v>
      </c>
      <c r="BC104" s="15">
        <f aca="true" t="shared" si="107" ref="BC104:BC121">+BB104/$BB$33</f>
        <v>0.0017668832888307348</v>
      </c>
      <c r="BD104" s="11">
        <f>+'UCL LOANS'!BD102</f>
        <v>57</v>
      </c>
      <c r="BE104" s="15">
        <f aca="true" t="shared" si="108" ref="BE104:BE121">+BD104/$BD$33</f>
        <v>0.0009545020680878142</v>
      </c>
      <c r="BF104" s="55"/>
      <c r="BG104" s="56"/>
      <c r="BH104" s="55"/>
      <c r="BI104" s="10">
        <f>+'UCL LOANS'!BI102</f>
        <v>637312.44</v>
      </c>
      <c r="BJ104" s="15">
        <f aca="true" t="shared" si="109" ref="BJ104:BJ121">+BI104/$BB$33</f>
        <v>0.0017660480001790743</v>
      </c>
      <c r="BK104" s="11">
        <f>+'UCL LOANS'!BK102</f>
        <v>57</v>
      </c>
      <c r="BL104" s="15">
        <f aca="true" t="shared" si="110" ref="BL104:BL121">+BK104/$BD$33</f>
        <v>0.0009545020680878142</v>
      </c>
      <c r="BM104" s="55"/>
      <c r="BN104" s="56"/>
      <c r="BO104" s="55"/>
      <c r="BP104" s="10">
        <f>+'UCL LOANS'!BP102</f>
        <v>569066.75</v>
      </c>
      <c r="BQ104" s="15">
        <f aca="true" t="shared" si="111" ref="BQ104:BQ122">+BP104/$BP$33</f>
        <v>0.0016741150635542035</v>
      </c>
      <c r="BR104" s="11">
        <f>+'UCL LOANS'!BR102</f>
        <v>49</v>
      </c>
      <c r="BS104" s="15">
        <f aca="true" t="shared" si="112" ref="BS104:BS122">+BR104/$BR$33</f>
        <v>0.0009836789593078111</v>
      </c>
      <c r="BT104" s="55"/>
      <c r="BU104" s="56"/>
      <c r="BV104" s="55"/>
      <c r="BW104" s="10">
        <f>+'UCL LOANS'!BW102</f>
        <v>537049.98</v>
      </c>
      <c r="BX104" s="15">
        <f>+BW104/$BW$33</f>
        <v>0.0016330817104851232</v>
      </c>
      <c r="BY104" s="11">
        <f>+'UCL LOANS'!BY102</f>
        <v>48</v>
      </c>
      <c r="BZ104" s="15">
        <f>+BY104/$BY$33</f>
        <v>0.001056105610561056</v>
      </c>
      <c r="CA104" s="55"/>
      <c r="CB104" s="56"/>
      <c r="CC104" s="55"/>
      <c r="CD104" s="10">
        <f>+'UCL LOANS'!CD102</f>
        <v>496220.55</v>
      </c>
      <c r="CE104" s="15">
        <f aca="true" t="shared" si="113" ref="CE104:CE122">+CD104/$CD$33</f>
        <v>0.0014978596086844774</v>
      </c>
      <c r="CF104" s="11">
        <f>+'UCL LOANS'!CF102</f>
        <v>45</v>
      </c>
      <c r="CG104" s="15">
        <f aca="true" t="shared" si="114" ref="CG104:CG122">+CF104/$CF$33</f>
        <v>0.0008037293039704227</v>
      </c>
      <c r="CH104" s="55"/>
      <c r="CI104" s="56"/>
      <c r="CJ104" s="55"/>
      <c r="CK104" s="10">
        <f>+'UCL LOANS'!CK102</f>
        <v>472404.32</v>
      </c>
      <c r="CL104" s="15">
        <f aca="true" t="shared" si="115" ref="CL104:CL122">+CK104/$CD$33</f>
        <v>0.001425969460345922</v>
      </c>
      <c r="CM104" s="11">
        <f>+'UCL LOANS'!CM102</f>
        <v>42</v>
      </c>
      <c r="CN104" s="15">
        <f aca="true" t="shared" si="116" ref="CN104:CN122">+CM104/$CF$33</f>
        <v>0.0007501473503723946</v>
      </c>
      <c r="CO104" s="55"/>
      <c r="CP104" s="56"/>
      <c r="CQ104" s="55"/>
    </row>
    <row r="105" spans="1:95" ht="12.75">
      <c r="A105" s="9">
        <v>1987</v>
      </c>
      <c r="B105" s="9"/>
      <c r="C105" s="9"/>
      <c r="D105" s="10">
        <f>+'UCL LOANS'!D103</f>
        <v>1866740.21</v>
      </c>
      <c r="E105" s="15">
        <f aca="true" t="shared" si="117" ref="E105:E119">+D105/$D$124</f>
        <v>0.004882699230225585</v>
      </c>
      <c r="F105" s="11">
        <f>+'UCL LOANS'!F103</f>
        <v>215</v>
      </c>
      <c r="G105" s="15">
        <f aca="true" t="shared" si="118" ref="G105:G118">+F105/$F$124</f>
        <v>0.003143918345860264</v>
      </c>
      <c r="H105" s="9"/>
      <c r="I105" s="10">
        <f>+'UCL LOANS'!J103</f>
        <v>1857792.35</v>
      </c>
      <c r="J105" s="15">
        <f aca="true" t="shared" si="119" ref="J105:J119">+I105/$I$124</f>
        <v>0.005238422487013915</v>
      </c>
      <c r="K105" s="11">
        <f>+'UCL LOANS'!L103</f>
        <v>181</v>
      </c>
      <c r="L105" s="15">
        <f aca="true" t="shared" si="120" ref="L105:L119">+K105/$K$124</f>
        <v>0.002976092604163241</v>
      </c>
      <c r="M105" s="55"/>
      <c r="N105" s="56"/>
      <c r="O105" s="55"/>
      <c r="P105" s="9"/>
      <c r="Q105" s="10">
        <f>+'UCL LOANS'!R103</f>
        <v>1796307.31</v>
      </c>
      <c r="R105" s="15">
        <f aca="true" t="shared" si="121" ref="R105:R120">+Q105/$Q$124</f>
        <v>0.005021687989085265</v>
      </c>
      <c r="S105" s="11">
        <f>+'UCL LOANS'!T103</f>
        <v>178</v>
      </c>
      <c r="T105" s="15">
        <f aca="true" t="shared" si="122" ref="T105:T120">+S105/$S$124</f>
        <v>0.002860172895844715</v>
      </c>
      <c r="U105" s="55"/>
      <c r="V105" s="56"/>
      <c r="W105" s="55"/>
      <c r="X105" s="9"/>
      <c r="Y105" s="10">
        <f>+'UCL LOANS'!Z103</f>
        <v>1781900.69</v>
      </c>
      <c r="Z105" s="15">
        <f aca="true" t="shared" si="123" ref="Z105:Z120">+Y105/$Y$124</f>
        <v>0.004974985124601314</v>
      </c>
      <c r="AA105" s="11">
        <f>+'UCL LOANS'!AB103</f>
        <v>175</v>
      </c>
      <c r="AB105" s="15">
        <f aca="true" t="shared" si="124" ref="AB105:AB120">+AA105/$AA$124</f>
        <v>0.0028761134667849983</v>
      </c>
      <c r="AC105" s="55"/>
      <c r="AD105" s="56"/>
      <c r="AE105" s="55"/>
      <c r="AF105" s="9"/>
      <c r="AG105" s="10">
        <f>+'UCL LOANS'!AG103</f>
        <v>1774410.92</v>
      </c>
      <c r="AH105" s="15">
        <f t="shared" si="101"/>
        <v>0.0046581917203518276</v>
      </c>
      <c r="AI105" s="11">
        <f>+'UCL LOANS'!AI103</f>
        <v>174</v>
      </c>
      <c r="AJ105" s="15">
        <f t="shared" si="102"/>
        <v>0.002781241008919152</v>
      </c>
      <c r="AK105" s="55"/>
      <c r="AL105" s="56"/>
      <c r="AM105" s="55"/>
      <c r="AN105" s="10">
        <f>+'UCL LOANS'!AN103</f>
        <v>1770107.86</v>
      </c>
      <c r="AO105" s="15">
        <f t="shared" si="103"/>
        <v>0.004656590360329761</v>
      </c>
      <c r="AP105" s="11">
        <f>+'UCL LOANS'!AP103</f>
        <v>173</v>
      </c>
      <c r="AQ105" s="15">
        <f t="shared" si="104"/>
        <v>0.0027814399176822407</v>
      </c>
      <c r="AR105" s="55"/>
      <c r="AS105" s="56"/>
      <c r="AT105" s="55"/>
      <c r="AU105" s="10">
        <f>+'UCL LOANS'!AU103</f>
        <v>1769698.53</v>
      </c>
      <c r="AV105" s="15">
        <f t="shared" si="105"/>
        <v>0.0046344832859245505</v>
      </c>
      <c r="AW105" s="11">
        <f>+'UCL LOANS'!AW103</f>
        <v>171</v>
      </c>
      <c r="AX105" s="15">
        <f t="shared" si="106"/>
        <v>0.002706338529714331</v>
      </c>
      <c r="AY105" s="55"/>
      <c r="AZ105" s="56"/>
      <c r="BA105" s="55"/>
      <c r="BB105" s="10">
        <f>+'UCL LOANS'!BB103</f>
        <v>1622801.52</v>
      </c>
      <c r="BC105" s="15">
        <f t="shared" si="107"/>
        <v>0.004496923642481485</v>
      </c>
      <c r="BD105" s="11">
        <f>+'UCL LOANS'!BD103</f>
        <v>159</v>
      </c>
      <c r="BE105" s="15">
        <f t="shared" si="108"/>
        <v>0.0026625584004554815</v>
      </c>
      <c r="BF105" s="55"/>
      <c r="BG105" s="56"/>
      <c r="BH105" s="55"/>
      <c r="BI105" s="10">
        <f>+'UCL LOANS'!BI103</f>
        <v>1607289.24</v>
      </c>
      <c r="BJ105" s="15">
        <f t="shared" si="109"/>
        <v>0.004453937770320856</v>
      </c>
      <c r="BK105" s="11">
        <f>+'UCL LOANS'!BK103</f>
        <v>156</v>
      </c>
      <c r="BL105" s="15">
        <f t="shared" si="110"/>
        <v>0.0026123214495034916</v>
      </c>
      <c r="BM105" s="55"/>
      <c r="BN105" s="56"/>
      <c r="BO105" s="55"/>
      <c r="BP105" s="10">
        <f>+'UCL LOANS'!BP103</f>
        <v>1557427.92</v>
      </c>
      <c r="BQ105" s="15">
        <f t="shared" si="111"/>
        <v>0.0045817358706547</v>
      </c>
      <c r="BR105" s="11">
        <f>+'UCL LOANS'!BR103</f>
        <v>144</v>
      </c>
      <c r="BS105" s="15">
        <f t="shared" si="112"/>
        <v>0.002890811635516833</v>
      </c>
      <c r="BT105" s="55"/>
      <c r="BU105" s="56"/>
      <c r="BV105" s="55"/>
      <c r="BW105" s="10">
        <f>+'UCL LOANS'!BW103</f>
        <v>1557019.76</v>
      </c>
      <c r="BX105" s="15">
        <f aca="true" t="shared" si="125" ref="BX105:BX122">+BW105/$BW$33</f>
        <v>0.004734644051043324</v>
      </c>
      <c r="BY105" s="11">
        <f>+'UCL LOANS'!BY103</f>
        <v>144</v>
      </c>
      <c r="BZ105" s="15">
        <f aca="true" t="shared" si="126" ref="BZ105:BZ122">+BY105/$BY$33</f>
        <v>0.0031683168316831685</v>
      </c>
      <c r="CA105" s="55"/>
      <c r="CB105" s="56"/>
      <c r="CC105" s="55"/>
      <c r="CD105" s="10">
        <f>+'UCL LOANS'!CD103</f>
        <v>1294348.86</v>
      </c>
      <c r="CE105" s="15">
        <f t="shared" si="113"/>
        <v>0.003907038668472718</v>
      </c>
      <c r="CF105" s="11">
        <f>+'UCL LOANS'!CF103</f>
        <v>128</v>
      </c>
      <c r="CG105" s="15">
        <f t="shared" si="114"/>
        <v>0.0022861633535158693</v>
      </c>
      <c r="CH105" s="55"/>
      <c r="CI105" s="56"/>
      <c r="CJ105" s="55"/>
      <c r="CK105" s="10">
        <f>+'UCL LOANS'!CK103</f>
        <v>1264654.76</v>
      </c>
      <c r="CL105" s="15">
        <f t="shared" si="115"/>
        <v>0.00381740595776326</v>
      </c>
      <c r="CM105" s="11">
        <f>+'UCL LOANS'!CM103</f>
        <v>122</v>
      </c>
      <c r="CN105" s="15">
        <f t="shared" si="116"/>
        <v>0.0021789994463198127</v>
      </c>
      <c r="CO105" s="55"/>
      <c r="CP105" s="56"/>
      <c r="CQ105" s="55"/>
    </row>
    <row r="106" spans="1:95" ht="12.75">
      <c r="A106" s="9">
        <v>1988</v>
      </c>
      <c r="B106" s="9"/>
      <c r="C106" s="9"/>
      <c r="D106" s="10">
        <f>+'UCL LOANS'!D104</f>
        <v>3092024.85</v>
      </c>
      <c r="E106" s="15">
        <f t="shared" si="117"/>
        <v>0.008087588875011901</v>
      </c>
      <c r="F106" s="11">
        <f>+'UCL LOANS'!F104</f>
        <v>307</v>
      </c>
      <c r="G106" s="15">
        <f t="shared" si="118"/>
        <v>0.004489222940367911</v>
      </c>
      <c r="H106" s="9"/>
      <c r="I106" s="10">
        <f>+'UCL LOANS'!J104</f>
        <v>3044921.69</v>
      </c>
      <c r="J106" s="15">
        <f t="shared" si="119"/>
        <v>0.008585774536154382</v>
      </c>
      <c r="K106" s="11">
        <f>+'UCL LOANS'!L104</f>
        <v>259</v>
      </c>
      <c r="L106" s="15">
        <f t="shared" si="120"/>
        <v>0.004258607649051268</v>
      </c>
      <c r="M106" s="55"/>
      <c r="N106" s="56"/>
      <c r="O106" s="55"/>
      <c r="P106" s="9"/>
      <c r="Q106" s="10">
        <f>+'UCL LOANS'!R104</f>
        <v>3007250.86</v>
      </c>
      <c r="R106" s="15">
        <f t="shared" si="121"/>
        <v>0.008406955446742756</v>
      </c>
      <c r="S106" s="11">
        <f>+'UCL LOANS'!T104</f>
        <v>256</v>
      </c>
      <c r="T106" s="15">
        <f t="shared" si="122"/>
        <v>0.004113507086158691</v>
      </c>
      <c r="U106" s="55"/>
      <c r="V106" s="56"/>
      <c r="W106" s="55"/>
      <c r="X106" s="9"/>
      <c r="Y106" s="10">
        <f>+'UCL LOANS'!Z104</f>
        <v>2977192.19</v>
      </c>
      <c r="Z106" s="15">
        <f t="shared" si="123"/>
        <v>0.008312184254403769</v>
      </c>
      <c r="AA106" s="11">
        <f>+'UCL LOANS'!AB104</f>
        <v>253</v>
      </c>
      <c r="AB106" s="15">
        <f t="shared" si="124"/>
        <v>0.004158038326266312</v>
      </c>
      <c r="AC106" s="55"/>
      <c r="AD106" s="56"/>
      <c r="AE106" s="55"/>
      <c r="AF106" s="9"/>
      <c r="AG106" s="10">
        <f>+'UCL LOANS'!AG104</f>
        <v>2931153.59</v>
      </c>
      <c r="AH106" s="15">
        <f t="shared" si="101"/>
        <v>0.007694877905743239</v>
      </c>
      <c r="AI106" s="11">
        <f>+'UCL LOANS'!AI104</f>
        <v>248</v>
      </c>
      <c r="AJ106" s="15">
        <f t="shared" si="102"/>
        <v>0.003964067644896263</v>
      </c>
      <c r="AK106" s="55"/>
      <c r="AL106" s="56"/>
      <c r="AM106" s="55"/>
      <c r="AN106" s="10">
        <f>+'UCL LOANS'!AN104</f>
        <v>2897253.37</v>
      </c>
      <c r="AO106" s="15">
        <f t="shared" si="103"/>
        <v>0.007621751430545546</v>
      </c>
      <c r="AP106" s="11">
        <f>+'UCL LOANS'!AP104</f>
        <v>245</v>
      </c>
      <c r="AQ106" s="15">
        <f t="shared" si="104"/>
        <v>0.003939033409434387</v>
      </c>
      <c r="AR106" s="55"/>
      <c r="AS106" s="56"/>
      <c r="AT106" s="55"/>
      <c r="AU106" s="10">
        <f>+'UCL LOANS'!AU104</f>
        <v>2864831.75</v>
      </c>
      <c r="AV106" s="15">
        <f t="shared" si="105"/>
        <v>0.0075024161670976695</v>
      </c>
      <c r="AW106" s="11">
        <f>+'UCL LOANS'!AW104</f>
        <v>242</v>
      </c>
      <c r="AX106" s="15">
        <f t="shared" si="106"/>
        <v>0.0038300229484846088</v>
      </c>
      <c r="AY106" s="55"/>
      <c r="AZ106" s="56"/>
      <c r="BA106" s="55"/>
      <c r="BB106" s="10">
        <f>+'UCL LOANS'!BB104</f>
        <v>2543529.82</v>
      </c>
      <c r="BC106" s="15">
        <f t="shared" si="107"/>
        <v>0.007048341551291296</v>
      </c>
      <c r="BD106" s="11">
        <f>+'UCL LOANS'!BD104</f>
        <v>223</v>
      </c>
      <c r="BE106" s="15">
        <f t="shared" si="108"/>
        <v>0.0037342800207646066</v>
      </c>
      <c r="BF106" s="55"/>
      <c r="BG106" s="56"/>
      <c r="BH106" s="55"/>
      <c r="BI106" s="10">
        <f>+'UCL LOANS'!BI104</f>
        <v>2497007.92</v>
      </c>
      <c r="BJ106" s="15">
        <f t="shared" si="109"/>
        <v>0.0069194253348441</v>
      </c>
      <c r="BK106" s="11">
        <f>+'UCL LOANS'!BK104</f>
        <v>220</v>
      </c>
      <c r="BL106" s="15">
        <f t="shared" si="110"/>
        <v>0.0036840430698126163</v>
      </c>
      <c r="BM106" s="55"/>
      <c r="BN106" s="56"/>
      <c r="BO106" s="55"/>
      <c r="BP106" s="10">
        <f>+'UCL LOANS'!BP104</f>
        <v>2297702.08</v>
      </c>
      <c r="BQ106" s="15">
        <f t="shared" si="111"/>
        <v>0.0067595192720147955</v>
      </c>
      <c r="BR106" s="11">
        <f>+'UCL LOANS'!BR104</f>
        <v>197</v>
      </c>
      <c r="BS106" s="15">
        <f t="shared" si="112"/>
        <v>0.003954790918033445</v>
      </c>
      <c r="BT106" s="55"/>
      <c r="BU106" s="56"/>
      <c r="BV106" s="55"/>
      <c r="BW106" s="10">
        <f>+'UCL LOANS'!BW104</f>
        <v>2280452.72</v>
      </c>
      <c r="BX106" s="15">
        <f t="shared" si="125"/>
        <v>0.006934486113672422</v>
      </c>
      <c r="BY106" s="11">
        <f>+'UCL LOANS'!BY104</f>
        <v>196</v>
      </c>
      <c r="BZ106" s="15">
        <f t="shared" si="126"/>
        <v>0.004312431243124313</v>
      </c>
      <c r="CA106" s="55"/>
      <c r="CB106" s="56"/>
      <c r="CC106" s="55"/>
      <c r="CD106" s="10">
        <f>+'UCL LOANS'!CD104</f>
        <v>2002510.69</v>
      </c>
      <c r="CE106" s="15">
        <f t="shared" si="113"/>
        <v>0.0060446506669461445</v>
      </c>
      <c r="CF106" s="11">
        <f>+'UCL LOANS'!CF104</f>
        <v>182</v>
      </c>
      <c r="CG106" s="15">
        <f t="shared" si="114"/>
        <v>0.0032506385182803767</v>
      </c>
      <c r="CH106" s="55"/>
      <c r="CI106" s="56"/>
      <c r="CJ106" s="55"/>
      <c r="CK106" s="10">
        <f>+'UCL LOANS'!CK104</f>
        <v>1898012.63</v>
      </c>
      <c r="CL106" s="15">
        <f t="shared" si="115"/>
        <v>0.005729219507837786</v>
      </c>
      <c r="CM106" s="11">
        <f>+'UCL LOANS'!CM104</f>
        <v>169</v>
      </c>
      <c r="CN106" s="15">
        <f t="shared" si="116"/>
        <v>0.003018450052688921</v>
      </c>
      <c r="CO106" s="55"/>
      <c r="CP106" s="56"/>
      <c r="CQ106" s="55"/>
    </row>
    <row r="107" spans="1:95" ht="12.75">
      <c r="A107" s="9">
        <v>1989</v>
      </c>
      <c r="B107" s="9"/>
      <c r="C107" s="9"/>
      <c r="D107" s="10">
        <f>+'UCL LOANS'!D105</f>
        <v>4352685.19</v>
      </c>
      <c r="E107" s="15">
        <f t="shared" si="117"/>
        <v>0.011385008215271318</v>
      </c>
      <c r="F107" s="11">
        <f>+'UCL LOANS'!F105</f>
        <v>458</v>
      </c>
      <c r="G107" s="15">
        <f t="shared" si="118"/>
        <v>0.006697277220483725</v>
      </c>
      <c r="H107" s="9"/>
      <c r="I107" s="10">
        <f>+'UCL LOANS'!J105</f>
        <v>4279932.979999995</v>
      </c>
      <c r="J107" s="15">
        <f t="shared" si="119"/>
        <v>0.012068139458828349</v>
      </c>
      <c r="K107" s="11">
        <f>+'UCL LOANS'!L105</f>
        <v>365</v>
      </c>
      <c r="L107" s="15">
        <f t="shared" si="120"/>
        <v>0.006001512710052945</v>
      </c>
      <c r="M107" s="55"/>
      <c r="N107" s="56"/>
      <c r="O107" s="55"/>
      <c r="P107" s="9"/>
      <c r="Q107" s="10">
        <f>+'UCL LOANS'!R105</f>
        <v>4217857.23</v>
      </c>
      <c r="R107" s="15">
        <f t="shared" si="121"/>
        <v>0.011791280296892765</v>
      </c>
      <c r="S107" s="11">
        <f>+'UCL LOANS'!T105</f>
        <v>359</v>
      </c>
      <c r="T107" s="15">
        <f t="shared" si="122"/>
        <v>0.005768550952855353</v>
      </c>
      <c r="U107" s="55"/>
      <c r="V107" s="56"/>
      <c r="W107" s="55"/>
      <c r="X107" s="9"/>
      <c r="Y107" s="10">
        <f>+'UCL LOANS'!Z105</f>
        <v>4167392.25</v>
      </c>
      <c r="Z107" s="15">
        <f t="shared" si="123"/>
        <v>0.011635168316887965</v>
      </c>
      <c r="AA107" s="11">
        <f>+'UCL LOANS'!AB105</f>
        <v>356</v>
      </c>
      <c r="AB107" s="15">
        <f t="shared" si="124"/>
        <v>0.005850836538145482</v>
      </c>
      <c r="AC107" s="55"/>
      <c r="AD107" s="56"/>
      <c r="AE107" s="55"/>
      <c r="AF107" s="9"/>
      <c r="AG107" s="10">
        <f>+'UCL LOANS'!AG105</f>
        <v>4066956.33</v>
      </c>
      <c r="AH107" s="15">
        <f t="shared" si="101"/>
        <v>0.010676592490446607</v>
      </c>
      <c r="AI107" s="11">
        <f>+'UCL LOANS'!AI105</f>
        <v>351</v>
      </c>
      <c r="AJ107" s="15">
        <f t="shared" si="102"/>
        <v>0.005610434449026566</v>
      </c>
      <c r="AK107" s="55"/>
      <c r="AL107" s="56"/>
      <c r="AM107" s="55"/>
      <c r="AN107" s="10">
        <f>+'UCL LOANS'!AN105</f>
        <v>4038754.86</v>
      </c>
      <c r="AO107" s="15">
        <f t="shared" si="103"/>
        <v>0.01062467851468157</v>
      </c>
      <c r="AP107" s="11">
        <f>+'UCL LOANS'!AP105</f>
        <v>347</v>
      </c>
      <c r="AQ107" s="15">
        <f t="shared" si="104"/>
        <v>0.005578957522749927</v>
      </c>
      <c r="AR107" s="55"/>
      <c r="AS107" s="56"/>
      <c r="AT107" s="55"/>
      <c r="AU107" s="10">
        <f>+'UCL LOANS'!AU105</f>
        <v>3989884.9</v>
      </c>
      <c r="AV107" s="15">
        <f t="shared" si="105"/>
        <v>0.010448703306439853</v>
      </c>
      <c r="AW107" s="11">
        <f>+'UCL LOANS'!AW105</f>
        <v>343</v>
      </c>
      <c r="AX107" s="15">
        <f t="shared" si="106"/>
        <v>0.005428503600538102</v>
      </c>
      <c r="AY107" s="55"/>
      <c r="AZ107" s="56"/>
      <c r="BA107" s="55"/>
      <c r="BB107" s="10">
        <f>+'UCL LOANS'!BB105</f>
        <v>3560311.79</v>
      </c>
      <c r="BC107" s="15">
        <f t="shared" si="107"/>
        <v>0.009865932503598206</v>
      </c>
      <c r="BD107" s="11">
        <f>+'UCL LOANS'!BD105</f>
        <v>313</v>
      </c>
      <c r="BE107" s="15">
        <f t="shared" si="108"/>
        <v>0.005241388549324313</v>
      </c>
      <c r="BF107" s="55"/>
      <c r="BG107" s="56"/>
      <c r="BH107" s="55"/>
      <c r="BI107" s="10">
        <f>+'UCL LOANS'!BI105</f>
        <v>3541075.43</v>
      </c>
      <c r="BJ107" s="15">
        <f t="shared" si="109"/>
        <v>0.00981262688303206</v>
      </c>
      <c r="BK107" s="11">
        <f>+'UCL LOANS'!BK105</f>
        <v>308</v>
      </c>
      <c r="BL107" s="15">
        <f t="shared" si="110"/>
        <v>0.005157660297737662</v>
      </c>
      <c r="BM107" s="55"/>
      <c r="BN107" s="56"/>
      <c r="BO107" s="55"/>
      <c r="BP107" s="10">
        <f>+'UCL LOANS'!BP105</f>
        <v>3445743.68</v>
      </c>
      <c r="BQ107" s="15">
        <f t="shared" si="111"/>
        <v>0.010136897648359696</v>
      </c>
      <c r="BR107" s="11">
        <f>+'UCL LOANS'!BR105</f>
        <v>294</v>
      </c>
      <c r="BS107" s="15">
        <f t="shared" si="112"/>
        <v>0.005902073755846868</v>
      </c>
      <c r="BT107" s="55"/>
      <c r="BU107" s="56"/>
      <c r="BV107" s="55"/>
      <c r="BW107" s="10">
        <f>+'UCL LOANS'!BW105</f>
        <v>3395016.08</v>
      </c>
      <c r="BX107" s="15">
        <f t="shared" si="125"/>
        <v>0.010323692158131908</v>
      </c>
      <c r="BY107" s="11">
        <f>+'UCL LOANS'!BY105</f>
        <v>291</v>
      </c>
      <c r="BZ107" s="15">
        <f t="shared" si="126"/>
        <v>0.0064026402640264025</v>
      </c>
      <c r="CA107" s="55"/>
      <c r="CB107" s="56"/>
      <c r="CC107" s="55"/>
      <c r="CD107" s="10">
        <f>+'UCL LOANS'!CD105</f>
        <v>3121993.12</v>
      </c>
      <c r="CE107" s="15">
        <f t="shared" si="113"/>
        <v>0.009423848716138078</v>
      </c>
      <c r="CF107" s="11">
        <f>+'UCL LOANS'!CF105</f>
        <v>275</v>
      </c>
      <c r="CG107" s="15">
        <f t="shared" si="114"/>
        <v>0.0049116790798192506</v>
      </c>
      <c r="CH107" s="55"/>
      <c r="CI107" s="56"/>
      <c r="CJ107" s="55"/>
      <c r="CK107" s="10">
        <f>+'UCL LOANS'!CK105</f>
        <v>2922295.42</v>
      </c>
      <c r="CL107" s="15">
        <f t="shared" si="115"/>
        <v>0.008821054013707495</v>
      </c>
      <c r="CM107" s="11">
        <f>+'UCL LOANS'!CM105</f>
        <v>254</v>
      </c>
      <c r="CN107" s="15">
        <f t="shared" si="116"/>
        <v>0.004536605404633053</v>
      </c>
      <c r="CO107" s="55"/>
      <c r="CP107" s="56"/>
      <c r="CQ107" s="55"/>
    </row>
    <row r="108" spans="1:95" ht="12.75">
      <c r="A108" s="9">
        <v>1990</v>
      </c>
      <c r="B108" s="9"/>
      <c r="C108" s="9"/>
      <c r="D108" s="10">
        <f>+'UCL LOANS'!D106</f>
        <v>8136319.200000008</v>
      </c>
      <c r="E108" s="15">
        <f t="shared" si="117"/>
        <v>0.021281589844100314</v>
      </c>
      <c r="F108" s="11">
        <f>+'UCL LOANS'!F106</f>
        <v>692</v>
      </c>
      <c r="G108" s="15">
        <f t="shared" si="118"/>
        <v>0.010119030210861872</v>
      </c>
      <c r="H108" s="9"/>
      <c r="I108" s="10">
        <f>+'UCL LOANS'!J106</f>
        <v>7997524.149999987</v>
      </c>
      <c r="J108" s="15">
        <f t="shared" si="119"/>
        <v>0.02255064208214485</v>
      </c>
      <c r="K108" s="11">
        <f>+'UCL LOANS'!L106</f>
        <v>573</v>
      </c>
      <c r="L108" s="15">
        <f t="shared" si="120"/>
        <v>0.009421552829754348</v>
      </c>
      <c r="M108" s="55"/>
      <c r="N108" s="56"/>
      <c r="O108" s="55"/>
      <c r="P108" s="9"/>
      <c r="Q108" s="10">
        <f>+'UCL LOANS'!R106</f>
        <v>7852506.699999989</v>
      </c>
      <c r="R108" s="15">
        <f t="shared" si="121"/>
        <v>0.021952167293469126</v>
      </c>
      <c r="S108" s="11">
        <f>+'UCL LOANS'!T106</f>
        <v>564</v>
      </c>
      <c r="T108" s="15">
        <f t="shared" si="122"/>
        <v>0.009062570299193367</v>
      </c>
      <c r="U108" s="55"/>
      <c r="V108" s="56"/>
      <c r="W108" s="55"/>
      <c r="X108" s="9"/>
      <c r="Y108" s="10">
        <f>+'UCL LOANS'!Z106</f>
        <v>7807334.479999998</v>
      </c>
      <c r="Z108" s="15">
        <f t="shared" si="123"/>
        <v>0.021797720332431617</v>
      </c>
      <c r="AA108" s="11">
        <f>+'UCL LOANS'!AB106</f>
        <v>559</v>
      </c>
      <c r="AB108" s="15">
        <f t="shared" si="124"/>
        <v>0.00918712815961608</v>
      </c>
      <c r="AC108" s="55"/>
      <c r="AD108" s="56"/>
      <c r="AE108" s="55"/>
      <c r="AF108" s="9"/>
      <c r="AG108" s="10">
        <f>+'UCL LOANS'!AG106</f>
        <v>7659056.249999992</v>
      </c>
      <c r="AH108" s="15">
        <f t="shared" si="101"/>
        <v>0.020106589746110713</v>
      </c>
      <c r="AI108" s="11">
        <f>+'UCL LOANS'!AI106</f>
        <v>549</v>
      </c>
      <c r="AJ108" s="15">
        <f t="shared" si="102"/>
        <v>0.008775294907451808</v>
      </c>
      <c r="AK108" s="55"/>
      <c r="AL108" s="56"/>
      <c r="AM108" s="55"/>
      <c r="AN108" s="10">
        <f>+'UCL LOANS'!AN106</f>
        <v>7604104.7500000065</v>
      </c>
      <c r="AO108" s="15">
        <f t="shared" si="103"/>
        <v>0.020003979236490017</v>
      </c>
      <c r="AP108" s="11">
        <f>+'UCL LOANS'!AP106</f>
        <v>541</v>
      </c>
      <c r="AQ108" s="15">
        <f t="shared" si="104"/>
        <v>0.008698028875526544</v>
      </c>
      <c r="AR108" s="55"/>
      <c r="AS108" s="56"/>
      <c r="AT108" s="55"/>
      <c r="AU108" s="10">
        <f>+'UCL LOANS'!AU106</f>
        <v>7482110.539999995</v>
      </c>
      <c r="AV108" s="15">
        <f t="shared" si="105"/>
        <v>0.01959413744954057</v>
      </c>
      <c r="AW108" s="11">
        <f>+'UCL LOANS'!AW106</f>
        <v>533</v>
      </c>
      <c r="AX108" s="15">
        <f t="shared" si="106"/>
        <v>0.008435546411331804</v>
      </c>
      <c r="AY108" s="55"/>
      <c r="AZ108" s="56"/>
      <c r="BA108" s="55"/>
      <c r="BB108" s="10">
        <f>+'UCL LOANS'!BB106</f>
        <v>6471666.46000001</v>
      </c>
      <c r="BC108" s="15">
        <f t="shared" si="107"/>
        <v>0.017933548589619572</v>
      </c>
      <c r="BD108" s="11">
        <f>+'UCL LOANS'!BD106</f>
        <v>477</v>
      </c>
      <c r="BE108" s="15">
        <f t="shared" si="108"/>
        <v>0.007987675201366446</v>
      </c>
      <c r="BF108" s="55"/>
      <c r="BG108" s="56"/>
      <c r="BH108" s="55"/>
      <c r="BI108" s="10">
        <f>+'UCL LOANS'!BI106</f>
        <v>6417266.689999988</v>
      </c>
      <c r="BJ108" s="15">
        <f t="shared" si="109"/>
        <v>0.017782802112712985</v>
      </c>
      <c r="BK108" s="11">
        <f>+'UCL LOANS'!BK106</f>
        <v>471</v>
      </c>
      <c r="BL108" s="15">
        <f t="shared" si="110"/>
        <v>0.007887201299462465</v>
      </c>
      <c r="BM108" s="55"/>
      <c r="BN108" s="56"/>
      <c r="BO108" s="55"/>
      <c r="BP108" s="10">
        <f>+'UCL LOANS'!BP106</f>
        <v>5994351.509999994</v>
      </c>
      <c r="BQ108" s="15">
        <f t="shared" si="111"/>
        <v>0.01763454666632671</v>
      </c>
      <c r="BR108" s="11">
        <f>+'UCL LOANS'!BR106</f>
        <v>423</v>
      </c>
      <c r="BS108" s="15">
        <f t="shared" si="112"/>
        <v>0.008491759179330698</v>
      </c>
      <c r="BT108" s="55"/>
      <c r="BU108" s="56"/>
      <c r="BV108" s="55"/>
      <c r="BW108" s="10">
        <f>+'UCL LOANS'!BW106</f>
        <v>5955931.669999993</v>
      </c>
      <c r="BX108" s="15">
        <f t="shared" si="125"/>
        <v>0.018111020280041915</v>
      </c>
      <c r="BY108" s="11">
        <f>+'UCL LOANS'!BY106</f>
        <v>419</v>
      </c>
      <c r="BZ108" s="15">
        <f t="shared" si="126"/>
        <v>0.00921892189218922</v>
      </c>
      <c r="CA108" s="55"/>
      <c r="CB108" s="56"/>
      <c r="CC108" s="55"/>
      <c r="CD108" s="10">
        <f>+'UCL LOANS'!CD106</f>
        <v>5426316.169999998</v>
      </c>
      <c r="CE108" s="15">
        <f t="shared" si="113"/>
        <v>0.01637953086585078</v>
      </c>
      <c r="CF108" s="11">
        <f>+'UCL LOANS'!CF106</f>
        <v>392</v>
      </c>
      <c r="CG108" s="15">
        <f t="shared" si="114"/>
        <v>0.007001375270142349</v>
      </c>
      <c r="CH108" s="55"/>
      <c r="CI108" s="56"/>
      <c r="CJ108" s="55"/>
      <c r="CK108" s="10">
        <f>+'UCL LOANS'!CK106</f>
        <v>4981425.08</v>
      </c>
      <c r="CL108" s="15">
        <f t="shared" si="115"/>
        <v>0.015036611081543966</v>
      </c>
      <c r="CM108" s="11">
        <f>+'UCL LOANS'!CM106</f>
        <v>356</v>
      </c>
      <c r="CN108" s="15">
        <f t="shared" si="116"/>
        <v>0.006358391826966011</v>
      </c>
      <c r="CO108" s="55"/>
      <c r="CP108" s="56"/>
      <c r="CQ108" s="55"/>
    </row>
    <row r="109" spans="1:95" ht="12.75">
      <c r="A109" s="9">
        <v>1991</v>
      </c>
      <c r="B109" s="9"/>
      <c r="C109" s="9"/>
      <c r="D109" s="10">
        <f>+'UCL LOANS'!D107</f>
        <v>8447469.710000005</v>
      </c>
      <c r="E109" s="15">
        <f t="shared" si="117"/>
        <v>0.022095444041659643</v>
      </c>
      <c r="F109" s="11">
        <f>+'UCL LOANS'!F107</f>
        <v>726</v>
      </c>
      <c r="G109" s="15">
        <f t="shared" si="118"/>
        <v>0.010616207995788612</v>
      </c>
      <c r="H109" s="9"/>
      <c r="I109" s="10">
        <f>+'UCL LOANS'!J107</f>
        <v>8200915.050000013</v>
      </c>
      <c r="J109" s="15">
        <f t="shared" si="119"/>
        <v>0.023124143993816588</v>
      </c>
      <c r="K109" s="11">
        <f>+'UCL LOANS'!L107</f>
        <v>594</v>
      </c>
      <c r="L109" s="15">
        <f t="shared" si="120"/>
        <v>0.009766845341839588</v>
      </c>
      <c r="M109" s="55"/>
      <c r="N109" s="56"/>
      <c r="O109" s="55"/>
      <c r="P109" s="9"/>
      <c r="Q109" s="10">
        <f>+'UCL LOANS'!R107</f>
        <v>8142559.5200000135</v>
      </c>
      <c r="R109" s="15">
        <f t="shared" si="121"/>
        <v>0.022763027859634966</v>
      </c>
      <c r="S109" s="11">
        <f>+'UCL LOANS'!T107</f>
        <v>585</v>
      </c>
      <c r="T109" s="15">
        <f t="shared" si="122"/>
        <v>0.009400006427354822</v>
      </c>
      <c r="U109" s="55"/>
      <c r="V109" s="56"/>
      <c r="W109" s="55"/>
      <c r="X109" s="9"/>
      <c r="Y109" s="10">
        <f>+'UCL LOANS'!Z107</f>
        <v>8008710.910000014</v>
      </c>
      <c r="Z109" s="15">
        <f t="shared" si="123"/>
        <v>0.02235995410298782</v>
      </c>
      <c r="AA109" s="11">
        <f>+'UCL LOANS'!AB107</f>
        <v>574</v>
      </c>
      <c r="AB109" s="15">
        <f t="shared" si="124"/>
        <v>0.009433652171054794</v>
      </c>
      <c r="AC109" s="55"/>
      <c r="AD109" s="56"/>
      <c r="AE109" s="55"/>
      <c r="AF109" s="9"/>
      <c r="AG109" s="10">
        <f>+'UCL LOANS'!AG107</f>
        <v>7857176.930000011</v>
      </c>
      <c r="AH109" s="15">
        <f t="shared" si="101"/>
        <v>0.020626697067816422</v>
      </c>
      <c r="AI109" s="11">
        <f>+'UCL LOANS'!AI107</f>
        <v>563</v>
      </c>
      <c r="AJ109" s="15">
        <f t="shared" si="102"/>
        <v>0.008999072919663694</v>
      </c>
      <c r="AK109" s="55"/>
      <c r="AL109" s="56"/>
      <c r="AM109" s="55"/>
      <c r="AN109" s="10">
        <f>+'UCL LOANS'!AN107</f>
        <v>7793460.110000006</v>
      </c>
      <c r="AO109" s="15">
        <f t="shared" si="103"/>
        <v>0.02050211291748094</v>
      </c>
      <c r="AP109" s="11">
        <f>+'UCL LOANS'!AP107</f>
        <v>556</v>
      </c>
      <c r="AQ109" s="15">
        <f t="shared" si="104"/>
        <v>0.00893919418630824</v>
      </c>
      <c r="AR109" s="55"/>
      <c r="AS109" s="56"/>
      <c r="AT109" s="55"/>
      <c r="AU109" s="10">
        <f>+'UCL LOANS'!AU107</f>
        <v>7714916.200000017</v>
      </c>
      <c r="AV109" s="15">
        <f t="shared" si="105"/>
        <v>0.0202038084877703</v>
      </c>
      <c r="AW109" s="11">
        <f>+'UCL LOANS'!AW107</f>
        <v>549</v>
      </c>
      <c r="AX109" s="15">
        <f t="shared" si="106"/>
        <v>0.008688771069082852</v>
      </c>
      <c r="AY109" s="55"/>
      <c r="AZ109" s="56"/>
      <c r="BA109" s="55"/>
      <c r="BB109" s="10">
        <f>+'UCL LOANS'!BB107</f>
        <v>6969220.65</v>
      </c>
      <c r="BC109" s="15">
        <f t="shared" si="107"/>
        <v>0.019312314367720816</v>
      </c>
      <c r="BD109" s="11">
        <f>+'UCL LOANS'!BD107</f>
        <v>502</v>
      </c>
      <c r="BE109" s="15">
        <f t="shared" si="108"/>
        <v>0.008406316459299698</v>
      </c>
      <c r="BF109" s="55"/>
      <c r="BG109" s="56"/>
      <c r="BH109" s="55"/>
      <c r="BI109" s="10">
        <f>+'UCL LOANS'!BI107</f>
        <v>6884968.07000001</v>
      </c>
      <c r="BJ109" s="15">
        <f t="shared" si="109"/>
        <v>0.01907884316728589</v>
      </c>
      <c r="BK109" s="11">
        <f>+'UCL LOANS'!BK107</f>
        <v>496</v>
      </c>
      <c r="BL109" s="15">
        <f t="shared" si="110"/>
        <v>0.008305842557395717</v>
      </c>
      <c r="BM109" s="55"/>
      <c r="BN109" s="56"/>
      <c r="BO109" s="55"/>
      <c r="BP109" s="10">
        <f>+'UCL LOANS'!BP107</f>
        <v>6503626.380000006</v>
      </c>
      <c r="BQ109" s="15">
        <f t="shared" si="111"/>
        <v>0.019132762352547402</v>
      </c>
      <c r="BR109" s="11">
        <f>+'UCL LOANS'!BR107</f>
        <v>460</v>
      </c>
      <c r="BS109" s="15">
        <f t="shared" si="112"/>
        <v>0.009234537169012106</v>
      </c>
      <c r="BT109" s="55"/>
      <c r="BU109" s="56"/>
      <c r="BV109" s="55"/>
      <c r="BW109" s="10">
        <f>+'UCL LOANS'!BW107</f>
        <v>6326431.930000007</v>
      </c>
      <c r="BX109" s="15">
        <f t="shared" si="125"/>
        <v>0.019237651358840216</v>
      </c>
      <c r="BY109" s="11">
        <f>+'UCL LOANS'!BY107</f>
        <v>447</v>
      </c>
      <c r="BZ109" s="15">
        <f t="shared" si="126"/>
        <v>0.009834983498349836</v>
      </c>
      <c r="CA109" s="55"/>
      <c r="CB109" s="56"/>
      <c r="CC109" s="55"/>
      <c r="CD109" s="10">
        <f>+'UCL LOANS'!CD107</f>
        <v>5866932.560000009</v>
      </c>
      <c r="CE109" s="15">
        <f t="shared" si="113"/>
        <v>0.017709547314192917</v>
      </c>
      <c r="CF109" s="11">
        <f>+'UCL LOANS'!CF107</f>
        <v>421</v>
      </c>
      <c r="CG109" s="15">
        <f t="shared" si="114"/>
        <v>0.0075193341549232885</v>
      </c>
      <c r="CH109" s="55"/>
      <c r="CI109" s="56"/>
      <c r="CJ109" s="55"/>
      <c r="CK109" s="10">
        <f>+'UCL LOANS'!CK107</f>
        <v>5357853.05</v>
      </c>
      <c r="CL109" s="15">
        <f t="shared" si="115"/>
        <v>0.0161728724714483</v>
      </c>
      <c r="CM109" s="11">
        <f>+'UCL LOANS'!CM107</f>
        <v>389</v>
      </c>
      <c r="CN109" s="15">
        <f t="shared" si="116"/>
        <v>0.006947793316544321</v>
      </c>
      <c r="CO109" s="55"/>
      <c r="CP109" s="56"/>
      <c r="CQ109" s="55"/>
    </row>
    <row r="110" spans="1:95" ht="12.75">
      <c r="A110" s="9">
        <v>1992</v>
      </c>
      <c r="B110" s="9"/>
      <c r="C110" s="9"/>
      <c r="D110" s="10">
        <f>+'UCL LOANS'!D108</f>
        <v>6958792.439999994</v>
      </c>
      <c r="E110" s="15">
        <f t="shared" si="117"/>
        <v>0.01820161707990829</v>
      </c>
      <c r="F110" s="11">
        <f>+'UCL LOANS'!F108</f>
        <v>826</v>
      </c>
      <c r="G110" s="15">
        <f t="shared" si="118"/>
        <v>0.012078495598514316</v>
      </c>
      <c r="H110" s="9"/>
      <c r="I110" s="10">
        <f>+'UCL LOANS'!J108</f>
        <v>6871423.979999995</v>
      </c>
      <c r="J110" s="15">
        <f t="shared" si="119"/>
        <v>0.019375374160970477</v>
      </c>
      <c r="K110" s="11">
        <f>+'UCL LOANS'!L108</f>
        <v>654</v>
      </c>
      <c r="L110" s="15">
        <f t="shared" si="120"/>
        <v>0.010753395376368838</v>
      </c>
      <c r="M110" s="55"/>
      <c r="N110" s="56"/>
      <c r="O110" s="55"/>
      <c r="P110" s="9"/>
      <c r="Q110" s="10">
        <f>+'UCL LOANS'!R108</f>
        <v>6690152.319999997</v>
      </c>
      <c r="R110" s="15">
        <f t="shared" si="121"/>
        <v>0.018702733860441117</v>
      </c>
      <c r="S110" s="11">
        <f>+'UCL LOANS'!T108</f>
        <v>641</v>
      </c>
      <c r="T110" s="15">
        <f t="shared" si="122"/>
        <v>0.010299836102452036</v>
      </c>
      <c r="U110" s="55"/>
      <c r="V110" s="56"/>
      <c r="W110" s="55"/>
      <c r="X110" s="9"/>
      <c r="Y110" s="10">
        <f>+'UCL LOANS'!Z108</f>
        <v>6553568.419999995</v>
      </c>
      <c r="Z110" s="15">
        <f t="shared" si="123"/>
        <v>0.01829726290894299</v>
      </c>
      <c r="AA110" s="11">
        <f>+'UCL LOANS'!AB108</f>
        <v>621</v>
      </c>
      <c r="AB110" s="15">
        <f t="shared" si="124"/>
        <v>0.010206094073562766</v>
      </c>
      <c r="AC110" s="55"/>
      <c r="AD110" s="56"/>
      <c r="AE110" s="55"/>
      <c r="AF110" s="9"/>
      <c r="AG110" s="10">
        <f>+'UCL LOANS'!AG108</f>
        <v>6431892.9099999955</v>
      </c>
      <c r="AH110" s="15">
        <f t="shared" si="101"/>
        <v>0.016885034893468532</v>
      </c>
      <c r="AI110" s="11">
        <f>+'UCL LOANS'!AI108</f>
        <v>593</v>
      </c>
      <c r="AJ110" s="15">
        <f t="shared" si="102"/>
        <v>0.009478597231546306</v>
      </c>
      <c r="AK110" s="55"/>
      <c r="AL110" s="56"/>
      <c r="AM110" s="55"/>
      <c r="AN110" s="10">
        <f>+'UCL LOANS'!AN108</f>
        <v>6337195.409999999</v>
      </c>
      <c r="AO110" s="15">
        <f t="shared" si="103"/>
        <v>0.016671144015897428</v>
      </c>
      <c r="AP110" s="11">
        <f>+'UCL LOANS'!AP108</f>
        <v>564</v>
      </c>
      <c r="AQ110" s="15">
        <f t="shared" si="104"/>
        <v>0.009067815685391813</v>
      </c>
      <c r="AR110" s="55"/>
      <c r="AS110" s="56"/>
      <c r="AT110" s="55"/>
      <c r="AU110" s="10">
        <f>+'UCL LOANS'!AU108</f>
        <v>6258258.079999994</v>
      </c>
      <c r="AV110" s="15">
        <f t="shared" si="105"/>
        <v>0.016389114857185444</v>
      </c>
      <c r="AW110" s="11">
        <f>+'UCL LOANS'!AW108</f>
        <v>550</v>
      </c>
      <c r="AX110" s="15">
        <f t="shared" si="106"/>
        <v>0.008704597610192292</v>
      </c>
      <c r="AY110" s="55"/>
      <c r="AZ110" s="56"/>
      <c r="BA110" s="55"/>
      <c r="BB110" s="10">
        <f>+'UCL LOANS'!BB108</f>
        <v>5610890.109999998</v>
      </c>
      <c r="BC110" s="15">
        <f t="shared" si="107"/>
        <v>0.015548262729643318</v>
      </c>
      <c r="BD110" s="11">
        <f>+'UCL LOANS'!BD108</f>
        <v>481</v>
      </c>
      <c r="BE110" s="15">
        <f t="shared" si="108"/>
        <v>0.008054657802635765</v>
      </c>
      <c r="BF110" s="55"/>
      <c r="BG110" s="56"/>
      <c r="BH110" s="55"/>
      <c r="BI110" s="10">
        <f>+'UCL LOANS'!BI108</f>
        <v>5549562.7099999925</v>
      </c>
      <c r="BJ110" s="15">
        <f t="shared" si="109"/>
        <v>0.015378319189664416</v>
      </c>
      <c r="BK110" s="11">
        <f>+'UCL LOANS'!BK108</f>
        <v>476</v>
      </c>
      <c r="BL110" s="15">
        <f t="shared" si="110"/>
        <v>0.007970929551049114</v>
      </c>
      <c r="BM110" s="55"/>
      <c r="BN110" s="56"/>
      <c r="BO110" s="55"/>
      <c r="BP110" s="10">
        <f>+'UCL LOANS'!BP108</f>
        <v>5223864.77</v>
      </c>
      <c r="BQ110" s="15">
        <f t="shared" si="111"/>
        <v>0.015367882065552263</v>
      </c>
      <c r="BR110" s="11">
        <f>+'UCL LOANS'!BR108</f>
        <v>430</v>
      </c>
      <c r="BS110" s="15">
        <f t="shared" si="112"/>
        <v>0.008632284744946098</v>
      </c>
      <c r="BT110" s="55"/>
      <c r="BU110" s="56"/>
      <c r="BV110" s="55"/>
      <c r="BW110" s="10">
        <f>+'UCL LOANS'!BW108</f>
        <v>5170976.25</v>
      </c>
      <c r="BX110" s="15">
        <f t="shared" si="125"/>
        <v>0.015724098414877416</v>
      </c>
      <c r="BY110" s="11">
        <f>+'UCL LOANS'!BY108</f>
        <v>421</v>
      </c>
      <c r="BZ110" s="15">
        <f t="shared" si="126"/>
        <v>0.009262926292629262</v>
      </c>
      <c r="CA110" s="55"/>
      <c r="CB110" s="56"/>
      <c r="CC110" s="55"/>
      <c r="CD110" s="10">
        <f>+'UCL LOANS'!CD108</f>
        <v>4810491.44</v>
      </c>
      <c r="CE110" s="15">
        <f t="shared" si="113"/>
        <v>0.014520641730574095</v>
      </c>
      <c r="CF110" s="11">
        <f>+'UCL LOANS'!CF108</f>
        <v>398</v>
      </c>
      <c r="CG110" s="15">
        <f t="shared" si="114"/>
        <v>0.007108539177338406</v>
      </c>
      <c r="CH110" s="55"/>
      <c r="CI110" s="56"/>
      <c r="CJ110" s="55"/>
      <c r="CK110" s="10">
        <f>+'UCL LOANS'!CK108</f>
        <v>4566346.4</v>
      </c>
      <c r="CL110" s="15">
        <f t="shared" si="115"/>
        <v>0.01378368113094424</v>
      </c>
      <c r="CM110" s="11">
        <f>+'UCL LOANS'!CM108</f>
        <v>370</v>
      </c>
      <c r="CN110" s="15">
        <f t="shared" si="116"/>
        <v>0.006608440943756809</v>
      </c>
      <c r="CO110" s="55"/>
      <c r="CP110" s="56"/>
      <c r="CQ110" s="55"/>
    </row>
    <row r="111" spans="1:95" ht="12.75">
      <c r="A111" s="9">
        <v>1993</v>
      </c>
      <c r="B111" s="9"/>
      <c r="C111" s="9"/>
      <c r="D111" s="10">
        <f>+'UCL LOANS'!D109</f>
        <v>9879078.859999996</v>
      </c>
      <c r="E111" s="15">
        <f t="shared" si="117"/>
        <v>0.02584000199206071</v>
      </c>
      <c r="F111" s="11">
        <f>+'UCL LOANS'!F109</f>
        <v>1536</v>
      </c>
      <c r="G111" s="15">
        <f t="shared" si="118"/>
        <v>0.022460737577866815</v>
      </c>
      <c r="H111" s="9"/>
      <c r="I111" s="10">
        <f>+'UCL LOANS'!J109</f>
        <v>9630690.35000001</v>
      </c>
      <c r="J111" s="15">
        <f t="shared" si="119"/>
        <v>0.027155685561364253</v>
      </c>
      <c r="K111" s="11">
        <f>+'UCL LOANS'!L109</f>
        <v>1265</v>
      </c>
      <c r="L111" s="15">
        <f t="shared" si="120"/>
        <v>0.020799763227991715</v>
      </c>
      <c r="M111" s="55"/>
      <c r="N111" s="56"/>
      <c r="O111" s="55"/>
      <c r="P111" s="9"/>
      <c r="Q111" s="10">
        <f>+'UCL LOANS'!R109</f>
        <v>9424785.960000012</v>
      </c>
      <c r="R111" s="15">
        <f t="shared" si="121"/>
        <v>0.02634757103729177</v>
      </c>
      <c r="S111" s="11">
        <f>+'UCL LOANS'!T109</f>
        <v>1241</v>
      </c>
      <c r="T111" s="15">
        <f t="shared" si="122"/>
        <v>0.01994086833563647</v>
      </c>
      <c r="U111" s="55"/>
      <c r="V111" s="56"/>
      <c r="W111" s="55"/>
      <c r="X111" s="9"/>
      <c r="Y111" s="10">
        <f>+'UCL LOANS'!Z109</f>
        <v>9307599.21</v>
      </c>
      <c r="Z111" s="15">
        <f t="shared" si="123"/>
        <v>0.025986390754190094</v>
      </c>
      <c r="AA111" s="11">
        <f>+'UCL LOANS'!AB109</f>
        <v>1213</v>
      </c>
      <c r="AB111" s="15">
        <f t="shared" si="124"/>
        <v>0.019935575058344018</v>
      </c>
      <c r="AC111" s="55"/>
      <c r="AD111" s="56"/>
      <c r="AE111" s="55"/>
      <c r="AF111" s="9"/>
      <c r="AG111" s="10">
        <f>+'UCL LOANS'!AG109</f>
        <v>9043503.639999997</v>
      </c>
      <c r="AH111" s="15">
        <f t="shared" si="101"/>
        <v>0.02374104741128374</v>
      </c>
      <c r="AI111" s="11">
        <f>+'UCL LOANS'!AI109</f>
        <v>1172</v>
      </c>
      <c r="AJ111" s="15">
        <f t="shared" si="102"/>
        <v>0.018733416450880728</v>
      </c>
      <c r="AK111" s="55"/>
      <c r="AL111" s="56"/>
      <c r="AM111" s="55"/>
      <c r="AN111" s="10">
        <f>+'UCL LOANS'!AN109</f>
        <v>8788162.85</v>
      </c>
      <c r="AO111" s="15">
        <f t="shared" si="103"/>
        <v>0.02311885921591135</v>
      </c>
      <c r="AP111" s="11">
        <f>+'UCL LOANS'!AP109</f>
        <v>1113</v>
      </c>
      <c r="AQ111" s="15">
        <f t="shared" si="104"/>
        <v>0.01789446606000193</v>
      </c>
      <c r="AR111" s="55"/>
      <c r="AS111" s="56"/>
      <c r="AT111" s="55"/>
      <c r="AU111" s="10">
        <f>+'UCL LOANS'!AU109</f>
        <v>8662441.33</v>
      </c>
      <c r="AV111" s="15">
        <f t="shared" si="105"/>
        <v>0.02268518557179738</v>
      </c>
      <c r="AW111" s="11">
        <f>+'UCL LOANS'!AW109</f>
        <v>1052</v>
      </c>
      <c r="AX111" s="15">
        <f t="shared" si="106"/>
        <v>0.01664952124713144</v>
      </c>
      <c r="AY111" s="55"/>
      <c r="AZ111" s="56"/>
      <c r="BA111" s="55"/>
      <c r="BB111" s="10">
        <f>+'UCL LOANS'!BB109</f>
        <v>7854907.11999999</v>
      </c>
      <c r="BC111" s="15">
        <f t="shared" si="107"/>
        <v>0.021766628328906235</v>
      </c>
      <c r="BD111" s="11">
        <f>+'UCL LOANS'!BD109</f>
        <v>896</v>
      </c>
      <c r="BE111" s="15">
        <f t="shared" si="108"/>
        <v>0.015004102684327746</v>
      </c>
      <c r="BF111" s="55"/>
      <c r="BG111" s="56"/>
      <c r="BH111" s="55"/>
      <c r="BI111" s="10">
        <f>+'UCL LOANS'!BI109</f>
        <v>7790689.860000001</v>
      </c>
      <c r="BJ111" s="15">
        <f t="shared" si="109"/>
        <v>0.021588676736434637</v>
      </c>
      <c r="BK111" s="11">
        <f>+'UCL LOANS'!BK109</f>
        <v>851</v>
      </c>
      <c r="BL111" s="15">
        <f t="shared" si="110"/>
        <v>0.014250548420047892</v>
      </c>
      <c r="BM111" s="55"/>
      <c r="BN111" s="56"/>
      <c r="BO111" s="55"/>
      <c r="BP111" s="10">
        <f>+'UCL LOANS'!BP109</f>
        <v>7334269.420000002</v>
      </c>
      <c r="BQ111" s="15">
        <f t="shared" si="111"/>
        <v>0.02157639840350355</v>
      </c>
      <c r="BR111" s="11">
        <f>+'UCL LOANS'!BR109</f>
        <v>779</v>
      </c>
      <c r="BS111" s="15">
        <f t="shared" si="112"/>
        <v>0.01563848794491398</v>
      </c>
      <c r="BT111" s="55"/>
      <c r="BU111" s="56"/>
      <c r="BV111" s="55"/>
      <c r="BW111" s="10">
        <f>+'UCL LOANS'!BW109</f>
        <v>7230289.069999998</v>
      </c>
      <c r="BX111" s="15">
        <f t="shared" si="125"/>
        <v>0.021986134031207836</v>
      </c>
      <c r="BY111" s="11">
        <f>+'UCL LOANS'!BY109</f>
        <v>754</v>
      </c>
      <c r="BZ111" s="15">
        <f t="shared" si="126"/>
        <v>0.01658965896589659</v>
      </c>
      <c r="CA111" s="55"/>
      <c r="CB111" s="56"/>
      <c r="CC111" s="55"/>
      <c r="CD111" s="10">
        <f>+'UCL LOANS'!CD109</f>
        <v>6295397.479999994</v>
      </c>
      <c r="CE111" s="15">
        <f t="shared" si="113"/>
        <v>0.019002884112530278</v>
      </c>
      <c r="CF111" s="11">
        <f>+'UCL LOANS'!CF109</f>
        <v>689</v>
      </c>
      <c r="CG111" s="15">
        <f t="shared" si="114"/>
        <v>0.01230598867634714</v>
      </c>
      <c r="CH111" s="55"/>
      <c r="CI111" s="56"/>
      <c r="CJ111" s="55"/>
      <c r="CK111" s="10">
        <f>+'UCL LOANS'!CK109</f>
        <v>5801677.549999997</v>
      </c>
      <c r="CL111" s="15">
        <f t="shared" si="115"/>
        <v>0.01751257271541155</v>
      </c>
      <c r="CM111" s="11">
        <f>+'UCL LOANS'!CM109</f>
        <v>637</v>
      </c>
      <c r="CN111" s="15">
        <f t="shared" si="116"/>
        <v>0.011377234813981318</v>
      </c>
      <c r="CO111" s="55"/>
      <c r="CP111" s="56"/>
      <c r="CQ111" s="55"/>
    </row>
    <row r="112" spans="1:95" ht="12.75">
      <c r="A112" s="9">
        <v>1994</v>
      </c>
      <c r="B112" s="9"/>
      <c r="C112" s="9"/>
      <c r="D112" s="10">
        <f>+'UCL LOANS'!D110</f>
        <v>12197702.979999956</v>
      </c>
      <c r="E112" s="15">
        <f t="shared" si="117"/>
        <v>0.03190466173703201</v>
      </c>
      <c r="F112" s="11">
        <f>+'UCL LOANS'!F110</f>
        <v>2209</v>
      </c>
      <c r="G112" s="15">
        <f t="shared" si="118"/>
        <v>0.0323019331442108</v>
      </c>
      <c r="H112" s="9"/>
      <c r="I112" s="10">
        <f>+'UCL LOANS'!J110</f>
        <v>11951075.38</v>
      </c>
      <c r="J112" s="15">
        <f t="shared" si="119"/>
        <v>0.033698481972213076</v>
      </c>
      <c r="K112" s="11">
        <f>+'UCL LOANS'!L110</f>
        <v>1817</v>
      </c>
      <c r="L112" s="15">
        <f t="shared" si="120"/>
        <v>0.029876023545660824</v>
      </c>
      <c r="M112" s="55"/>
      <c r="N112" s="56"/>
      <c r="O112" s="55"/>
      <c r="P112" s="9"/>
      <c r="Q112" s="10">
        <f>+'UCL LOANS'!R110</f>
        <v>11739857.359999994</v>
      </c>
      <c r="R112" s="15">
        <f t="shared" si="121"/>
        <v>0.032819496068457354</v>
      </c>
      <c r="S112" s="11">
        <f>+'UCL LOANS'!T110</f>
        <v>1778</v>
      </c>
      <c r="T112" s="15">
        <f t="shared" si="122"/>
        <v>0.028569592184336537</v>
      </c>
      <c r="U112" s="55"/>
      <c r="V112" s="56"/>
      <c r="W112" s="55"/>
      <c r="X112" s="9"/>
      <c r="Y112" s="10">
        <f>+'UCL LOANS'!Z110</f>
        <v>11464111.31999997</v>
      </c>
      <c r="Z112" s="15">
        <f t="shared" si="123"/>
        <v>0.032007273808156725</v>
      </c>
      <c r="AA112" s="11">
        <f>+'UCL LOANS'!AB110</f>
        <v>1729</v>
      </c>
      <c r="AB112" s="15">
        <f t="shared" si="124"/>
        <v>0.028416001051835782</v>
      </c>
      <c r="AC112" s="55"/>
      <c r="AD112" s="56"/>
      <c r="AE112" s="55"/>
      <c r="AF112" s="9"/>
      <c r="AG112" s="10">
        <f>+'UCL LOANS'!AG110</f>
        <v>11177481.159999996</v>
      </c>
      <c r="AH112" s="15">
        <f t="shared" si="101"/>
        <v>0.029343175026166162</v>
      </c>
      <c r="AI112" s="11">
        <f>+'UCL LOANS'!AI110</f>
        <v>1693</v>
      </c>
      <c r="AJ112" s="15">
        <f t="shared" si="102"/>
        <v>0.02706115533390876</v>
      </c>
      <c r="AK112" s="55"/>
      <c r="AL112" s="56"/>
      <c r="AM112" s="55"/>
      <c r="AN112" s="10">
        <f>+'UCL LOANS'!AN110</f>
        <v>10915458.29999997</v>
      </c>
      <c r="AO112" s="15">
        <f t="shared" si="103"/>
        <v>0.028715096433932188</v>
      </c>
      <c r="AP112" s="11">
        <f>+'UCL LOANS'!AP110</f>
        <v>1638</v>
      </c>
      <c r="AQ112" s="15">
        <f t="shared" si="104"/>
        <v>0.02633525193736133</v>
      </c>
      <c r="AR112" s="55"/>
      <c r="AS112" s="56"/>
      <c r="AT112" s="55"/>
      <c r="AU112" s="10">
        <f>+'UCL LOANS'!AU110</f>
        <v>10713062.42999997</v>
      </c>
      <c r="AV112" s="15">
        <f t="shared" si="105"/>
        <v>0.028055348372189193</v>
      </c>
      <c r="AW112" s="11">
        <f>+'UCL LOANS'!AW110</f>
        <v>1608</v>
      </c>
      <c r="AX112" s="15">
        <f t="shared" si="106"/>
        <v>0.025449078103980376</v>
      </c>
      <c r="AY112" s="55"/>
      <c r="AZ112" s="56"/>
      <c r="BA112" s="55"/>
      <c r="BB112" s="10">
        <f>+'UCL LOANS'!BB110</f>
        <v>9716450.339999987</v>
      </c>
      <c r="BC112" s="15">
        <f t="shared" si="107"/>
        <v>0.026925125911234787</v>
      </c>
      <c r="BD112" s="11">
        <f>+'UCL LOANS'!BD110</f>
        <v>1455</v>
      </c>
      <c r="BE112" s="15">
        <f t="shared" si="108"/>
        <v>0.024364921211715258</v>
      </c>
      <c r="BF112" s="55"/>
      <c r="BG112" s="56"/>
      <c r="BH112" s="55"/>
      <c r="BI112" s="10">
        <f>+'UCL LOANS'!BI110</f>
        <v>9479384.459999999</v>
      </c>
      <c r="BJ112" s="15">
        <f t="shared" si="109"/>
        <v>0.026268195813832843</v>
      </c>
      <c r="BK112" s="11">
        <f>+'UCL LOANS'!BK110</f>
        <v>1413</v>
      </c>
      <c r="BL112" s="15">
        <f t="shared" si="110"/>
        <v>0.023661603898387396</v>
      </c>
      <c r="BM112" s="55"/>
      <c r="BN112" s="56"/>
      <c r="BO112" s="55"/>
      <c r="BP112" s="10">
        <f>+'UCL LOANS'!BP110</f>
        <v>8788841.53</v>
      </c>
      <c r="BQ112" s="15">
        <f t="shared" si="111"/>
        <v>0.025855546816895857</v>
      </c>
      <c r="BR112" s="11">
        <f>+'UCL LOANS'!BR110</f>
        <v>1295</v>
      </c>
      <c r="BS112" s="15">
        <f t="shared" si="112"/>
        <v>0.025997229638849297</v>
      </c>
      <c r="BT112" s="55"/>
      <c r="BU112" s="56"/>
      <c r="BV112" s="55"/>
      <c r="BW112" s="10">
        <f>+'UCL LOANS'!BW110</f>
        <v>8594141.119999995</v>
      </c>
      <c r="BX112" s="15">
        <f t="shared" si="125"/>
        <v>0.026133386468797794</v>
      </c>
      <c r="BY112" s="11">
        <f>+'UCL LOANS'!BY110</f>
        <v>1230</v>
      </c>
      <c r="BZ112" s="15">
        <f t="shared" si="126"/>
        <v>0.02706270627062706</v>
      </c>
      <c r="CA112" s="55"/>
      <c r="CB112" s="56"/>
      <c r="CC112" s="55"/>
      <c r="CD112" s="10">
        <f>+'UCL LOANS'!CD110</f>
        <v>7973423.500000001</v>
      </c>
      <c r="CE112" s="15">
        <f t="shared" si="113"/>
        <v>0.024068066112106032</v>
      </c>
      <c r="CF112" s="11">
        <f>+'UCL LOANS'!CF110</f>
        <v>1123</v>
      </c>
      <c r="CG112" s="15">
        <f t="shared" si="114"/>
        <v>0.020057511296861882</v>
      </c>
      <c r="CH112" s="55"/>
      <c r="CI112" s="56"/>
      <c r="CJ112" s="55"/>
      <c r="CK112" s="10">
        <f>+'UCL LOANS'!CK110</f>
        <v>7521275.9799999995</v>
      </c>
      <c r="CL112" s="15">
        <f t="shared" si="115"/>
        <v>0.02270324253239967</v>
      </c>
      <c r="CM112" s="11">
        <f>+'UCL LOANS'!CM110</f>
        <v>974</v>
      </c>
      <c r="CN112" s="15">
        <f t="shared" si="116"/>
        <v>0.017396274268159817</v>
      </c>
      <c r="CO112" s="55"/>
      <c r="CP112" s="56"/>
      <c r="CQ112" s="55"/>
    </row>
    <row r="113" spans="1:95" ht="12.75">
      <c r="A113" s="9">
        <v>1995</v>
      </c>
      <c r="B113" s="9"/>
      <c r="C113" s="9"/>
      <c r="D113" s="10">
        <f>+'UCL LOANS'!D111</f>
        <v>16216906.9</v>
      </c>
      <c r="E113" s="15">
        <f t="shared" si="117"/>
        <v>0.042417406778455784</v>
      </c>
      <c r="F113" s="11">
        <f>+'UCL LOANS'!F111</f>
        <v>3263</v>
      </c>
      <c r="G113" s="15">
        <f t="shared" si="118"/>
        <v>0.047714444476939726</v>
      </c>
      <c r="H113" s="9"/>
      <c r="I113" s="10">
        <f>+'UCL LOANS'!J111</f>
        <v>15828162.870000025</v>
      </c>
      <c r="J113" s="15">
        <f t="shared" si="119"/>
        <v>0.04463071683244192</v>
      </c>
      <c r="K113" s="11">
        <f>+'UCL LOANS'!L111</f>
        <v>2691</v>
      </c>
      <c r="L113" s="15">
        <f t="shared" si="120"/>
        <v>0.04424676904863692</v>
      </c>
      <c r="M113" s="55"/>
      <c r="N113" s="56"/>
      <c r="O113" s="55"/>
      <c r="P113" s="9"/>
      <c r="Q113" s="10">
        <f>+'UCL LOANS'!R111</f>
        <v>15375268.300000012</v>
      </c>
      <c r="R113" s="15">
        <f t="shared" si="121"/>
        <v>0.04298251180143194</v>
      </c>
      <c r="S113" s="11">
        <f>+'UCL LOANS'!T111</f>
        <v>2602</v>
      </c>
      <c r="T113" s="15">
        <f t="shared" si="122"/>
        <v>0.04180994311790982</v>
      </c>
      <c r="U113" s="55"/>
      <c r="V113" s="56"/>
      <c r="W113" s="55"/>
      <c r="X113" s="9"/>
      <c r="Y113" s="10">
        <f>+'UCL LOANS'!Z111</f>
        <v>14999802.490000006</v>
      </c>
      <c r="Z113" s="15">
        <f t="shared" si="123"/>
        <v>0.041878761638342366</v>
      </c>
      <c r="AA113" s="11">
        <f>+'UCL LOANS'!AB111</f>
        <v>2531</v>
      </c>
      <c r="AB113" s="15">
        <f t="shared" si="124"/>
        <v>0.04159681819675903</v>
      </c>
      <c r="AC113" s="55"/>
      <c r="AD113" s="56"/>
      <c r="AE113" s="55"/>
      <c r="AF113" s="9"/>
      <c r="AG113" s="10">
        <f>+'UCL LOANS'!AG111</f>
        <v>14671655.400000012</v>
      </c>
      <c r="AH113" s="15">
        <f t="shared" si="101"/>
        <v>0.03851609733563589</v>
      </c>
      <c r="AI113" s="11">
        <f>+'UCL LOANS'!AI111</f>
        <v>2474</v>
      </c>
      <c r="AJ113" s="15">
        <f t="shared" si="102"/>
        <v>0.039544771586586105</v>
      </c>
      <c r="AK113" s="55"/>
      <c r="AL113" s="56"/>
      <c r="AM113" s="55"/>
      <c r="AN113" s="10">
        <f>+'UCL LOANS'!AN111</f>
        <v>14320067.500000007</v>
      </c>
      <c r="AO113" s="15">
        <f t="shared" si="103"/>
        <v>0.03767153956356735</v>
      </c>
      <c r="AP113" s="11">
        <f>+'UCL LOANS'!AP111</f>
        <v>2407</v>
      </c>
      <c r="AQ113" s="15">
        <f t="shared" si="104"/>
        <v>0.03869899353676967</v>
      </c>
      <c r="AR113" s="55"/>
      <c r="AS113" s="56"/>
      <c r="AT113" s="55"/>
      <c r="AU113" s="10">
        <f>+'UCL LOANS'!AU111</f>
        <v>14018684.350000001</v>
      </c>
      <c r="AV113" s="15">
        <f t="shared" si="105"/>
        <v>0.03671210503335112</v>
      </c>
      <c r="AW113" s="11">
        <f>+'UCL LOANS'!AW111</f>
        <v>2345</v>
      </c>
      <c r="AX113" s="15">
        <f t="shared" si="106"/>
        <v>0.03711323890163805</v>
      </c>
      <c r="AY113" s="55"/>
      <c r="AZ113" s="56"/>
      <c r="BA113" s="55"/>
      <c r="BB113" s="10">
        <f>+'UCL LOANS'!BB111</f>
        <v>12349559.490000032</v>
      </c>
      <c r="BC113" s="15">
        <f t="shared" si="107"/>
        <v>0.034221699548822655</v>
      </c>
      <c r="BD113" s="11">
        <f>+'UCL LOANS'!BD111</f>
        <v>2062</v>
      </c>
      <c r="BE113" s="15">
        <f t="shared" si="108"/>
        <v>0.034529530954334614</v>
      </c>
      <c r="BF113" s="55"/>
      <c r="BG113" s="56"/>
      <c r="BH113" s="55"/>
      <c r="BI113" s="10">
        <f>+'UCL LOANS'!BI111</f>
        <v>12065774.160000006</v>
      </c>
      <c r="BJ113" s="15">
        <f t="shared" si="109"/>
        <v>0.0334353058068039</v>
      </c>
      <c r="BK113" s="11">
        <f>+'UCL LOANS'!BK111</f>
        <v>2006</v>
      </c>
      <c r="BL113" s="15">
        <f t="shared" si="110"/>
        <v>0.033591774536564124</v>
      </c>
      <c r="BM113" s="55"/>
      <c r="BN113" s="56"/>
      <c r="BO113" s="55"/>
      <c r="BP113" s="10">
        <f>+'UCL LOANS'!BP111</f>
        <v>11394421.679999992</v>
      </c>
      <c r="BQ113" s="15">
        <f t="shared" si="111"/>
        <v>0.03352080045965887</v>
      </c>
      <c r="BR113" s="11">
        <f>+'UCL LOANS'!BR111</f>
        <v>1903</v>
      </c>
      <c r="BS113" s="15">
        <f t="shared" si="112"/>
        <v>0.03820287876658703</v>
      </c>
      <c r="BT113" s="55"/>
      <c r="BU113" s="56"/>
      <c r="BV113" s="55"/>
      <c r="BW113" s="10">
        <f>+'UCL LOANS'!BW111</f>
        <v>11099109.090000005</v>
      </c>
      <c r="BX113" s="15">
        <f t="shared" si="125"/>
        <v>0.03375058697061713</v>
      </c>
      <c r="BY113" s="11">
        <f>+'UCL LOANS'!BY111</f>
        <v>1863</v>
      </c>
      <c r="BZ113" s="15">
        <f t="shared" si="126"/>
        <v>0.04099009900990099</v>
      </c>
      <c r="CA113" s="55"/>
      <c r="CB113" s="56"/>
      <c r="CC113" s="55"/>
      <c r="CD113" s="10">
        <f>+'UCL LOANS'!CD111</f>
        <v>10364909.360000005</v>
      </c>
      <c r="CE113" s="15">
        <f t="shared" si="113"/>
        <v>0.031286852344224125</v>
      </c>
      <c r="CF113" s="11">
        <f>+'UCL LOANS'!CF111</f>
        <v>1776</v>
      </c>
      <c r="CG113" s="15">
        <f t="shared" si="114"/>
        <v>0.03172051653003268</v>
      </c>
      <c r="CH113" s="55"/>
      <c r="CI113" s="56"/>
      <c r="CJ113" s="55"/>
      <c r="CK113" s="10">
        <f>+'UCL LOANS'!CK111</f>
        <v>9683518.800000006</v>
      </c>
      <c r="CL113" s="15">
        <f t="shared" si="115"/>
        <v>0.02923005038879746</v>
      </c>
      <c r="CM113" s="11">
        <f>+'UCL LOANS'!CM111</f>
        <v>1678</v>
      </c>
      <c r="CN113" s="15">
        <f t="shared" si="116"/>
        <v>0.0299701727124971</v>
      </c>
      <c r="CO113" s="55"/>
      <c r="CP113" s="56"/>
      <c r="CQ113" s="55"/>
    </row>
    <row r="114" spans="1:95" ht="12.75">
      <c r="A114" s="9">
        <v>1996</v>
      </c>
      <c r="B114" s="9"/>
      <c r="C114" s="9"/>
      <c r="D114" s="10">
        <f>+'UCL LOANS'!D112</f>
        <v>25364597.930000026</v>
      </c>
      <c r="E114" s="15">
        <f t="shared" si="117"/>
        <v>0.06634436978661995</v>
      </c>
      <c r="F114" s="11">
        <f>+'UCL LOANS'!F112</f>
        <v>5158</v>
      </c>
      <c r="G114" s="15">
        <f t="shared" si="118"/>
        <v>0.07542479454859181</v>
      </c>
      <c r="H114" s="15"/>
      <c r="I114" s="10">
        <f>+'SECURED LOANS'!J120+'RETAIL CREDIT'!J101+'UCL LOANS'!J112+'UNSECURED LOANS'!J102+'CAR FINANCE'!I103</f>
        <v>24565054.270000037</v>
      </c>
      <c r="J114" s="15">
        <f t="shared" si="119"/>
        <v>0.06926615489760488</v>
      </c>
      <c r="K114" s="11">
        <f>+'SECURED LOANS'!L120+'RETAIL CREDIT'!L101+'UCL LOANS'!L112+'UNSECURED LOANS'!L102+'CAR FINANCE'!K103</f>
        <v>4286</v>
      </c>
      <c r="L114" s="15">
        <f t="shared" si="120"/>
        <v>0.0704725574665395</v>
      </c>
      <c r="M114" s="57"/>
      <c r="N114" s="56"/>
      <c r="O114" s="57"/>
      <c r="P114" s="15"/>
      <c r="Q114" s="10">
        <f>+'SECURED LOANS'!R120+'RETAIL CREDIT'!R101+'UCL LOANS'!R112+'UNSECURED LOANS'!R102+'CAR FINANCE'!Q103</f>
        <v>23813729.600000035</v>
      </c>
      <c r="R114" s="15">
        <f t="shared" si="121"/>
        <v>0.06657275135602739</v>
      </c>
      <c r="S114" s="11">
        <f>+'SECURED LOANS'!T120+'RETAIL CREDIT'!T101+'UCL LOANS'!T112+'UNSECURED LOANS'!T102+'CAR FINANCE'!S103</f>
        <v>4153</v>
      </c>
      <c r="T114" s="15">
        <f t="shared" si="122"/>
        <v>0.06673201144069159</v>
      </c>
      <c r="U114" s="57"/>
      <c r="V114" s="56"/>
      <c r="W114" s="57"/>
      <c r="X114" s="15"/>
      <c r="Y114" s="10">
        <f>+'SECURED LOANS'!Y120+'RETAIL CREDIT'!Z101+'UCL LOANS'!Z112+'UNSECURED LOANS'!Z102+'CAR FINANCE'!Y103</f>
        <v>23043672.03999995</v>
      </c>
      <c r="Z114" s="15">
        <f t="shared" si="123"/>
        <v>0.06433687705412527</v>
      </c>
      <c r="AA114" s="11">
        <f>+'SECURED LOANS'!AA120+'RETAIL CREDIT'!AB101+'UCL LOANS'!AB112+'UNSECURED LOANS'!AB102+'CAR FINANCE'!AA103</f>
        <v>4027</v>
      </c>
      <c r="AB114" s="15">
        <f t="shared" si="124"/>
        <v>0.06618347960424678</v>
      </c>
      <c r="AC114" s="57"/>
      <c r="AD114" s="56"/>
      <c r="AE114" s="57"/>
      <c r="AF114" s="15"/>
      <c r="AG114" s="10">
        <f>+'SECURED LOANS'!AG120+'RETAIL CREDIT'!AH101+'UCL LOANS'!AG112+'UNSECURED LOANS'!AH102+'CAR FINANCE'!AG103</f>
        <v>22333341.630000014</v>
      </c>
      <c r="AH114" s="15">
        <f t="shared" si="101"/>
        <v>0.05862959131735667</v>
      </c>
      <c r="AI114" s="11">
        <f>+'SECURED LOANS'!AI120+'RETAIL CREDIT'!AJ101+'UCL LOANS'!AI112+'UNSECURED LOANS'!AJ102+'CAR FINANCE'!AI103</f>
        <v>3906</v>
      </c>
      <c r="AJ114" s="15">
        <f t="shared" si="102"/>
        <v>0.06243406540711614</v>
      </c>
      <c r="AK114" s="57"/>
      <c r="AL114" s="56"/>
      <c r="AM114" s="57"/>
      <c r="AN114" s="10">
        <f>+'SECURED LOANS'!AN120+'RETAIL CREDIT'!AO101+'UCL LOANS'!AN112+'UNSECURED LOANS'!AO102+'CAR FINANCE'!AN103</f>
        <v>21706529.02000001</v>
      </c>
      <c r="AO114" s="15">
        <f t="shared" si="103"/>
        <v>0.05710296873702954</v>
      </c>
      <c r="AP114" s="11">
        <f>+'SECURED LOANS'!AP120+'RETAIL CREDIT'!AQ101+'UCL LOANS'!AP112+'UNSECURED LOANS'!AQ102+'CAR FINANCE'!AP103</f>
        <v>3788</v>
      </c>
      <c r="AQ114" s="15">
        <f t="shared" si="104"/>
        <v>0.060902279816071256</v>
      </c>
      <c r="AR114" s="57"/>
      <c r="AS114" s="56"/>
      <c r="AT114" s="57"/>
      <c r="AU114" s="10">
        <f>+'SECURED LOANS'!AU120+'RETAIL CREDIT'!AV101+'UCL LOANS'!AU112+'UNSECURED LOANS'!AV102+'CAR FINANCE'!AU103</f>
        <v>21016133.090000052</v>
      </c>
      <c r="AV114" s="15">
        <f t="shared" si="105"/>
        <v>0.055037011044118976</v>
      </c>
      <c r="AW114" s="11">
        <f>+'SECURED LOANS'!AW120+'RETAIL CREDIT'!AX101+'UCL LOANS'!AW112+'UNSECURED LOANS'!AX102+'CAR FINANCE'!AW103</f>
        <v>3669</v>
      </c>
      <c r="AX114" s="15">
        <f t="shared" si="106"/>
        <v>0.058067579330537314</v>
      </c>
      <c r="AY114" s="57"/>
      <c r="AZ114" s="56"/>
      <c r="BA114" s="57"/>
      <c r="BB114" s="10">
        <f>+'SECURED LOANS'!BB120+'RETAIL CREDIT'!BC101+'UCL LOANS'!BB112+'UNSECURED LOANS'!BC102+'CAR FINANCE'!BB103</f>
        <v>18534558.17000002</v>
      </c>
      <c r="BC114" s="15">
        <f t="shared" si="107"/>
        <v>0.05136086687768289</v>
      </c>
      <c r="BD114" s="11">
        <f>+'SECURED LOANS'!BD120+'RETAIL CREDIT'!BE101+'UCL LOANS'!BD112+'UNSECURED LOANS'!BE102+'CAR FINANCE'!BD103</f>
        <v>3211</v>
      </c>
      <c r="BE114" s="15">
        <f t="shared" si="108"/>
        <v>0.053770283168946865</v>
      </c>
      <c r="BF114" s="57"/>
      <c r="BG114" s="56"/>
      <c r="BH114" s="57"/>
      <c r="BI114" s="10">
        <f>+'SECURED LOANS'!BI120+'RETAIL CREDIT'!BJ101+'UCL LOANS'!BI112+'UNSECURED LOANS'!BJ102+'CAR FINANCE'!BI103</f>
        <v>17943050.720000003</v>
      </c>
      <c r="BJ114" s="15">
        <f t="shared" si="109"/>
        <v>0.049721748474214164</v>
      </c>
      <c r="BK114" s="11">
        <f>+'SECURED LOANS'!BK120+'RETAIL CREDIT'!BL101+'UCL LOANS'!BK112+'UNSECURED LOANS'!BL102+'CAR FINANCE'!BK103</f>
        <v>3093</v>
      </c>
      <c r="BL114" s="15">
        <f t="shared" si="110"/>
        <v>0.051794296431501914</v>
      </c>
      <c r="BM114" s="57"/>
      <c r="BN114" s="56"/>
      <c r="BO114" s="57"/>
      <c r="BP114" s="10">
        <f>+'SECURED LOANS'!BP120+'RETAIL CREDIT'!BQ101+'UCL LOANS'!BP112+'UNSECURED LOANS'!BQ102+'CAR FINANCE'!BP103</f>
        <v>16989165.87999999</v>
      </c>
      <c r="BQ114" s="15">
        <f t="shared" si="111"/>
        <v>0.0499797581161245</v>
      </c>
      <c r="BR114" s="11">
        <f>+'SECURED LOANS'!BR120+'RETAIL CREDIT'!BS101+'UCL LOANS'!BR112+'UNSECURED LOANS'!BS102+'CAR FINANCE'!BR103</f>
        <v>2928</v>
      </c>
      <c r="BS114" s="15">
        <f t="shared" si="112"/>
        <v>0.05877983658884227</v>
      </c>
      <c r="BT114" s="57"/>
      <c r="BU114" s="56"/>
      <c r="BV114" s="57"/>
      <c r="BW114" s="10">
        <f>+'SECURED LOANS'!BW120+'RETAIL CREDIT'!BX101+'UCL LOANS'!BW112+'UNSECURED LOANS'!BX102+'CAR FINANCE'!BW103</f>
        <v>16416201.56999999</v>
      </c>
      <c r="BX114" s="15">
        <f t="shared" si="125"/>
        <v>0.04991900109484065</v>
      </c>
      <c r="BY114" s="11">
        <f>+'SECURED LOANS'!BY120+'RETAIL CREDIT'!BZ101+'UCL LOANS'!BY112+'UNSECURED LOANS'!BZ102+'CAR FINANCE'!BY103</f>
        <v>2842</v>
      </c>
      <c r="BZ114" s="15">
        <f t="shared" si="126"/>
        <v>0.06253025302530253</v>
      </c>
      <c r="CA114" s="57"/>
      <c r="CB114" s="56"/>
      <c r="CC114" s="57"/>
      <c r="CD114" s="10">
        <f>+'SECURED LOANS'!CD120+'RETAIL CREDIT'!CE101+'UCL LOANS'!CD112+'UNSECURED LOANS'!CE102+'CAR FINANCE'!CD103</f>
        <v>15305481.789999997</v>
      </c>
      <c r="CE114" s="15">
        <f t="shared" si="113"/>
        <v>0.04620014822984818</v>
      </c>
      <c r="CF114" s="11">
        <f>+'SECURED LOANS'!CF120+'RETAIL CREDIT'!CG101+'UCL LOANS'!CF112+'UNSECURED LOANS'!CG102+'CAR FINANCE'!CF103</f>
        <v>2708</v>
      </c>
      <c r="CG114" s="15">
        <f t="shared" si="114"/>
        <v>0.04836664344782011</v>
      </c>
      <c r="CH114" s="57"/>
      <c r="CI114" s="56"/>
      <c r="CJ114" s="57"/>
      <c r="CK114" s="10">
        <f>+'SECURED LOANS'!CK120+'RETAIL CREDIT'!CL101+'UCL LOANS'!CK112+'UNSECURED LOANS'!CL102+'CAR FINANCE'!CK103</f>
        <v>14685495.990000006</v>
      </c>
      <c r="CL114" s="15">
        <f t="shared" si="115"/>
        <v>0.04432869875485582</v>
      </c>
      <c r="CM114" s="11">
        <f>+'SECURED LOANS'!CM120+'RETAIL CREDIT'!CN101+'UCL LOANS'!CM112+'UNSECURED LOANS'!CN102+'CAR FINANCE'!CM103</f>
        <v>2606</v>
      </c>
      <c r="CN114" s="15">
        <f t="shared" si="116"/>
        <v>0.04654485702548715</v>
      </c>
      <c r="CO114" s="57"/>
      <c r="CP114" s="56"/>
      <c r="CQ114" s="57"/>
    </row>
    <row r="115" spans="1:95" ht="12.75">
      <c r="A115" s="9">
        <v>1997</v>
      </c>
      <c r="B115" s="9"/>
      <c r="C115" s="9"/>
      <c r="D115" s="10">
        <f>+'SECURED LOANS'!D121+'RETAIL CREDIT'!D102+'UNSECURED LOANS'!D103+'CAR FINANCE'!D104+'UCL LOANS'!D113</f>
        <v>32025414.309999987</v>
      </c>
      <c r="E115" s="15">
        <f t="shared" si="117"/>
        <v>0.08376659213822386</v>
      </c>
      <c r="F115" s="11">
        <f>+'SECURED LOANS'!F121+'RETAIL CREDIT'!F102+'UNSECURED LOANS'!F103+'CAR FINANCE'!F104+'UCL LOANS'!F113</f>
        <v>7260</v>
      </c>
      <c r="G115" s="15">
        <f t="shared" si="118"/>
        <v>0.10616207995788611</v>
      </c>
      <c r="H115" s="15"/>
      <c r="I115" s="10">
        <f>+'SECURED LOANS'!J121+'RETAIL CREDIT'!J102+'UCL LOANS'!J113+'UNSECURED LOANS'!J103+'CAR FINANCE'!I104</f>
        <v>30512806.29000003</v>
      </c>
      <c r="J115" s="15">
        <f t="shared" si="119"/>
        <v>0.08603704854928257</v>
      </c>
      <c r="K115" s="11">
        <f>+'SECURED LOANS'!L121+'RETAIL CREDIT'!L102+'UCL LOANS'!L113+'UNSECURED LOANS'!L103+'CAR FINANCE'!K104</f>
        <v>5506</v>
      </c>
      <c r="L115" s="15">
        <f t="shared" si="120"/>
        <v>0.09053240816863428</v>
      </c>
      <c r="M115" s="57"/>
      <c r="N115" s="56"/>
      <c r="O115" s="57"/>
      <c r="P115" s="15"/>
      <c r="Q115" s="10">
        <f>+'SECURED LOANS'!R121+'RETAIL CREDIT'!R102+'UCL LOANS'!R113+'UNSECURED LOANS'!R103+'CAR FINANCE'!Q104</f>
        <v>29310282.020000007</v>
      </c>
      <c r="R115" s="15">
        <f t="shared" si="121"/>
        <v>0.08193870300318257</v>
      </c>
      <c r="S115" s="11">
        <f>+'SECURED LOANS'!T121+'RETAIL CREDIT'!T102+'UCL LOANS'!T113+'UNSECURED LOANS'!T103+'CAR FINANCE'!S104</f>
        <v>5195</v>
      </c>
      <c r="T115" s="15">
        <f t="shared" si="122"/>
        <v>0.08347527075232188</v>
      </c>
      <c r="U115" s="57"/>
      <c r="V115" s="56"/>
      <c r="W115" s="57"/>
      <c r="X115" s="15"/>
      <c r="Y115" s="10">
        <f>+'SECURED LOANS'!Y121+'RETAIL CREDIT'!Z102+'UCL LOANS'!Z113+'UNSECURED LOANS'!Z103+'CAR FINANCE'!Y104</f>
        <v>28283320.479999974</v>
      </c>
      <c r="Z115" s="15">
        <f t="shared" si="123"/>
        <v>0.07896573554967959</v>
      </c>
      <c r="AA115" s="11">
        <f>+'SECURED LOANS'!AA121+'RETAIL CREDIT'!AB102+'UCL LOANS'!AB113+'UNSECURED LOANS'!AB103+'CAR FINANCE'!AA104</f>
        <v>4907</v>
      </c>
      <c r="AB115" s="15">
        <f t="shared" si="124"/>
        <v>0.08064622160865136</v>
      </c>
      <c r="AC115" s="57"/>
      <c r="AD115" s="56"/>
      <c r="AE115" s="57"/>
      <c r="AF115" s="15"/>
      <c r="AG115" s="10">
        <f>+'SECURED LOANS'!AG121+'RETAIL CREDIT'!AH102+'UCL LOANS'!AG113+'UNSECURED LOANS'!AH103+'CAR FINANCE'!AG104</f>
        <v>27308901.200000003</v>
      </c>
      <c r="AH115" s="15">
        <f t="shared" si="101"/>
        <v>0.07169145321859612</v>
      </c>
      <c r="AI115" s="11">
        <f>+'SECURED LOANS'!AI121+'RETAIL CREDIT'!AJ102+'UCL LOANS'!AI113+'UNSECURED LOANS'!AJ103+'CAR FINANCE'!AI104</f>
        <v>4665</v>
      </c>
      <c r="AJ115" s="15">
        <f t="shared" si="102"/>
        <v>0.07456603049774624</v>
      </c>
      <c r="AK115" s="57"/>
      <c r="AL115" s="56"/>
      <c r="AM115" s="57"/>
      <c r="AN115" s="10">
        <f>+'SECURED LOANS'!AN121+'RETAIL CREDIT'!AO102+'UCL LOANS'!AN113+'UNSECURED LOANS'!AO103+'CAR FINANCE'!AN104</f>
        <v>26207326.300000057</v>
      </c>
      <c r="AO115" s="15">
        <f t="shared" si="103"/>
        <v>0.06894313379219551</v>
      </c>
      <c r="AP115" s="11">
        <f>+'SECURED LOANS'!AP121+'RETAIL CREDIT'!AQ102+'UCL LOANS'!AP113+'UNSECURED LOANS'!AQ103+'CAR FINANCE'!AP104</f>
        <v>4403</v>
      </c>
      <c r="AQ115" s="15">
        <f t="shared" si="104"/>
        <v>0.07079005755812084</v>
      </c>
      <c r="AR115" s="57"/>
      <c r="AS115" s="56"/>
      <c r="AT115" s="57"/>
      <c r="AU115" s="10">
        <f>+'SECURED LOANS'!AU121+'RETAIL CREDIT'!AV102+'UCL LOANS'!AU113+'UNSECURED LOANS'!AV103+'CAR FINANCE'!AU104</f>
        <v>25355487.099999957</v>
      </c>
      <c r="AV115" s="15">
        <f t="shared" si="105"/>
        <v>0.06640090341908424</v>
      </c>
      <c r="AW115" s="11">
        <f>+'SECURED LOANS'!AW121+'RETAIL CREDIT'!AX102+'UCL LOANS'!AW113+'UNSECURED LOANS'!AX103+'CAR FINANCE'!AW104</f>
        <v>4252</v>
      </c>
      <c r="AX115" s="15">
        <f t="shared" si="106"/>
        <v>0.06729445279734114</v>
      </c>
      <c r="AY115" s="57"/>
      <c r="AZ115" s="56"/>
      <c r="BA115" s="57"/>
      <c r="BB115" s="10">
        <f>+'SECURED LOANS'!BB121+'RETAIL CREDIT'!BC102+'UCL LOANS'!BB113+'UNSECURED LOANS'!BC103+'CAR FINANCE'!BB104</f>
        <v>22250970.279999994</v>
      </c>
      <c r="BC115" s="15">
        <f t="shared" si="107"/>
        <v>0.061659366895518326</v>
      </c>
      <c r="BD115" s="11">
        <f>+'SECURED LOANS'!BD121+'RETAIL CREDIT'!BE102+'UCL LOANS'!BD113+'UNSECURED LOANS'!BE103+'CAR FINANCE'!BD104</f>
        <v>3718</v>
      </c>
      <c r="BE115" s="15">
        <f t="shared" si="108"/>
        <v>0.06226032787983321</v>
      </c>
      <c r="BF115" s="57"/>
      <c r="BG115" s="56"/>
      <c r="BH115" s="57"/>
      <c r="BI115" s="10">
        <f>+'SECURED LOANS'!BI121+'RETAIL CREDIT'!BJ102+'UCL LOANS'!BI113+'UNSECURED LOANS'!BJ103+'CAR FINANCE'!BI104</f>
        <v>21345755.2</v>
      </c>
      <c r="BJ115" s="15">
        <f t="shared" si="109"/>
        <v>0.05915093746369062</v>
      </c>
      <c r="BK115" s="11">
        <f>+'SECURED LOANS'!BK121+'RETAIL CREDIT'!BL102+'UCL LOANS'!BK113+'UNSECURED LOANS'!BL103+'CAR FINANCE'!BK104</f>
        <v>3604</v>
      </c>
      <c r="BL115" s="15">
        <f t="shared" si="110"/>
        <v>0.060351323743657585</v>
      </c>
      <c r="BM115" s="57"/>
      <c r="BN115" s="56"/>
      <c r="BO115" s="57"/>
      <c r="BP115" s="10">
        <f>+'SECURED LOANS'!BP121+'RETAIL CREDIT'!BQ102+'UCL LOANS'!BP113+'UNSECURED LOANS'!BQ103+'CAR FINANCE'!BP104</f>
        <v>20350850.630000036</v>
      </c>
      <c r="BQ115" s="15">
        <f t="shared" si="111"/>
        <v>0.05986936610832492</v>
      </c>
      <c r="BR115" s="11">
        <f>+'SECURED LOANS'!BR121+'RETAIL CREDIT'!BS102+'UCL LOANS'!BR113+'UNSECURED LOANS'!BS103+'CAR FINANCE'!BR104</f>
        <v>3439</v>
      </c>
      <c r="BS115" s="15">
        <f t="shared" si="112"/>
        <v>0.06903820287876658</v>
      </c>
      <c r="BT115" s="57"/>
      <c r="BU115" s="56"/>
      <c r="BV115" s="57"/>
      <c r="BW115" s="10">
        <f>+'SECURED LOANS'!BW121+'RETAIL CREDIT'!BX102+'UCL LOANS'!BW113+'UNSECURED LOANS'!BX103+'CAR FINANCE'!BW104</f>
        <v>19695804.36</v>
      </c>
      <c r="BX115" s="15">
        <f t="shared" si="125"/>
        <v>0.05989174019447714</v>
      </c>
      <c r="BY115" s="11">
        <f>+'SECURED LOANS'!BY121+'RETAIL CREDIT'!BZ102+'UCL LOANS'!BY113+'UNSECURED LOANS'!BZ103+'CAR FINANCE'!BY104</f>
        <v>3339</v>
      </c>
      <c r="BZ115" s="15">
        <f t="shared" si="126"/>
        <v>0.07346534653465346</v>
      </c>
      <c r="CA115" s="57"/>
      <c r="CB115" s="56"/>
      <c r="CC115" s="57"/>
      <c r="CD115" s="10">
        <f>+'SECURED LOANS'!CD121+'RETAIL CREDIT'!CE102+'UCL LOANS'!CD113+'UNSECURED LOANS'!CE103+'CAR FINANCE'!CD104</f>
        <v>18853964.609999996</v>
      </c>
      <c r="CE115" s="15">
        <f t="shared" si="113"/>
        <v>0.05691137147158774</v>
      </c>
      <c r="CF115" s="11">
        <f>+'SECURED LOANS'!CF121+'RETAIL CREDIT'!CG102+'UCL LOANS'!CF113+'UNSECURED LOANS'!CG103+'CAR FINANCE'!CF104</f>
        <v>3198</v>
      </c>
      <c r="CG115" s="15">
        <f t="shared" si="114"/>
        <v>0.05711836253549805</v>
      </c>
      <c r="CH115" s="57"/>
      <c r="CI115" s="56"/>
      <c r="CJ115" s="57"/>
      <c r="CK115" s="10">
        <f>+'SECURED LOANS'!CK121+'RETAIL CREDIT'!CL102+'UCL LOANS'!CK113+'UNSECURED LOANS'!CL103+'CAR FINANCE'!CK104</f>
        <v>18110993.360000025</v>
      </c>
      <c r="CL115" s="15">
        <f t="shared" si="115"/>
        <v>0.05466868598468323</v>
      </c>
      <c r="CM115" s="11">
        <f>+'SECURED LOANS'!CM121+'RETAIL CREDIT'!CN102+'UCL LOANS'!CM113+'UNSECURED LOANS'!CN103+'CAR FINANCE'!CM104</f>
        <v>3060</v>
      </c>
      <c r="CN115" s="15">
        <f t="shared" si="116"/>
        <v>0.054653592669988746</v>
      </c>
      <c r="CO115" s="57"/>
      <c r="CP115" s="56"/>
      <c r="CQ115" s="57"/>
    </row>
    <row r="116" spans="1:95" ht="12.75">
      <c r="A116" s="9">
        <v>1998</v>
      </c>
      <c r="B116" s="9"/>
      <c r="C116" s="9"/>
      <c r="D116" s="10">
        <f>+'SECURED LOANS'!D122+'RETAIL CREDIT'!D103+'UNSECURED LOANS'!D104+'CAR FINANCE'!D105+'UCL LOANS'!D114</f>
        <v>42513875.169999994</v>
      </c>
      <c r="E116" s="15">
        <f t="shared" si="117"/>
        <v>0.1112005111661818</v>
      </c>
      <c r="F116" s="11">
        <f>+'SECURED LOANS'!F122+'RETAIL CREDIT'!F103+'UNSECURED LOANS'!F104+'CAR FINANCE'!F105+'UCL LOANS'!F114</f>
        <v>7870</v>
      </c>
      <c r="G116" s="15">
        <f t="shared" si="118"/>
        <v>0.11508203433451292</v>
      </c>
      <c r="H116" s="15"/>
      <c r="I116" s="10">
        <f>+'SECURED LOANS'!J122+'RETAIL CREDIT'!J103+'UCL LOANS'!J114+'UNSECURED LOANS'!J104+'CAR FINANCE'!I105</f>
        <v>39558172.35999997</v>
      </c>
      <c r="J116" s="15">
        <f t="shared" si="119"/>
        <v>0.11154229353770141</v>
      </c>
      <c r="K116" s="11">
        <f>+'SECURED LOANS'!L122+'RETAIL CREDIT'!L103+'UCL LOANS'!L114+'UNSECURED LOANS'!L104+'CAR FINANCE'!K105</f>
        <v>7212</v>
      </c>
      <c r="L116" s="15">
        <f t="shared" si="120"/>
        <v>0.118583314150416</v>
      </c>
      <c r="M116" s="57"/>
      <c r="N116" s="56"/>
      <c r="O116" s="57"/>
      <c r="P116" s="15"/>
      <c r="Q116" s="10">
        <f>+'SECURED LOANS'!R122+'RETAIL CREDIT'!R103+'UCL LOANS'!R114+'UNSECURED LOANS'!R104+'CAR FINANCE'!Q105</f>
        <v>37043259.04000004</v>
      </c>
      <c r="R116" s="15">
        <f t="shared" si="121"/>
        <v>0.10355671769645157</v>
      </c>
      <c r="S116" s="11">
        <f>+'SECURED LOANS'!T122+'RETAIL CREDIT'!T103+'UCL LOANS'!T114+'UNSECURED LOANS'!T104+'CAR FINANCE'!S105</f>
        <v>6683</v>
      </c>
      <c r="T116" s="15">
        <f t="shared" si="122"/>
        <v>0.10738503069061928</v>
      </c>
      <c r="U116" s="57"/>
      <c r="V116" s="56"/>
      <c r="W116" s="57"/>
      <c r="X116" s="15"/>
      <c r="Y116" s="10">
        <f>+'SECURED LOANS'!Y122+'RETAIL CREDIT'!Z103+'UCL LOANS'!Z114+'UNSECURED LOANS'!Z104+'CAR FINANCE'!Y105</f>
        <v>34858781.69999987</v>
      </c>
      <c r="Z116" s="15">
        <f t="shared" si="123"/>
        <v>0.09732412215364475</v>
      </c>
      <c r="AA116" s="11">
        <f>+'SECURED LOANS'!AA122+'RETAIL CREDIT'!AB103+'UCL LOANS'!AB114+'UNSECURED LOANS'!AB104+'CAR FINANCE'!AA105</f>
        <v>7053</v>
      </c>
      <c r="AB116" s="15">
        <f t="shared" si="124"/>
        <v>0.11591559017848338</v>
      </c>
      <c r="AC116" s="57"/>
      <c r="AD116" s="56"/>
      <c r="AE116" s="57"/>
      <c r="AF116" s="15"/>
      <c r="AG116" s="10">
        <f>+'SECURED LOANS'!AG122+'RETAIL CREDIT'!AH103+'UCL LOANS'!AG114+'UNSECURED LOANS'!AH104+'CAR FINANCE'!AG105</f>
        <v>32921521.60000005</v>
      </c>
      <c r="AH116" s="15">
        <f t="shared" si="101"/>
        <v>0.0864257301451369</v>
      </c>
      <c r="AI116" s="11">
        <f>+'SECURED LOANS'!AI122+'RETAIL CREDIT'!AJ103+'UCL LOANS'!AI114+'UNSECURED LOANS'!AJ104+'CAR FINANCE'!AI105</f>
        <v>6704</v>
      </c>
      <c r="AJ116" s="15">
        <f t="shared" si="102"/>
        <v>0.10715769956203446</v>
      </c>
      <c r="AK116" s="57"/>
      <c r="AL116" s="56"/>
      <c r="AM116" s="57"/>
      <c r="AN116" s="10">
        <f>+'SECURED LOANS'!AN122+'RETAIL CREDIT'!AO103+'UCL LOANS'!AN114+'UNSECURED LOANS'!AO104+'CAR FINANCE'!AN105</f>
        <v>30813919.37</v>
      </c>
      <c r="AO116" s="15">
        <f t="shared" si="103"/>
        <v>0.08106161389640996</v>
      </c>
      <c r="AP116" s="11">
        <f>+'SECURED LOANS'!AP122+'RETAIL CREDIT'!AQ103+'UCL LOANS'!AP114+'UNSECURED LOANS'!AQ104+'CAR FINANCE'!AP105</f>
        <v>5247</v>
      </c>
      <c r="AQ116" s="15">
        <f t="shared" si="104"/>
        <v>0.08435962571143767</v>
      </c>
      <c r="AR116" s="57"/>
      <c r="AS116" s="56"/>
      <c r="AT116" s="57"/>
      <c r="AU116" s="10">
        <f>+'SECURED LOANS'!AU122+'RETAIL CREDIT'!AV103+'UCL LOANS'!AU114+'UNSECURED LOANS'!AV104+'CAR FINANCE'!AU105</f>
        <v>29249210.939999953</v>
      </c>
      <c r="AV116" s="15">
        <f t="shared" si="105"/>
        <v>0.07659778031680418</v>
      </c>
      <c r="AW116" s="11">
        <f>+'SECURED LOANS'!AW122+'RETAIL CREDIT'!AX103+'UCL LOANS'!AW114+'UNSECURED LOANS'!AX104+'CAR FINANCE'!AW105</f>
        <v>4874</v>
      </c>
      <c r="AX116" s="15">
        <f t="shared" si="106"/>
        <v>0.07713856136741315</v>
      </c>
      <c r="AY116" s="57"/>
      <c r="AZ116" s="56"/>
      <c r="BA116" s="57"/>
      <c r="BB116" s="10">
        <f>+'SECURED LOANS'!BB122+'RETAIL CREDIT'!BC103+'UCL LOANS'!BB114+'UNSECURED LOANS'!BC104+'CAR FINANCE'!BB105</f>
        <v>25755318.00999994</v>
      </c>
      <c r="BC116" s="15">
        <f t="shared" si="107"/>
        <v>0.07137021813905985</v>
      </c>
      <c r="BD116" s="11">
        <f>+'SECURED LOANS'!BD122+'RETAIL CREDIT'!BE103+'UCL LOANS'!BD114+'UNSECURED LOANS'!BE104+'CAR FINANCE'!BD105</f>
        <v>4199</v>
      </c>
      <c r="BE116" s="15">
        <f t="shared" si="108"/>
        <v>0.07031498568246898</v>
      </c>
      <c r="BF116" s="57"/>
      <c r="BG116" s="56"/>
      <c r="BH116" s="57"/>
      <c r="BI116" s="10">
        <f>+'SECURED LOANS'!BI122+'RETAIL CREDIT'!BJ103+'UCL LOANS'!BI114+'UNSECURED LOANS'!BJ104+'CAR FINANCE'!BI105</f>
        <v>24561025.78999992</v>
      </c>
      <c r="BJ116" s="15">
        <f t="shared" si="109"/>
        <v>0.06806073090111976</v>
      </c>
      <c r="BK116" s="11">
        <f>+'SECURED LOANS'!BK122+'RETAIL CREDIT'!BL103+'UCL LOANS'!BK114+'UNSECURED LOANS'!BL104+'CAR FINANCE'!BK105</f>
        <v>3871</v>
      </c>
      <c r="BL116" s="15">
        <f t="shared" si="110"/>
        <v>0.06482241237838471</v>
      </c>
      <c r="BM116" s="57"/>
      <c r="BN116" s="56"/>
      <c r="BO116" s="57"/>
      <c r="BP116" s="10">
        <f>+'SECURED LOANS'!BP122+'RETAIL CREDIT'!BQ103+'UCL LOANS'!BP114+'UNSECURED LOANS'!BQ104+'CAR FINANCE'!BP105</f>
        <v>23385664.30999999</v>
      </c>
      <c r="BQ116" s="15">
        <f t="shared" si="111"/>
        <v>0.06879736497096853</v>
      </c>
      <c r="BR116" s="11">
        <f>+'SECURED LOANS'!BR122+'RETAIL CREDIT'!BS103+'UCL LOANS'!BR114+'UNSECURED LOANS'!BS104+'CAR FINANCE'!BR105</f>
        <v>3699</v>
      </c>
      <c r="BS116" s="15">
        <f t="shared" si="112"/>
        <v>0.07425772388733864</v>
      </c>
      <c r="BT116" s="57"/>
      <c r="BU116" s="56"/>
      <c r="BV116" s="57"/>
      <c r="BW116" s="10">
        <f>+'SECURED LOANS'!BW122+'RETAIL CREDIT'!BX103+'UCL LOANS'!BW114+'UNSECURED LOANS'!BX104+'CAR FINANCE'!BW105</f>
        <v>22437508.559999984</v>
      </c>
      <c r="BX116" s="15">
        <f t="shared" si="125"/>
        <v>0.06822881709853032</v>
      </c>
      <c r="BY116" s="11">
        <f>+'SECURED LOANS'!BY122+'RETAIL CREDIT'!BZ103+'UCL LOANS'!BY114+'UNSECURED LOANS'!BZ104+'CAR FINANCE'!BY105</f>
        <v>3557</v>
      </c>
      <c r="BZ116" s="15">
        <f t="shared" si="126"/>
        <v>0.07826182618261826</v>
      </c>
      <c r="CA116" s="57"/>
      <c r="CB116" s="56"/>
      <c r="CC116" s="57"/>
      <c r="CD116" s="10">
        <f>+'SECURED LOANS'!CD122+'RETAIL CREDIT'!CE103+'UCL LOANS'!CD114+'UNSECURED LOANS'!CE104+'CAR FINANCE'!CD105</f>
        <v>21524102.909999974</v>
      </c>
      <c r="CE116" s="15">
        <f t="shared" si="113"/>
        <v>0.06497128013351519</v>
      </c>
      <c r="CF116" s="11">
        <f>+'SECURED LOANS'!CF122+'RETAIL CREDIT'!CG103+'UCL LOANS'!CF114+'UNSECURED LOANS'!CG104+'CAR FINANCE'!CF105</f>
        <v>3448</v>
      </c>
      <c r="CG116" s="15">
        <f t="shared" si="114"/>
        <v>0.061583525335333726</v>
      </c>
      <c r="CH116" s="57"/>
      <c r="CI116" s="56"/>
      <c r="CJ116" s="57"/>
      <c r="CK116" s="10">
        <f>+'SECURED LOANS'!CK122+'RETAIL CREDIT'!CL103+'UCL LOANS'!CK114+'UNSECURED LOANS'!CL104+'CAR FINANCE'!CK105</f>
        <v>20525404.449999984</v>
      </c>
      <c r="CL116" s="15">
        <f t="shared" si="115"/>
        <v>0.061956672849537583</v>
      </c>
      <c r="CM116" s="11">
        <f>+'SECURED LOANS'!CM122+'RETAIL CREDIT'!CN103+'UCL LOANS'!CM114+'UNSECURED LOANS'!CN104+'CAR FINANCE'!CM105</f>
        <v>3311</v>
      </c>
      <c r="CN116" s="15">
        <f t="shared" si="116"/>
        <v>0.05913661612102377</v>
      </c>
      <c r="CO116" s="57"/>
      <c r="CP116" s="56"/>
      <c r="CQ116" s="57"/>
    </row>
    <row r="117" spans="1:95" ht="12.75">
      <c r="A117" s="9">
        <v>1999</v>
      </c>
      <c r="B117" s="9"/>
      <c r="C117" s="9"/>
      <c r="D117" s="10">
        <f>+'SECURED LOANS'!D123+'RETAIL CREDIT'!D104+'UNSECURED LOANS'!D105+'CAR FINANCE'!D106</f>
        <v>55820425.15000001</v>
      </c>
      <c r="E117" s="15">
        <f t="shared" si="117"/>
        <v>0.14600550491745712</v>
      </c>
      <c r="F117" s="11">
        <f>+'SECURED LOANS'!F123+'RETAIL CREDIT'!F104+'UNSECURED LOANS'!F105+'CAR FINANCE'!F106</f>
        <v>11283</v>
      </c>
      <c r="G117" s="15">
        <f t="shared" si="118"/>
        <v>0.16498991021554119</v>
      </c>
      <c r="H117" s="15"/>
      <c r="I117" s="10">
        <f>+'SECURED LOANS'!J123+'RETAIL CREDIT'!J104+'UNSECURED LOANS'!J105+'CAR FINANCE'!I106</f>
        <v>49431355.70000005</v>
      </c>
      <c r="J117" s="15">
        <f t="shared" si="119"/>
        <v>0.1393817372875196</v>
      </c>
      <c r="K117" s="11">
        <f>+'SECURED LOANS'!L123+'RETAIL CREDIT'!L104+'UNSECURED LOANS'!L105+'CAR FINANCE'!K106</f>
        <v>10371</v>
      </c>
      <c r="L117" s="15">
        <f t="shared" si="120"/>
        <v>0.17052517346838106</v>
      </c>
      <c r="M117" s="57"/>
      <c r="N117" s="56"/>
      <c r="O117" s="57"/>
      <c r="P117" s="15"/>
      <c r="Q117" s="10">
        <f>+'SECURED LOANS'!R123+'RETAIL CREDIT'!R104+'UNSECURED LOANS'!R105+'CAR FINANCE'!Q106</f>
        <v>44166497.470000066</v>
      </c>
      <c r="R117" s="15">
        <f t="shared" si="121"/>
        <v>0.12347017051612624</v>
      </c>
      <c r="S117" s="11">
        <f>+'SECURED LOANS'!T123+'RETAIL CREDIT'!T104+'UNSECURED LOANS'!T105+'CAR FINANCE'!S106</f>
        <v>9750</v>
      </c>
      <c r="T117" s="15">
        <f t="shared" si="122"/>
        <v>0.15666677378924704</v>
      </c>
      <c r="U117" s="57"/>
      <c r="V117" s="56"/>
      <c r="W117" s="57"/>
      <c r="X117" s="15"/>
      <c r="Y117" s="10">
        <f>+'SECURED LOANS'!Y123+'RETAIL CREDIT'!Z104+'UNSECURED LOANS'!Z105+'CAR FINANCE'!Y106</f>
        <v>39460885.630000025</v>
      </c>
      <c r="Z117" s="15">
        <f t="shared" si="123"/>
        <v>0.11017298557353603</v>
      </c>
      <c r="AA117" s="11">
        <f>+'SECURED LOANS'!AA123+'RETAIL CREDIT'!AB104+'UNSECURED LOANS'!AB105+'CAR FINANCE'!AA106</f>
        <v>8209</v>
      </c>
      <c r="AB117" s="15">
        <f t="shared" si="124"/>
        <v>0.1349143739933603</v>
      </c>
      <c r="AC117" s="57"/>
      <c r="AD117" s="56"/>
      <c r="AE117" s="57"/>
      <c r="AF117" s="15"/>
      <c r="AG117" s="10">
        <f>+'SECURED LOANS'!AG123+'RETAIL CREDIT'!AH104+'UNSECURED LOANS'!AH105+'CAR FINANCE'!AG106</f>
        <v>35415597.60000007</v>
      </c>
      <c r="AH117" s="15">
        <f t="shared" si="101"/>
        <v>0.09297318994837588</v>
      </c>
      <c r="AI117" s="11">
        <f>+'SECURED LOANS'!AI123+'RETAIL CREDIT'!AJ104+'UNSECURED LOANS'!AJ105+'CAR FINANCE'!AI106</f>
        <v>7548</v>
      </c>
      <c r="AJ117" s="15">
        <f t="shared" si="102"/>
        <v>0.12064831686966529</v>
      </c>
      <c r="AK117" s="57"/>
      <c r="AL117" s="56"/>
      <c r="AM117" s="57"/>
      <c r="AN117" s="10">
        <f>+'SECURED LOANS'!AN123+'RETAIL CREDIT'!AO104+'UNSECURED LOANS'!AO105+'CAR FINANCE'!AN106</f>
        <v>31740052.83999995</v>
      </c>
      <c r="AO117" s="15">
        <f t="shared" si="103"/>
        <v>0.08349797627083641</v>
      </c>
      <c r="AP117" s="11">
        <f>+'SECURED LOANS'!AP123+'RETAIL CREDIT'!AQ104+'UNSECURED LOANS'!AQ105+'CAR FINANCE'!AP106</f>
        <v>6621</v>
      </c>
      <c r="AQ117" s="15">
        <f t="shared" si="104"/>
        <v>0.10645036817904113</v>
      </c>
      <c r="AR117" s="57"/>
      <c r="AS117" s="56"/>
      <c r="AT117" s="57"/>
      <c r="AU117" s="10">
        <f>+'SECURED LOANS'!AU123+'RETAIL CREDIT'!AV104+'UNSECURED LOANS'!AV105+'CAR FINANCE'!AU106</f>
        <v>28618901.23999995</v>
      </c>
      <c r="AV117" s="15">
        <f t="shared" si="105"/>
        <v>0.0749471264228858</v>
      </c>
      <c r="AW117" s="11">
        <f>+'SECURED LOANS'!AW123+'RETAIL CREDIT'!AX104+'UNSECURED LOANS'!AX105+'CAR FINANCE'!AW106</f>
        <v>5974</v>
      </c>
      <c r="AX117" s="15">
        <f t="shared" si="106"/>
        <v>0.09454775658779774</v>
      </c>
      <c r="AY117" s="57"/>
      <c r="AZ117" s="56"/>
      <c r="BA117" s="57"/>
      <c r="BB117" s="10">
        <f>+'SECURED LOANS'!BB123+'RETAIL CREDIT'!BC104+'UNSECURED LOANS'!BC105+'CAR FINANCE'!BB106</f>
        <v>25133634.739999894</v>
      </c>
      <c r="BC117" s="15">
        <f t="shared" si="107"/>
        <v>0.06964747992336087</v>
      </c>
      <c r="BD117" s="11">
        <f>+'SECURED LOANS'!BD123+'RETAIL CREDIT'!BE104+'UNSECURED LOANS'!BE105+'CAR FINANCE'!BD106</f>
        <v>5194</v>
      </c>
      <c r="BE117" s="15">
        <f t="shared" si="108"/>
        <v>0.0869769077482124</v>
      </c>
      <c r="BF117" s="57"/>
      <c r="BG117" s="56"/>
      <c r="BH117" s="57"/>
      <c r="BI117" s="10">
        <f>+'SECURED LOANS'!BI123+'RETAIL CREDIT'!BJ104+'UNSECURED LOANS'!BJ105+'CAR FINANCE'!BI106</f>
        <v>23005787.85000002</v>
      </c>
      <c r="BJ117" s="15">
        <f t="shared" si="109"/>
        <v>0.06375103179381934</v>
      </c>
      <c r="BK117" s="11">
        <f>+'SECURED LOANS'!BK123+'RETAIL CREDIT'!BL104+'UNSECURED LOANS'!BL105+'CAR FINANCE'!BK106</f>
        <v>4811</v>
      </c>
      <c r="BL117" s="15">
        <f t="shared" si="110"/>
        <v>0.08056332367667499</v>
      </c>
      <c r="BM117" s="57"/>
      <c r="BN117" s="56"/>
      <c r="BO117" s="57"/>
      <c r="BP117" s="10">
        <f>+'SECURED LOANS'!BP123+'RETAIL CREDIT'!BQ104+'UNSECURED LOANS'!BQ105+'CAR FINANCE'!BP106</f>
        <v>20823903.800000004</v>
      </c>
      <c r="BQ117" s="15">
        <f t="shared" si="111"/>
        <v>0.0612610226016256</v>
      </c>
      <c r="BR117" s="11">
        <f>+'SECURED LOANS'!BR123+'RETAIL CREDIT'!BS104+'UNSECURED LOANS'!BS105+'CAR FINANCE'!BR106</f>
        <v>4340</v>
      </c>
      <c r="BS117" s="15">
        <f t="shared" si="112"/>
        <v>0.08712585068154899</v>
      </c>
      <c r="BT117" s="57"/>
      <c r="BU117" s="56"/>
      <c r="BV117" s="57"/>
      <c r="BW117" s="10">
        <f>+'SECURED LOANS'!BW123+'RETAIL CREDIT'!BX104+'UNSECURED LOANS'!BX105+'CAR FINANCE'!BW106</f>
        <v>19210171.62000004</v>
      </c>
      <c r="BX117" s="15">
        <f t="shared" si="125"/>
        <v>0.05841500995475772</v>
      </c>
      <c r="BY117" s="11">
        <f>+'SECURED LOANS'!BY123+'RETAIL CREDIT'!BZ104+'UNSECURED LOANS'!BZ105+'CAR FINANCE'!BY106</f>
        <v>3883</v>
      </c>
      <c r="BZ117" s="15">
        <f t="shared" si="126"/>
        <v>0.08543454345434544</v>
      </c>
      <c r="CA117" s="57"/>
      <c r="CB117" s="56"/>
      <c r="CC117" s="57"/>
      <c r="CD117" s="10">
        <f>+'SECURED LOANS'!CD123+'RETAIL CREDIT'!CE104+'UNSECURED LOANS'!CE105+'CAR FINANCE'!CD106</f>
        <v>17802518.87999998</v>
      </c>
      <c r="CE117" s="15">
        <f t="shared" si="113"/>
        <v>0.05373754465266461</v>
      </c>
      <c r="CF117" s="11">
        <f>+'SECURED LOANS'!CF123+'RETAIL CREDIT'!CG104+'UNSECURED LOANS'!CG105+'CAR FINANCE'!CF106</f>
        <v>3418</v>
      </c>
      <c r="CG117" s="15">
        <f t="shared" si="114"/>
        <v>0.061047705799353445</v>
      </c>
      <c r="CH117" s="57"/>
      <c r="CI117" s="56"/>
      <c r="CJ117" s="57"/>
      <c r="CK117" s="10">
        <f>+'SECURED LOANS'!CK123+'RETAIL CREDIT'!CL104+'UNSECURED LOANS'!CL105+'CAR FINANCE'!CK106</f>
        <v>16645027.230000004</v>
      </c>
      <c r="CL117" s="15">
        <f t="shared" si="115"/>
        <v>0.05024361440345483</v>
      </c>
      <c r="CM117" s="11">
        <f>+'SECURED LOANS'!CM123+'RETAIL CREDIT'!CN104+'UNSECURED LOANS'!CN105+'CAR FINANCE'!CM106</f>
        <v>3069</v>
      </c>
      <c r="CN117" s="15">
        <f t="shared" si="116"/>
        <v>0.05481433853078283</v>
      </c>
      <c r="CO117" s="57"/>
      <c r="CP117" s="56"/>
      <c r="CQ117" s="57"/>
    </row>
    <row r="118" spans="1:95" ht="12.75">
      <c r="A118" s="9">
        <v>2000</v>
      </c>
      <c r="B118" s="9"/>
      <c r="C118" s="9"/>
      <c r="D118" s="10">
        <f>+'SECURED LOANS'!D124+'RETAIL CREDIT'!D105+'UNSECURED LOANS'!D106+'CAR FINANCE'!D107</f>
        <v>68353523.04999973</v>
      </c>
      <c r="E118" s="15">
        <f t="shared" si="117"/>
        <v>0.17878743522615848</v>
      </c>
      <c r="F118" s="11">
        <f>+'SECURED LOANS'!F124+'RETAIL CREDIT'!F105+'UNSECURED LOANS'!F106+'CAR FINANCE'!F107</f>
        <v>9783</v>
      </c>
      <c r="G118" s="15">
        <f t="shared" si="118"/>
        <v>0.14305559617465563</v>
      </c>
      <c r="H118" s="15"/>
      <c r="I118" s="10">
        <f>+'SECURED LOANS'!J124+'RETAIL CREDIT'!J105+'UNSECURED LOANS'!J106+'CAR FINANCE'!I107</f>
        <v>62637405.40000001</v>
      </c>
      <c r="J118" s="15">
        <f t="shared" si="119"/>
        <v>0.1766188739960991</v>
      </c>
      <c r="K118" s="11">
        <f>+'SECURED LOANS'!L124+'RETAIL CREDIT'!L105+'UNSECURED LOANS'!L106+'CAR FINANCE'!K107</f>
        <v>9177</v>
      </c>
      <c r="L118" s="15">
        <f t="shared" si="120"/>
        <v>0.15089282778124896</v>
      </c>
      <c r="M118" s="57"/>
      <c r="N118" s="56"/>
      <c r="O118" s="57"/>
      <c r="P118" s="15"/>
      <c r="Q118" s="10">
        <f>+'SECURED LOANS'!R124+'RETAIL CREDIT'!R105+'UNSECURED LOANS'!R106+'CAR FINANCE'!Q107</f>
        <v>57640120.200000145</v>
      </c>
      <c r="R118" s="15">
        <f t="shared" si="121"/>
        <v>0.16113651471906087</v>
      </c>
      <c r="S118" s="11">
        <f>+'SECURED LOANS'!T124+'RETAIL CREDIT'!T105+'UNSECURED LOANS'!T106+'CAR FINANCE'!S107</f>
        <v>8573</v>
      </c>
      <c r="T118" s="15">
        <f t="shared" si="122"/>
        <v>0.13775428222515024</v>
      </c>
      <c r="U118" s="57"/>
      <c r="V118" s="56"/>
      <c r="W118" s="57"/>
      <c r="X118" s="15"/>
      <c r="Y118" s="10">
        <f>+'SECURED LOANS'!Y124+'RETAIL CREDIT'!Z105+'UNSECURED LOANS'!Z106+'CAR FINANCE'!Y107</f>
        <v>53202878.29000007</v>
      </c>
      <c r="Z118" s="15">
        <f t="shared" si="123"/>
        <v>0.14853999976773374</v>
      </c>
      <c r="AA118" s="11">
        <f>+'SECURED LOANS'!AA124+'RETAIL CREDIT'!AB105+'UNSECURED LOANS'!AB106+'CAR FINANCE'!AA107</f>
        <v>8053</v>
      </c>
      <c r="AB118" s="15">
        <f t="shared" si="124"/>
        <v>0.13235052427439767</v>
      </c>
      <c r="AC118" s="57"/>
      <c r="AD118" s="56"/>
      <c r="AE118" s="57"/>
      <c r="AF118" s="15"/>
      <c r="AG118" s="10">
        <f>+'SECURED LOANS'!AG124+'RETAIL CREDIT'!AH105+'UNSECURED LOANS'!AH106+'CAR FINANCE'!AG107</f>
        <v>48674736.15000002</v>
      </c>
      <c r="AH118" s="15">
        <f t="shared" si="101"/>
        <v>0.127781141543155</v>
      </c>
      <c r="AI118" s="11">
        <f>+'SECURED LOANS'!AI124+'RETAIL CREDIT'!AJ105+'UNSECURED LOANS'!AJ106+'CAR FINANCE'!AI107</f>
        <v>7561</v>
      </c>
      <c r="AJ118" s="15">
        <f t="shared" si="102"/>
        <v>0.12085611073814775</v>
      </c>
      <c r="AK118" s="57"/>
      <c r="AL118" s="56"/>
      <c r="AM118" s="57"/>
      <c r="AN118" s="10">
        <f>+'SECURED LOANS'!AN124+'RETAIL CREDIT'!AO105+'UNSECURED LOANS'!AO106+'CAR FINANCE'!AN107</f>
        <v>44359347.940000005</v>
      </c>
      <c r="AO118" s="15">
        <f t="shared" si="103"/>
        <v>0.11669532500009229</v>
      </c>
      <c r="AP118" s="11">
        <f>+'SECURED LOANS'!AP124+'RETAIL CREDIT'!AQ105+'UNSECURED LOANS'!AQ106+'CAR FINANCE'!AP107</f>
        <v>6873</v>
      </c>
      <c r="AQ118" s="15">
        <f t="shared" si="104"/>
        <v>0.11050194540017363</v>
      </c>
      <c r="AR118" s="57"/>
      <c r="AS118" s="56"/>
      <c r="AT118" s="57"/>
      <c r="AU118" s="10">
        <f>+'SECURED LOANS'!AU124+'RETAIL CREDIT'!AV105+'UNSECURED LOANS'!AV106+'CAR FINANCE'!AU107</f>
        <v>40463413.89999998</v>
      </c>
      <c r="AV118" s="15">
        <f t="shared" si="105"/>
        <v>0.10596551459586569</v>
      </c>
      <c r="AW118" s="11">
        <f>+'SECURED LOANS'!AW124+'RETAIL CREDIT'!AX105+'UNSECURED LOANS'!AX106+'CAR FINANCE'!AW107</f>
        <v>6349</v>
      </c>
      <c r="AX118" s="15">
        <f t="shared" si="106"/>
        <v>0.10048270950383793</v>
      </c>
      <c r="AY118" s="57"/>
      <c r="AZ118" s="56"/>
      <c r="BA118" s="57"/>
      <c r="BB118" s="10">
        <f>+'SECURED LOANS'!BB124+'RETAIL CREDIT'!BC105+'UNSECURED LOANS'!BC106+'CAR FINANCE'!BB107</f>
        <v>36434914.089999914</v>
      </c>
      <c r="BC118" s="15">
        <f t="shared" si="107"/>
        <v>0.1009643043612027</v>
      </c>
      <c r="BD118" s="11">
        <f>+'SECURED LOANS'!BD124+'RETAIL CREDIT'!BE105+'UNSECURED LOANS'!BE106+'CAR FINANCE'!BD107</f>
        <v>5766</v>
      </c>
      <c r="BE118" s="15">
        <f t="shared" si="108"/>
        <v>0.0965554197297252</v>
      </c>
      <c r="BF118" s="57"/>
      <c r="BG118" s="56"/>
      <c r="BH118" s="57"/>
      <c r="BI118" s="10">
        <f>+'SECURED LOANS'!BI124+'RETAIL CREDIT'!BJ105+'UNSECURED LOANS'!BJ106+'CAR FINANCE'!BI107</f>
        <v>33473241.71000001</v>
      </c>
      <c r="BJ118" s="15">
        <f t="shared" si="109"/>
        <v>0.09275725354028284</v>
      </c>
      <c r="BK118" s="11">
        <f>+'SECURED LOANS'!BK124+'RETAIL CREDIT'!BL105+'UNSECURED LOANS'!BL106+'CAR FINANCE'!BK107</f>
        <v>5326</v>
      </c>
      <c r="BL118" s="15">
        <f t="shared" si="110"/>
        <v>0.08918733359009998</v>
      </c>
      <c r="BM118" s="57"/>
      <c r="BN118" s="56"/>
      <c r="BO118" s="57"/>
      <c r="BP118" s="10">
        <f>+'SECURED LOANS'!BP124+'RETAIL CREDIT'!BQ105+'UNSECURED LOANS'!BQ106+'CAR FINANCE'!BP107</f>
        <v>30699341.25000005</v>
      </c>
      <c r="BQ118" s="15">
        <f t="shared" si="111"/>
        <v>0.090313183168435</v>
      </c>
      <c r="BR118" s="11">
        <f>+'SECURED LOANS'!BR124+'RETAIL CREDIT'!BS105+'UNSECURED LOANS'!BS106+'CAR FINANCE'!BR107</f>
        <v>4970</v>
      </c>
      <c r="BS118" s="15">
        <f t="shared" si="112"/>
        <v>0.09977315158693514</v>
      </c>
      <c r="BT118" s="57"/>
      <c r="BU118" s="56"/>
      <c r="BV118" s="57"/>
      <c r="BW118" s="10">
        <f>+'SECURED LOANS'!BW124+'RETAIL CREDIT'!BX105+'UNSECURED LOANS'!BX106+'CAR FINANCE'!BW107</f>
        <v>28394252.100000013</v>
      </c>
      <c r="BX118" s="15">
        <f t="shared" si="125"/>
        <v>0.08634230614330127</v>
      </c>
      <c r="BY118" s="11">
        <f>+'SECURED LOANS'!BY124+'RETAIL CREDIT'!BZ105+'UNSECURED LOANS'!BZ106+'CAR FINANCE'!BY107</f>
        <v>4646</v>
      </c>
      <c r="BZ118" s="15">
        <f t="shared" si="126"/>
        <v>0.10222222222222223</v>
      </c>
      <c r="CA118" s="57"/>
      <c r="CB118" s="56"/>
      <c r="CC118" s="57"/>
      <c r="CD118" s="10">
        <f>+'SECURED LOANS'!CD124+'RETAIL CREDIT'!CE105+'UNSECURED LOANS'!CE106+'CAR FINANCE'!CD107</f>
        <v>26115717.640000038</v>
      </c>
      <c r="CE118" s="15">
        <f t="shared" si="113"/>
        <v>0.07883123462896642</v>
      </c>
      <c r="CF118" s="11">
        <f>+'SECURED LOANS'!CF124+'RETAIL CREDIT'!CG105+'UNSECURED LOANS'!CG106+'CAR FINANCE'!CF107</f>
        <v>4347</v>
      </c>
      <c r="CG118" s="15">
        <f t="shared" si="114"/>
        <v>0.07764025076354283</v>
      </c>
      <c r="CH118" s="57"/>
      <c r="CI118" s="56"/>
      <c r="CJ118" s="57"/>
      <c r="CK118" s="10">
        <f>+'SECURED LOANS'!CK124+'RETAIL CREDIT'!CL105+'UNSECURED LOANS'!CL106+'CAR FINANCE'!CK107</f>
        <v>25163167.39000002</v>
      </c>
      <c r="CL118" s="15">
        <f t="shared" si="115"/>
        <v>0.07595592737956425</v>
      </c>
      <c r="CM118" s="11">
        <f>+'SECURED LOANS'!CM124+'RETAIL CREDIT'!CN105+'UNSECURED LOANS'!CN106+'CAR FINANCE'!CM107</f>
        <v>4839</v>
      </c>
      <c r="CN118" s="15">
        <f t="shared" si="116"/>
        <v>0.08642769115361947</v>
      </c>
      <c r="CO118" s="57"/>
      <c r="CP118" s="56"/>
      <c r="CQ118" s="57"/>
    </row>
    <row r="119" spans="1:95" ht="12.75">
      <c r="A119" s="9">
        <v>2001</v>
      </c>
      <c r="B119" s="9"/>
      <c r="C119" s="9"/>
      <c r="D119" s="10">
        <f>+'SECURED LOANS'!D125+'RETAIL CREDIT'!D106+'UNSECURED LOANS'!D107+'CAR FINANCE'!D108</f>
        <v>86410555.0000001</v>
      </c>
      <c r="E119" s="15">
        <f t="shared" si="117"/>
        <v>0.22601792585903857</v>
      </c>
      <c r="F119" s="11">
        <f>+'SECURED LOANS'!F125+'RETAIL CREDIT'!F106+'UNSECURED LOANS'!F107+'CAR FINANCE'!F108</f>
        <v>16718</v>
      </c>
      <c r="G119" s="15">
        <f>+F119/$F$124</f>
        <v>0.2444652414236832</v>
      </c>
      <c r="H119" s="15"/>
      <c r="I119" s="10">
        <f>+'SECURED LOANS'!J125+'RETAIL CREDIT'!J106+'UCL LOANS'!J117+'UNSECURED LOANS'!J107+'CAR FINANCE'!I108</f>
        <v>77600223.11999974</v>
      </c>
      <c r="J119" s="15">
        <f t="shared" si="119"/>
        <v>0.2188095745948699</v>
      </c>
      <c r="K119" s="11">
        <f>+'SECURED LOANS'!L125+'RETAIL CREDIT'!L106+'UCL LOANS'!L117+'UNSECURED LOANS'!L107+'CAR FINANCE'!K108</f>
        <v>15804</v>
      </c>
      <c r="L119" s="15">
        <f t="shared" si="120"/>
        <v>0.2598572790950048</v>
      </c>
      <c r="M119" s="57"/>
      <c r="N119" s="56"/>
      <c r="O119" s="57"/>
      <c r="P119" s="15"/>
      <c r="Q119" s="10">
        <f>+'SECURED LOANS'!R125+'RETAIL CREDIT'!R106+'UCL LOANS'!R117+'UNSECURED LOANS'!R107+'CAR FINANCE'!Q108</f>
        <v>70082534.24000001</v>
      </c>
      <c r="R119" s="15">
        <f t="shared" si="121"/>
        <v>0.19592005136229435</v>
      </c>
      <c r="S119" s="11">
        <f>+'SECURED LOANS'!T125+'RETAIL CREDIT'!T106+'UCL LOANS'!T117+'UNSECURED LOANS'!T107+'CAR FINANCE'!S108</f>
        <v>13892</v>
      </c>
      <c r="T119" s="15">
        <f t="shared" si="122"/>
        <v>0.22322203297233023</v>
      </c>
      <c r="U119" s="57"/>
      <c r="V119" s="56"/>
      <c r="W119" s="57"/>
      <c r="X119" s="15"/>
      <c r="Y119" s="10">
        <f>+'SECURED LOANS'!Y125+'RETAIL CREDIT'!Z106+'UCL LOANS'!Z117+'UNSECURED LOANS'!Z107+'CAR FINANCE'!Y108</f>
        <v>62128315.14999983</v>
      </c>
      <c r="Z119" s="15">
        <f t="shared" si="123"/>
        <v>0.17345941074179147</v>
      </c>
      <c r="AA119" s="11">
        <f>+'SECURED LOANS'!AA125+'RETAIL CREDIT'!AB106+'UCL LOANS'!AB117+'UNSECURED LOANS'!AB107+'CAR FINANCE'!AA108</f>
        <v>11243</v>
      </c>
      <c r="AB119" s="15">
        <f t="shared" si="124"/>
        <v>0.1847779640403642</v>
      </c>
      <c r="AC119" s="57"/>
      <c r="AD119" s="56"/>
      <c r="AE119" s="57"/>
      <c r="AF119" s="15"/>
      <c r="AG119" s="10">
        <f>+'SECURED LOANS'!AG125+'RETAIL CREDIT'!AH106+'UCL LOANS'!AG117+'UNSECURED LOANS'!AH107+'CAR FINANCE'!AG108</f>
        <v>55540454.729999974</v>
      </c>
      <c r="AH119" s="15">
        <f t="shared" si="101"/>
        <v>0.14580505758376497</v>
      </c>
      <c r="AI119" s="11">
        <f>+'SECURED LOANS'!AI125+'RETAIL CREDIT'!AJ106+'UCL LOANS'!AI117+'UNSECURED LOANS'!AJ107+'CAR FINANCE'!AI108</f>
        <v>9513</v>
      </c>
      <c r="AJ119" s="15">
        <f t="shared" si="102"/>
        <v>0.15205715929797642</v>
      </c>
      <c r="AK119" s="57"/>
      <c r="AL119" s="56"/>
      <c r="AM119" s="57"/>
      <c r="AN119" s="10">
        <f>+'SECURED LOANS'!AN125+'RETAIL CREDIT'!AO106+'UCL LOANS'!AN117+'UNSECURED LOANS'!AO107+'CAR FINANCE'!AN108</f>
        <v>49478832.07999994</v>
      </c>
      <c r="AO119" s="15">
        <f t="shared" si="103"/>
        <v>0.1301630582579881</v>
      </c>
      <c r="AP119" s="11">
        <f>+'SECURED LOANS'!AP125+'RETAIL CREDIT'!AQ106+'UCL LOANS'!AP117+'UNSECURED LOANS'!AQ107+'CAR FINANCE'!AP108</f>
        <v>8612</v>
      </c>
      <c r="AQ119" s="15">
        <f t="shared" si="104"/>
        <v>0.13846104376346507</v>
      </c>
      <c r="AR119" s="57"/>
      <c r="AS119" s="56"/>
      <c r="AT119" s="57"/>
      <c r="AU119" s="10">
        <f>+'SECURED LOANS'!AU125+'RETAIL CREDIT'!AV106+'UCL LOANS'!AU117+'UNSECURED LOANS'!AV107+'CAR FINANCE'!AU108</f>
        <v>43664209.50000002</v>
      </c>
      <c r="AV119" s="15">
        <f t="shared" si="105"/>
        <v>0.11434775228120808</v>
      </c>
      <c r="AW119" s="11">
        <f>+'SECURED LOANS'!AW125+'RETAIL CREDIT'!AX106+'UCL LOANS'!AW117+'UNSECURED LOANS'!AX107+'CAR FINANCE'!AW108</f>
        <v>7647</v>
      </c>
      <c r="AX119" s="15">
        <f t="shared" si="106"/>
        <v>0.12102555986389174</v>
      </c>
      <c r="AY119" s="57"/>
      <c r="AZ119" s="56"/>
      <c r="BA119" s="57"/>
      <c r="BB119" s="10">
        <f>+'SECURED LOANS'!BB125+'RETAIL CREDIT'!BC106+'UCL LOANS'!BB117+'UNSECURED LOANS'!BC107+'CAR FINANCE'!BB108</f>
        <v>38714688.1899999</v>
      </c>
      <c r="BC119" s="15">
        <f t="shared" si="107"/>
        <v>0.10728175595553377</v>
      </c>
      <c r="BD119" s="11">
        <f>+'SECURED LOANS'!BD125+'RETAIL CREDIT'!BE106+'UCL LOANS'!BD117+'UNSECURED LOANS'!BE107+'CAR FINANCE'!BD108</f>
        <v>7032</v>
      </c>
      <c r="BE119" s="15">
        <f t="shared" si="108"/>
        <v>0.11775541303146508</v>
      </c>
      <c r="BF119" s="57"/>
      <c r="BG119" s="56"/>
      <c r="BH119" s="57"/>
      <c r="BI119" s="10">
        <f>+'SECURED LOANS'!BI125+'RETAIL CREDIT'!BJ106+'UCL LOANS'!BI117+'UNSECURED LOANS'!BJ107+'CAR FINANCE'!BI108</f>
        <v>34621642.330000065</v>
      </c>
      <c r="BJ119" s="15">
        <f t="shared" si="109"/>
        <v>0.0959395711776971</v>
      </c>
      <c r="BK119" s="11">
        <f>+'SECURED LOANS'!BK125+'RETAIL CREDIT'!BL106+'UCL LOANS'!BK117+'UNSECURED LOANS'!BL107+'CAR FINANCE'!BK108</f>
        <v>6128</v>
      </c>
      <c r="BL119" s="15">
        <f t="shared" si="110"/>
        <v>0.10261734514459869</v>
      </c>
      <c r="BM119" s="57"/>
      <c r="BN119" s="56"/>
      <c r="BO119" s="57"/>
      <c r="BP119" s="10">
        <f>+'SECURED LOANS'!BP125+'RETAIL CREDIT'!BQ106+'UCL LOANS'!BP117+'UNSECURED LOANS'!BQ107+'CAR FINANCE'!BP108</f>
        <v>30872985.000000034</v>
      </c>
      <c r="BQ119" s="15">
        <f t="shared" si="111"/>
        <v>0.09082401887895053</v>
      </c>
      <c r="BR119" s="11">
        <f>+'SECURED LOANS'!BR125+'RETAIL CREDIT'!BS106+'UCL LOANS'!BR117+'UNSECURED LOANS'!BS107+'CAR FINANCE'!BR108</f>
        <v>5595</v>
      </c>
      <c r="BS119" s="15">
        <f t="shared" si="112"/>
        <v>0.11232007708831028</v>
      </c>
      <c r="BT119" s="57"/>
      <c r="BU119" s="56"/>
      <c r="BV119" s="57"/>
      <c r="BW119" s="10">
        <f>+'SECURED LOANS'!BW125+'RETAIL CREDIT'!BX106+'UCL LOANS'!BW117+'UNSECURED LOANS'!BX107+'CAR FINANCE'!BW108</f>
        <v>27321271.470000103</v>
      </c>
      <c r="BX119" s="15">
        <f t="shared" si="125"/>
        <v>0.08307954642295334</v>
      </c>
      <c r="BY119" s="11">
        <f>+'SECURED LOANS'!BY125+'RETAIL CREDIT'!BZ106+'UCL LOANS'!BY117+'UNSECURED LOANS'!BZ107+'CAR FINANCE'!BY108</f>
        <v>5043</v>
      </c>
      <c r="BZ119" s="15">
        <f t="shared" si="126"/>
        <v>0.11095709570957096</v>
      </c>
      <c r="CA119" s="57"/>
      <c r="CB119" s="56"/>
      <c r="CC119" s="57"/>
      <c r="CD119" s="10">
        <f>+'SECURED LOANS'!CD125+'RETAIL CREDIT'!CE106+'UCL LOANS'!CD117+'UNSECURED LOANS'!CE107+'CAR FINANCE'!CD108</f>
        <v>24280997.710000087</v>
      </c>
      <c r="CE119" s="15">
        <f t="shared" si="113"/>
        <v>0.07329306641647433</v>
      </c>
      <c r="CF119" s="11">
        <f>+'SECURED LOANS'!CF125+'RETAIL CREDIT'!CG106+'UCL LOANS'!CF117+'UNSECURED LOANS'!CG107+'CAR FINANCE'!CF108</f>
        <v>4625</v>
      </c>
      <c r="CG119" s="15">
        <f t="shared" si="114"/>
        <v>0.08260551179696012</v>
      </c>
      <c r="CH119" s="57"/>
      <c r="CI119" s="56"/>
      <c r="CJ119" s="57"/>
      <c r="CK119" s="10">
        <f>+'SECURED LOANS'!CK125+'RETAIL CREDIT'!CL106+'UCL LOANS'!CK117+'UNSECURED LOANS'!CL107+'CAR FINANCE'!CK108</f>
        <v>23462459.77000003</v>
      </c>
      <c r="CL119" s="15">
        <f t="shared" si="115"/>
        <v>0.07082228015318498</v>
      </c>
      <c r="CM119" s="11">
        <f>+'SECURED LOANS'!CM125+'RETAIL CREDIT'!CN106+'UCL LOANS'!CM117+'UNSECURED LOANS'!CN107+'CAR FINANCE'!CM108</f>
        <v>4732</v>
      </c>
      <c r="CN119" s="15">
        <f t="shared" si="116"/>
        <v>0.08451660147528979</v>
      </c>
      <c r="CO119" s="57"/>
      <c r="CP119" s="56"/>
      <c r="CQ119" s="57"/>
    </row>
    <row r="120" spans="1:95" ht="12.75">
      <c r="A120" s="9">
        <v>2002</v>
      </c>
      <c r="B120" s="9"/>
      <c r="C120" s="9"/>
      <c r="D120" s="10">
        <v>0</v>
      </c>
      <c r="E120" s="15">
        <v>0</v>
      </c>
      <c r="F120" s="11">
        <v>0</v>
      </c>
      <c r="G120" s="15">
        <v>0</v>
      </c>
      <c r="H120" s="15"/>
      <c r="I120" s="10">
        <v>0</v>
      </c>
      <c r="J120" s="15">
        <v>0</v>
      </c>
      <c r="K120" s="11">
        <v>0</v>
      </c>
      <c r="L120" s="15">
        <v>0</v>
      </c>
      <c r="M120" s="57"/>
      <c r="N120" s="56"/>
      <c r="O120" s="57"/>
      <c r="P120" s="15"/>
      <c r="Q120" s="10">
        <f>+'SECURED LOANS'!R126+'RETAIL CREDIT'!R107+'UCL LOANS'!R118+'UNSECURED LOANS'!R108+'CAR FINANCE'!Q109</f>
        <v>26727142.039999995</v>
      </c>
      <c r="R120" s="15">
        <f t="shared" si="121"/>
        <v>0.07471737570607771</v>
      </c>
      <c r="S120" s="11">
        <f>+'SECURED LOANS'!T126+'RETAIL CREDIT'!T107+'UCL LOANS'!T118+'UNSECURED LOANS'!T108+'CAR FINANCE'!S109</f>
        <v>5721</v>
      </c>
      <c r="T120" s="15">
        <f t="shared" si="122"/>
        <v>0.09192724234341357</v>
      </c>
      <c r="U120" s="57"/>
      <c r="V120" s="56"/>
      <c r="W120" s="57"/>
      <c r="X120" s="15"/>
      <c r="Y120" s="10">
        <f>+'SECURED LOANS'!Y126+'RETAIL CREDIT'!Z107+'UCL LOANS'!Z118+'UNSECURED LOANS'!Z108+'CAR FINANCE'!Y109</f>
        <v>49453511.600000024</v>
      </c>
      <c r="Z120" s="15">
        <f t="shared" si="123"/>
        <v>0.1380719396709469</v>
      </c>
      <c r="AA120" s="11">
        <f>+'SECURED LOANS'!AA126+'RETAIL CREDIT'!AB107+'UCL LOANS'!AB118+'UNSECURED LOANS'!AB108+'CAR FINANCE'!AA109</f>
        <v>9281</v>
      </c>
      <c r="AB120" s="15">
        <f t="shared" si="124"/>
        <v>0.15253262334418038</v>
      </c>
      <c r="AC120" s="57"/>
      <c r="AD120" s="56"/>
      <c r="AE120" s="57"/>
      <c r="AF120" s="15"/>
      <c r="AG120" s="10">
        <f>+'SECURED LOANS'!AG126+'RETAIL CREDIT'!AH107+'UCL LOANS'!AG118+'UNSECURED LOANS'!AH108+'CAR FINANCE'!AG109</f>
        <v>92441868.35999995</v>
      </c>
      <c r="AH120" s="15">
        <f t="shared" si="101"/>
        <v>0.24267881861795879</v>
      </c>
      <c r="AI120" s="11">
        <f>+'SECURED LOANS'!AI126+'RETAIL CREDIT'!AJ107+'UCL LOANS'!AI118+'UNSECURED LOANS'!AJ108+'CAR FINANCE'!AI109</f>
        <v>14786</v>
      </c>
      <c r="AJ120" s="15">
        <f t="shared" si="102"/>
        <v>0.23634154918321026</v>
      </c>
      <c r="AK120" s="57"/>
      <c r="AL120" s="56"/>
      <c r="AM120" s="57"/>
      <c r="AN120" s="10">
        <f>+'SECURED LOANS'!AN126+'RETAIL CREDIT'!AO107+'UCL LOANS'!AN118+'UNSECURED LOANS'!AO108+'CAR FINANCE'!AN109</f>
        <v>97246622.38000004</v>
      </c>
      <c r="AO120" s="15">
        <f t="shared" si="103"/>
        <v>0.25582491021159387</v>
      </c>
      <c r="AP120" s="11">
        <f>+'SECURED LOANS'!AP126+'RETAIL CREDIT'!AQ107+'UCL LOANS'!AP118+'UNSECURED LOANS'!AQ108+'CAR FINANCE'!AP109</f>
        <v>16791</v>
      </c>
      <c r="AQ120" s="15">
        <f t="shared" si="104"/>
        <v>0.2699604488890318</v>
      </c>
      <c r="AR120" s="57"/>
      <c r="AS120" s="56"/>
      <c r="AT120" s="57"/>
      <c r="AU120" s="10">
        <f>+'SECURED LOANS'!AU126+'RETAIL CREDIT'!AV107+'UCL LOANS'!AU118+'UNSECURED LOANS'!AV108+'CAR FINANCE'!AU109</f>
        <v>82632285.27999993</v>
      </c>
      <c r="AV120" s="15">
        <f t="shared" si="105"/>
        <v>0.21639727813296478</v>
      </c>
      <c r="AW120" s="11">
        <f>+'SECURED LOANS'!AW126+'RETAIL CREDIT'!AX107+'UCL LOANS'!AW118+'UNSECURED LOANS'!AX108+'CAR FINANCE'!AW109</f>
        <v>13562</v>
      </c>
      <c r="AX120" s="15">
        <f t="shared" si="106"/>
        <v>0.2146395505262325</v>
      </c>
      <c r="AY120" s="57"/>
      <c r="AZ120" s="56"/>
      <c r="BA120" s="57"/>
      <c r="BB120" s="10">
        <f>+'SECURED LOANS'!BB126+'RETAIL CREDIT'!BC107+'UCL LOANS'!BB118+'UNSECURED LOANS'!BC108+'CAR FINANCE'!BB109</f>
        <v>67547302.03999999</v>
      </c>
      <c r="BC120" s="15">
        <f t="shared" si="107"/>
        <v>0.18717942754300215</v>
      </c>
      <c r="BD120" s="11">
        <f>+'SECURED LOANS'!BD126+'RETAIL CREDIT'!BE107+'UCL LOANS'!BD118+'UNSECURED LOANS'!BE108+'CAR FINANCE'!BD109</f>
        <v>11143</v>
      </c>
      <c r="BE120" s="15">
        <f t="shared" si="108"/>
        <v>0.186596781486009</v>
      </c>
      <c r="BF120" s="57"/>
      <c r="BG120" s="56"/>
      <c r="BH120" s="57"/>
      <c r="BI120" s="10">
        <f>+'SECURED LOANS'!BI126+'RETAIL CREDIT'!BJ107+'UCL LOANS'!BI118+'UNSECURED LOANS'!BJ108+'CAR FINANCE'!BI109</f>
        <v>55854617.11999999</v>
      </c>
      <c r="BJ120" s="15">
        <f t="shared" si="109"/>
        <v>0.15477798435182574</v>
      </c>
      <c r="BK120" s="11">
        <f>+'SECURED LOANS'!BK126+'RETAIL CREDIT'!BL107+'UCL LOANS'!BK118+'UNSECURED LOANS'!BL108+'CAR FINANCE'!BK109</f>
        <v>9321</v>
      </c>
      <c r="BL120" s="15">
        <f t="shared" si="110"/>
        <v>0.15608620660783362</v>
      </c>
      <c r="BM120" s="57"/>
      <c r="BN120" s="56"/>
      <c r="BO120" s="57"/>
      <c r="BP120" s="10">
        <f>+'SECURED LOANS'!BP126+'RETAIL CREDIT'!BQ107+'UCL LOANS'!BP118+'UNSECURED LOANS'!BQ108+'CAR FINANCE'!BP109</f>
        <v>46764151.53999998</v>
      </c>
      <c r="BQ120" s="15">
        <f t="shared" si="111"/>
        <v>0.13757361597289855</v>
      </c>
      <c r="BR120" s="11">
        <f>+'SECURED LOANS'!BR126+'RETAIL CREDIT'!BS107+'UCL LOANS'!BR118+'UNSECURED LOANS'!BS108+'CAR FINANCE'!BR109</f>
        <v>8072</v>
      </c>
      <c r="BS120" s="15">
        <f t="shared" si="112"/>
        <v>0.16204605223536026</v>
      </c>
      <c r="BT120" s="57"/>
      <c r="BU120" s="56"/>
      <c r="BV120" s="57"/>
      <c r="BW120" s="10">
        <f>+'SECURED LOANS'!BW126+'RETAIL CREDIT'!BX107+'UCL LOANS'!BW118+'UNSECURED LOANS'!BX108+'CAR FINANCE'!BW109</f>
        <v>38567596.099999964</v>
      </c>
      <c r="BX120" s="15">
        <f t="shared" si="125"/>
        <v>0.11727779192597179</v>
      </c>
      <c r="BY120" s="11">
        <f>+'SECURED LOANS'!BY126+'RETAIL CREDIT'!BZ107+'UCL LOANS'!BY118+'UNSECURED LOANS'!BZ108+'CAR FINANCE'!BY109</f>
        <v>7039</v>
      </c>
      <c r="BZ120" s="15">
        <f t="shared" si="126"/>
        <v>0.15487348734873488</v>
      </c>
      <c r="CA120" s="57"/>
      <c r="CB120" s="56"/>
      <c r="CC120" s="57"/>
      <c r="CD120" s="10">
        <f>+'SECURED LOANS'!CD126+'RETAIL CREDIT'!CE107+'UCL LOANS'!CD118+'UNSECURED LOANS'!CE108+'CAR FINANCE'!CD109</f>
        <v>31278164.29000004</v>
      </c>
      <c r="CE120" s="15">
        <f t="shared" si="113"/>
        <v>0.09441426584164693</v>
      </c>
      <c r="CF120" s="11">
        <f>+'SECURED LOANS'!CF126+'RETAIL CREDIT'!CG107+'UCL LOANS'!CF118+'UNSECURED LOANS'!CG108+'CAR FINANCE'!CF109</f>
        <v>5937</v>
      </c>
      <c r="CG120" s="15">
        <f t="shared" si="114"/>
        <v>0.10603868617049778</v>
      </c>
      <c r="CH120" s="57"/>
      <c r="CI120" s="56"/>
      <c r="CJ120" s="57"/>
      <c r="CK120" s="10">
        <f>+'SECURED LOANS'!CK126+'RETAIL CREDIT'!CL107+'UCL LOANS'!CK118+'UNSECURED LOANS'!CL108+'CAR FINANCE'!CK109</f>
        <v>30388717.39000003</v>
      </c>
      <c r="CL120" s="15">
        <f t="shared" si="115"/>
        <v>0.09172943832779319</v>
      </c>
      <c r="CM120" s="11">
        <f>+'SECURED LOANS'!CM126+'RETAIL CREDIT'!CN107+'UCL LOANS'!CM118+'UNSECURED LOANS'!CN108+'CAR FINANCE'!CM109</f>
        <v>6052</v>
      </c>
      <c r="CN120" s="15">
        <f t="shared" si="116"/>
        <v>0.10809266105842219</v>
      </c>
      <c r="CO120" s="57"/>
      <c r="CP120" s="56"/>
      <c r="CQ120" s="57"/>
    </row>
    <row r="121" spans="1:95" ht="12.75">
      <c r="A121" s="9">
        <v>2003</v>
      </c>
      <c r="B121" s="9"/>
      <c r="C121" s="9"/>
      <c r="D121" s="10"/>
      <c r="E121" s="15"/>
      <c r="F121" s="11"/>
      <c r="G121" s="15"/>
      <c r="H121" s="15"/>
      <c r="I121" s="10"/>
      <c r="J121" s="15"/>
      <c r="K121" s="11"/>
      <c r="L121" s="15"/>
      <c r="M121" s="57"/>
      <c r="N121" s="56"/>
      <c r="O121" s="57"/>
      <c r="P121" s="15"/>
      <c r="Q121" s="10"/>
      <c r="R121" s="15"/>
      <c r="S121" s="11"/>
      <c r="T121" s="15"/>
      <c r="U121" s="57"/>
      <c r="V121" s="56"/>
      <c r="W121" s="57"/>
      <c r="X121" s="15"/>
      <c r="Y121" s="10"/>
      <c r="Z121" s="15"/>
      <c r="AA121" s="11"/>
      <c r="AB121" s="15"/>
      <c r="AC121" s="57"/>
      <c r="AD121" s="56"/>
      <c r="AE121" s="57"/>
      <c r="AF121" s="15"/>
      <c r="AG121" s="10"/>
      <c r="AH121" s="15"/>
      <c r="AI121" s="11"/>
      <c r="AJ121" s="15"/>
      <c r="AK121" s="57"/>
      <c r="AL121" s="56"/>
      <c r="AM121" s="57"/>
      <c r="AN121" s="10">
        <f>+'SECURED LOANS'!AN127+'RETAIL CREDIT'!AO108+'CAR FINANCE'!AN110</f>
        <v>13463494.879999999</v>
      </c>
      <c r="AO121" s="15">
        <f t="shared" si="103"/>
        <v>0.03541816964450804</v>
      </c>
      <c r="AP121" s="11">
        <f>+'SECURED LOANS'!AP127+'RETAIL CREDIT'!AQ108+'CAR FINANCE'!AP110</f>
        <v>2219</v>
      </c>
      <c r="AQ121" s="15">
        <f t="shared" si="104"/>
        <v>0.03567638830830573</v>
      </c>
      <c r="AR121" s="57"/>
      <c r="AS121" s="56"/>
      <c r="AT121" s="57"/>
      <c r="AU121" s="10">
        <f>+'SECURED LOANS'!AU127+'RETAIL CREDIT'!AV108+'CAR FINANCE'!AU110</f>
        <v>46732491.03000005</v>
      </c>
      <c r="AV121" s="15">
        <f t="shared" si="105"/>
        <v>0.12238296236147872</v>
      </c>
      <c r="AW121" s="11">
        <f>+'SECURED LOANS'!AW127+'RETAIL CREDIT'!AX108+'CAR FINANCE'!AW110</f>
        <v>9229</v>
      </c>
      <c r="AX121" s="15">
        <f t="shared" si="106"/>
        <v>0.14606314789902666</v>
      </c>
      <c r="AY121" s="57"/>
      <c r="AZ121" s="56"/>
      <c r="BA121" s="57"/>
      <c r="BB121" s="10">
        <f>+'SECURED LOANS'!BB127+'RETAIL CREDIT'!BC108+'CAR FINANCE'!BB110</f>
        <v>69160926.17000009</v>
      </c>
      <c r="BC121" s="15">
        <f t="shared" si="107"/>
        <v>0.1916509198424893</v>
      </c>
      <c r="BD121" s="11">
        <f>+'SECURED LOANS'!BD127+'RETAIL CREDIT'!BE108+'CAR FINANCE'!BD110</f>
        <v>12829</v>
      </c>
      <c r="BE121" s="15">
        <f t="shared" si="108"/>
        <v>0.21482994792102753</v>
      </c>
      <c r="BF121" s="57"/>
      <c r="BG121" s="56"/>
      <c r="BH121" s="57"/>
      <c r="BI121" s="10">
        <f>+'SECURED LOANS'!BI127+'RETAIL CREDIT'!BJ108+'CAR FINANCE'!BI110</f>
        <v>76715667.73000002</v>
      </c>
      <c r="BJ121" s="15">
        <f t="shared" si="109"/>
        <v>0.21258576339255028</v>
      </c>
      <c r="BK121" s="11">
        <f>+'SECURED LOANS'!BK127+'RETAIL CREDIT'!BL108+'CAR FINANCE'!BK110</f>
        <v>12680</v>
      </c>
      <c r="BL121" s="15">
        <f t="shared" si="110"/>
        <v>0.21233484602374533</v>
      </c>
      <c r="BM121" s="57"/>
      <c r="BN121" s="56"/>
      <c r="BO121" s="57"/>
      <c r="BP121" s="10">
        <f>+'SECURED LOANS'!BP127+'RETAIL CREDIT'!BQ108+'CAR FINANCE'!BP110</f>
        <v>96732600.9299998</v>
      </c>
      <c r="BQ121" s="15">
        <f t="shared" si="111"/>
        <v>0.28457382961434663</v>
      </c>
      <c r="BR121" s="11">
        <f>+'SECURED LOANS'!BR127+'RETAIL CREDIT'!BS108+'CAR FINANCE'!BR110</f>
        <v>10776</v>
      </c>
      <c r="BS121" s="15">
        <f t="shared" si="112"/>
        <v>0.21632907072450966</v>
      </c>
      <c r="BT121" s="57"/>
      <c r="BU121" s="56"/>
      <c r="BV121" s="57"/>
      <c r="BW121" s="10">
        <f>+'SECURED LOANS'!BW127+'RETAIL CREDIT'!BX108+'CAR FINANCE'!BW110</f>
        <v>100547788.80000037</v>
      </c>
      <c r="BX121" s="15">
        <f t="shared" si="125"/>
        <v>0.3057494852136509</v>
      </c>
      <c r="BY121" s="11">
        <f>+'SECURED LOANS'!BY127+'RETAIL CREDIT'!BZ108+'CAR FINANCE'!BY110</f>
        <v>9009</v>
      </c>
      <c r="BZ121" s="15">
        <f t="shared" si="126"/>
        <v>0.19821782178217823</v>
      </c>
      <c r="CA121" s="57"/>
      <c r="CB121" s="56"/>
      <c r="CC121" s="57"/>
      <c r="CD121" s="10">
        <f>+'SECURED LOANS'!CD127+'RETAIL CREDIT'!CE108+'CAR FINANCE'!CD110</f>
        <v>85959316.20999992</v>
      </c>
      <c r="CE121" s="15">
        <f t="shared" si="113"/>
        <v>0.25947129303914507</v>
      </c>
      <c r="CF121" s="11">
        <f>+'SECURED LOANS'!CF127+'RETAIL CREDIT'!CG108+'CAR FINANCE'!CF110</f>
        <v>9529</v>
      </c>
      <c r="CG121" s="15">
        <f t="shared" si="114"/>
        <v>0.17019414527853685</v>
      </c>
      <c r="CH121" s="57"/>
      <c r="CI121" s="56"/>
      <c r="CJ121" s="57"/>
      <c r="CK121" s="10">
        <f>+'SECURED LOANS'!CK127+'RETAIL CREDIT'!CL108+'CAR FINANCE'!CK110</f>
        <v>78251334.78000014</v>
      </c>
      <c r="CL121" s="15">
        <f t="shared" si="115"/>
        <v>0.23620447337904293</v>
      </c>
      <c r="CM121" s="11">
        <f>+'SECURED LOANS'!CM127+'RETAIL CREDIT'!CN108+'CAR FINANCE'!CM110</f>
        <v>8438</v>
      </c>
      <c r="CN121" s="15">
        <f t="shared" si="116"/>
        <v>0.15070817482005394</v>
      </c>
      <c r="CO121" s="57"/>
      <c r="CP121" s="56"/>
      <c r="CQ121" s="57"/>
    </row>
    <row r="122" spans="1:95" ht="12.75">
      <c r="A122" s="9">
        <v>2004</v>
      </c>
      <c r="B122" s="9"/>
      <c r="C122" s="9"/>
      <c r="D122" s="10"/>
      <c r="E122" s="15"/>
      <c r="F122" s="11"/>
      <c r="G122" s="15"/>
      <c r="H122" s="15"/>
      <c r="I122" s="10"/>
      <c r="J122" s="15"/>
      <c r="K122" s="11"/>
      <c r="L122" s="15"/>
      <c r="M122" s="57"/>
      <c r="N122" s="56"/>
      <c r="O122" s="57"/>
      <c r="P122" s="15"/>
      <c r="Q122" s="10"/>
      <c r="R122" s="15"/>
      <c r="S122" s="11"/>
      <c r="T122" s="15"/>
      <c r="U122" s="57"/>
      <c r="V122" s="56"/>
      <c r="W122" s="57"/>
      <c r="X122" s="15"/>
      <c r="Y122" s="10"/>
      <c r="Z122" s="15"/>
      <c r="AA122" s="11"/>
      <c r="AB122" s="15"/>
      <c r="AC122" s="57"/>
      <c r="AD122" s="56"/>
      <c r="AE122" s="57"/>
      <c r="AF122" s="15"/>
      <c r="AG122" s="10"/>
      <c r="AH122" s="15"/>
      <c r="AI122" s="11"/>
      <c r="AJ122" s="15"/>
      <c r="AK122" s="57"/>
      <c r="AL122" s="56"/>
      <c r="AM122" s="57"/>
      <c r="AN122" s="10"/>
      <c r="AO122" s="15"/>
      <c r="AP122" s="11"/>
      <c r="AQ122" s="15"/>
      <c r="AR122" s="57"/>
      <c r="AS122" s="56"/>
      <c r="AT122" s="57"/>
      <c r="AU122" s="10"/>
      <c r="AV122" s="15"/>
      <c r="AW122" s="11"/>
      <c r="AX122" s="15"/>
      <c r="AY122" s="57"/>
      <c r="AZ122" s="56"/>
      <c r="BA122" s="57"/>
      <c r="BB122" s="10"/>
      <c r="BC122" s="15"/>
      <c r="BD122" s="11"/>
      <c r="BE122" s="15"/>
      <c r="BF122" s="57"/>
      <c r="BG122" s="56"/>
      <c r="BH122" s="57"/>
      <c r="BI122" s="10"/>
      <c r="BJ122" s="15"/>
      <c r="BK122" s="11"/>
      <c r="BL122" s="15"/>
      <c r="BM122" s="57"/>
      <c r="BN122" s="56"/>
      <c r="BO122" s="57"/>
      <c r="BP122" s="10">
        <f>+'SECURED LOANS'!BP128+'RETAIL CREDIT'!BQ110+'CAR FINANCE'!BP112</f>
        <v>192951.34</v>
      </c>
      <c r="BQ122" s="15">
        <f t="shared" si="111"/>
        <v>0.0005676359492572157</v>
      </c>
      <c r="BR122" s="11">
        <f>+'SECURED LOANS'!BR128+'RETAIL CREDIT'!BS110+'CAR FINANCE'!BR112</f>
        <v>20</v>
      </c>
      <c r="BS122" s="15">
        <f t="shared" si="112"/>
        <v>0.00040150161604400456</v>
      </c>
      <c r="BT122" s="57"/>
      <c r="BU122" s="56"/>
      <c r="BV122" s="57"/>
      <c r="BW122" s="10">
        <f>+'SECURED LOANS'!BW128+'RETAIL CREDIT'!BX110+'CAR FINANCE'!BW111</f>
        <v>4119759.92</v>
      </c>
      <c r="BX122" s="15">
        <f t="shared" si="125"/>
        <v>0.0125275203938033</v>
      </c>
      <c r="BY122" s="11">
        <f>+'SECURED LOANS'!BY128+'RETAIL CREDIT'!BZ110+'CAR FINANCE'!BY111</f>
        <v>279</v>
      </c>
      <c r="BZ122" s="15">
        <f t="shared" si="126"/>
        <v>0.006138613861386139</v>
      </c>
      <c r="CA122" s="57"/>
      <c r="CB122" s="56"/>
      <c r="CC122" s="57"/>
      <c r="CD122" s="10">
        <f>+'SECURED LOANS'!CD128+'RETAIL CREDIT'!CE109+'CAR FINANCE'!CD111</f>
        <v>42513613.95000003</v>
      </c>
      <c r="CE122" s="15">
        <f t="shared" si="113"/>
        <v>0.128328875446432</v>
      </c>
      <c r="CF122" s="11">
        <f>+'SECURED LOANS'!CF128+'RETAIL CREDIT'!CG109+'CAR FINANCE'!CF111</f>
        <v>13350</v>
      </c>
      <c r="CG122" s="15">
        <f t="shared" si="114"/>
        <v>0.23843969351122543</v>
      </c>
      <c r="CH122" s="57"/>
      <c r="CI122" s="56"/>
      <c r="CJ122" s="57"/>
      <c r="CK122" s="10">
        <f>+'SECURED LOANS'!CK128+'RETAIL CREDIT'!CL109+'CAR FINANCE'!CK111</f>
        <v>58964433.610000014</v>
      </c>
      <c r="CL122" s="15">
        <f t="shared" si="115"/>
        <v>0.17798626730266706</v>
      </c>
      <c r="CM122" s="11">
        <f>+'SECURED LOANS'!CM128+'RETAIL CREDIT'!CN109+'CAR FINANCE'!CM111</f>
        <v>14277</v>
      </c>
      <c r="CN122" s="15">
        <f t="shared" si="116"/>
        <v>0.25499651717301614</v>
      </c>
      <c r="CO122" s="57"/>
      <c r="CP122" s="56"/>
      <c r="CQ122" s="57"/>
    </row>
    <row r="123" spans="1:95" ht="12.75">
      <c r="A123" s="9"/>
      <c r="B123" s="9"/>
      <c r="C123" s="9"/>
      <c r="D123" s="10"/>
      <c r="E123" s="9"/>
      <c r="F123" s="11"/>
      <c r="G123" s="9"/>
      <c r="H123" s="9"/>
      <c r="I123" s="10"/>
      <c r="J123" s="9"/>
      <c r="K123" s="11"/>
      <c r="L123" s="9"/>
      <c r="M123" s="55"/>
      <c r="N123" s="56"/>
      <c r="O123" s="55"/>
      <c r="P123" s="9"/>
      <c r="Q123" s="10"/>
      <c r="R123" s="9"/>
      <c r="S123" s="11"/>
      <c r="T123" s="9"/>
      <c r="U123" s="55"/>
      <c r="V123" s="56"/>
      <c r="W123" s="55"/>
      <c r="X123" s="9"/>
      <c r="Y123" s="10"/>
      <c r="Z123" s="9"/>
      <c r="AA123" s="11"/>
      <c r="AB123" s="9"/>
      <c r="AC123" s="55"/>
      <c r="AD123" s="56"/>
      <c r="AE123" s="55"/>
      <c r="AF123" s="9"/>
      <c r="AG123" s="10"/>
      <c r="AH123" s="9"/>
      <c r="AI123" s="11"/>
      <c r="AJ123" s="9"/>
      <c r="AK123" s="55"/>
      <c r="AL123" s="56"/>
      <c r="AM123" s="55"/>
      <c r="AN123" s="10"/>
      <c r="AO123" s="15"/>
      <c r="AP123" s="11"/>
      <c r="AQ123" s="15"/>
      <c r="AR123" s="55"/>
      <c r="AS123" s="56"/>
      <c r="AT123" s="55"/>
      <c r="AU123" s="10"/>
      <c r="AV123" s="15"/>
      <c r="AW123" s="11"/>
      <c r="AX123" s="15"/>
      <c r="AY123" s="55"/>
      <c r="AZ123" s="56"/>
      <c r="BA123" s="55"/>
      <c r="BB123" s="10"/>
      <c r="BC123" s="15"/>
      <c r="BD123" s="11"/>
      <c r="BE123" s="15"/>
      <c r="BF123" s="55"/>
      <c r="BG123" s="56"/>
      <c r="BH123" s="55"/>
      <c r="BI123" s="10"/>
      <c r="BJ123" s="15"/>
      <c r="BK123" s="11"/>
      <c r="BL123" s="15"/>
      <c r="BM123" s="55"/>
      <c r="BN123" s="56"/>
      <c r="BO123" s="55"/>
      <c r="BP123" s="10"/>
      <c r="BQ123" s="15"/>
      <c r="BR123" s="11"/>
      <c r="BS123" s="15"/>
      <c r="BT123" s="55"/>
      <c r="BU123" s="56"/>
      <c r="BV123" s="55"/>
      <c r="BW123" s="10"/>
      <c r="BX123" s="15"/>
      <c r="BY123" s="11"/>
      <c r="BZ123" s="15"/>
      <c r="CA123" s="55"/>
      <c r="CB123" s="56"/>
      <c r="CC123" s="55"/>
      <c r="CD123" s="10"/>
      <c r="CE123" s="15"/>
      <c r="CF123" s="11"/>
      <c r="CG123" s="15"/>
      <c r="CH123" s="55"/>
      <c r="CI123" s="56"/>
      <c r="CJ123" s="55"/>
      <c r="CK123" s="10"/>
      <c r="CL123" s="15"/>
      <c r="CM123" s="11"/>
      <c r="CN123" s="15"/>
      <c r="CO123" s="55"/>
      <c r="CP123" s="56"/>
      <c r="CQ123" s="55"/>
    </row>
    <row r="124" spans="1:95" ht="13.5" thickBot="1">
      <c r="A124" s="9"/>
      <c r="B124" s="9"/>
      <c r="C124" s="9"/>
      <c r="D124" s="22">
        <f>SUM(D104:D123)</f>
        <v>382317263.8699998</v>
      </c>
      <c r="E124" s="9"/>
      <c r="F124" s="23">
        <f>SUM(F104:F123)</f>
        <v>68386</v>
      </c>
      <c r="G124" s="9"/>
      <c r="H124" s="9"/>
      <c r="I124" s="22">
        <f>SUM(I104:I123)</f>
        <v>354647292.1199999</v>
      </c>
      <c r="J124" s="9"/>
      <c r="K124" s="23">
        <f>SUM(K104:K123)</f>
        <v>60818</v>
      </c>
      <c r="L124" s="9"/>
      <c r="M124" s="55"/>
      <c r="N124" s="32"/>
      <c r="O124" s="55"/>
      <c r="P124" s="9"/>
      <c r="Q124" s="22">
        <f>SUM(Q104:Q123)</f>
        <v>357709860.4900003</v>
      </c>
      <c r="R124" s="9"/>
      <c r="S124" s="23">
        <f>SUM(S104:S123)</f>
        <v>62234</v>
      </c>
      <c r="T124" s="9"/>
      <c r="U124" s="55"/>
      <c r="V124" s="32"/>
      <c r="W124" s="55"/>
      <c r="X124" s="9"/>
      <c r="Y124" s="22">
        <f>SUM(Y104:Y123)</f>
        <v>358172063.9099997</v>
      </c>
      <c r="Z124" s="9"/>
      <c r="AA124" s="23">
        <f>SUM(AA104:AA123)</f>
        <v>60846</v>
      </c>
      <c r="AB124" s="9"/>
      <c r="AC124" s="55"/>
      <c r="AD124" s="32"/>
      <c r="AE124" s="55"/>
      <c r="AF124" s="9"/>
      <c r="AG124" s="22">
        <f>SUM(AG104:AG123)</f>
        <v>380922689.8600001</v>
      </c>
      <c r="AH124" s="9"/>
      <c r="AI124" s="23">
        <f>SUM(AI104:AI123)</f>
        <v>62562</v>
      </c>
      <c r="AJ124" s="9"/>
      <c r="AK124" s="55"/>
      <c r="AL124" s="32"/>
      <c r="AM124" s="55"/>
      <c r="AN124" s="22">
        <f>SUM(AN104:AN123)</f>
        <v>380129606.21999997</v>
      </c>
      <c r="AO124" s="15"/>
      <c r="AP124" s="23">
        <f>SUM(AP104:AP123)</f>
        <v>62198</v>
      </c>
      <c r="AQ124" s="15"/>
      <c r="AR124" s="55"/>
      <c r="AS124" s="32"/>
      <c r="AT124" s="55"/>
      <c r="AU124" s="22">
        <f>SUM(AU104:AU123)</f>
        <v>381854550.07999986</v>
      </c>
      <c r="AV124" s="15"/>
      <c r="AW124" s="23">
        <f>SUM(AW104:AW123)</f>
        <v>63185</v>
      </c>
      <c r="AX124" s="15"/>
      <c r="AY124" s="55"/>
      <c r="AZ124" s="32"/>
      <c r="BA124" s="55"/>
      <c r="BB124" s="22">
        <f>SUM(BB104:BB123)</f>
        <v>360869262.8599998</v>
      </c>
      <c r="BC124" s="15"/>
      <c r="BD124" s="23">
        <f>SUM(BD104:BD123)</f>
        <v>59717</v>
      </c>
      <c r="BE124" s="15"/>
      <c r="BF124" s="55"/>
      <c r="BG124" s="32"/>
      <c r="BH124" s="55"/>
      <c r="BI124" s="22">
        <f>SUM(BI104:BI123)</f>
        <v>343991119.43</v>
      </c>
      <c r="BJ124" s="15"/>
      <c r="BK124" s="23">
        <f>SUM(BK104:BK123)</f>
        <v>55288</v>
      </c>
      <c r="BL124" s="15"/>
      <c r="BM124" s="55"/>
      <c r="BN124" s="32"/>
      <c r="BO124" s="55"/>
      <c r="BP124" s="22">
        <f>SUM(BP104:BP123)</f>
        <v>339920930.3999998</v>
      </c>
      <c r="BQ124" s="15"/>
      <c r="BR124" s="23">
        <f>SUM(BR104:BR123)</f>
        <v>49813</v>
      </c>
      <c r="BS124" s="15"/>
      <c r="BT124" s="55"/>
      <c r="BU124" s="32"/>
      <c r="BV124" s="55"/>
      <c r="BW124" s="22">
        <f>SUM(BW104:BW123)</f>
        <v>328856772.1700005</v>
      </c>
      <c r="BX124" s="15"/>
      <c r="BY124" s="23">
        <f>SUM(BY104:BY123)</f>
        <v>45450</v>
      </c>
      <c r="BZ124" s="15"/>
      <c r="CA124" s="55"/>
      <c r="CB124" s="32"/>
      <c r="CC124" s="55"/>
      <c r="CD124" s="22">
        <f>SUM(CD104:CD123)</f>
        <v>331286421.72000015</v>
      </c>
      <c r="CE124" s="15"/>
      <c r="CF124" s="23">
        <f>SUM(CF104:CF123)</f>
        <v>55989</v>
      </c>
      <c r="CG124" s="105"/>
      <c r="CH124" s="55"/>
      <c r="CI124" s="32"/>
      <c r="CJ124" s="55"/>
      <c r="CK124" s="22">
        <f>SUM(CK104:CK123)</f>
        <v>330666497.9600003</v>
      </c>
      <c r="CL124" s="15"/>
      <c r="CM124" s="23">
        <f>SUM(CM104:CM123)</f>
        <v>55375</v>
      </c>
      <c r="CN124" s="105"/>
      <c r="CO124" s="55"/>
      <c r="CP124" s="32"/>
      <c r="CQ124" s="55"/>
    </row>
    <row r="125" spans="1:95" ht="13.5" thickTop="1">
      <c r="A125" s="9"/>
      <c r="B125" s="9"/>
      <c r="C125" s="9"/>
      <c r="D125" s="10"/>
      <c r="E125" s="9"/>
      <c r="F125" s="11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15"/>
      <c r="AP125" s="9"/>
      <c r="AQ125" s="15"/>
      <c r="AR125" s="9"/>
      <c r="AS125" s="9"/>
      <c r="AT125" s="9"/>
      <c r="AU125" s="9"/>
      <c r="AV125" s="15"/>
      <c r="AW125" s="9"/>
      <c r="AX125" s="15"/>
      <c r="AY125" s="9"/>
      <c r="AZ125" s="9"/>
      <c r="BA125" s="9"/>
      <c r="BB125" s="9"/>
      <c r="BC125" s="15"/>
      <c r="BD125" s="9"/>
      <c r="BE125" s="15"/>
      <c r="BF125" s="9"/>
      <c r="BG125" s="9"/>
      <c r="BH125" s="9"/>
      <c r="BI125" s="9"/>
      <c r="BJ125" s="15"/>
      <c r="BK125" s="9"/>
      <c r="BL125" s="15"/>
      <c r="BM125" s="9"/>
      <c r="BN125" s="9"/>
      <c r="BO125" s="9"/>
      <c r="BP125" s="9"/>
      <c r="BQ125" s="15"/>
      <c r="BR125" s="9"/>
      <c r="BS125" s="15"/>
      <c r="BT125" s="9"/>
      <c r="BU125" s="9"/>
      <c r="BV125" s="9"/>
      <c r="BW125" s="9"/>
      <c r="BX125" s="15"/>
      <c r="BY125" s="9"/>
      <c r="BZ125" s="15"/>
      <c r="CA125" s="9"/>
      <c r="CB125" s="9"/>
      <c r="CC125" s="9"/>
      <c r="CD125" s="9"/>
      <c r="CE125" s="15"/>
      <c r="CF125" s="9"/>
      <c r="CG125" s="15"/>
      <c r="CH125" s="9"/>
      <c r="CI125" s="9"/>
      <c r="CJ125" s="9"/>
      <c r="CK125" s="9"/>
      <c r="CL125" s="15"/>
      <c r="CM125" s="9"/>
      <c r="CN125" s="15"/>
      <c r="CO125" s="9"/>
      <c r="CP125" s="9"/>
      <c r="CQ125" s="9"/>
    </row>
    <row r="126" spans="1:95" ht="12.75">
      <c r="A126" s="13" t="s">
        <v>100</v>
      </c>
      <c r="B126" s="9"/>
      <c r="C126" s="9"/>
      <c r="D126" s="10"/>
      <c r="E126" s="9"/>
      <c r="F126" s="11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5"/>
      <c r="AP126" s="9"/>
      <c r="AQ126" s="15"/>
      <c r="AR126" s="9"/>
      <c r="AS126" s="9"/>
      <c r="AT126" s="9"/>
      <c r="AU126" s="9"/>
      <c r="AV126" s="15"/>
      <c r="AW126" s="9"/>
      <c r="AX126" s="15"/>
      <c r="AY126" s="9"/>
      <c r="AZ126" s="9"/>
      <c r="BA126" s="9"/>
      <c r="BB126" s="9"/>
      <c r="BC126" s="15"/>
      <c r="BD126" s="9"/>
      <c r="BE126" s="15"/>
      <c r="BF126" s="9"/>
      <c r="BG126" s="9"/>
      <c r="BH126" s="9"/>
      <c r="BI126" s="9"/>
      <c r="BJ126" s="15"/>
      <c r="BK126" s="9"/>
      <c r="BL126" s="15"/>
      <c r="BM126" s="9"/>
      <c r="BN126" s="9"/>
      <c r="BO126" s="9"/>
      <c r="BP126" s="9"/>
      <c r="BQ126" s="15"/>
      <c r="BR126" s="9"/>
      <c r="BS126" s="15"/>
      <c r="BT126" s="9"/>
      <c r="BU126" s="9"/>
      <c r="BV126" s="9"/>
      <c r="BW126" s="9"/>
      <c r="BX126" s="15"/>
      <c r="BY126" s="9"/>
      <c r="BZ126" s="15"/>
      <c r="CA126" s="9"/>
      <c r="CB126" s="9"/>
      <c r="CC126" s="9"/>
      <c r="CD126" s="9"/>
      <c r="CE126" s="15"/>
      <c r="CF126" s="9"/>
      <c r="CG126" s="15"/>
      <c r="CH126" s="9"/>
      <c r="CI126" s="9"/>
      <c r="CJ126" s="9"/>
      <c r="CK126" s="9"/>
      <c r="CL126" s="15"/>
      <c r="CM126" s="9"/>
      <c r="CN126" s="15"/>
      <c r="CO126" s="9"/>
      <c r="CP126" s="9"/>
      <c r="CQ126" s="9"/>
    </row>
    <row r="127" spans="1:95" ht="12.75">
      <c r="A127" s="13" t="s">
        <v>131</v>
      </c>
      <c r="B127" s="9"/>
      <c r="C127" s="9"/>
      <c r="D127" s="10"/>
      <c r="E127" s="9"/>
      <c r="F127" s="1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15"/>
      <c r="AP127" s="9"/>
      <c r="AQ127" s="15"/>
      <c r="AR127" s="9"/>
      <c r="AS127" s="9"/>
      <c r="AT127" s="9"/>
      <c r="AU127" s="9"/>
      <c r="AV127" s="15"/>
      <c r="AW127" s="9"/>
      <c r="AX127" s="15"/>
      <c r="AY127" s="9"/>
      <c r="AZ127" s="9"/>
      <c r="BA127" s="9"/>
      <c r="BB127" s="9"/>
      <c r="BC127" s="15"/>
      <c r="BD127" s="9"/>
      <c r="BE127" s="15"/>
      <c r="BF127" s="9"/>
      <c r="BG127" s="9"/>
      <c r="BH127" s="9"/>
      <c r="BI127" s="9"/>
      <c r="BJ127" s="15"/>
      <c r="BK127" s="9"/>
      <c r="BL127" s="15"/>
      <c r="BM127" s="9"/>
      <c r="BN127" s="9"/>
      <c r="BO127" s="9"/>
      <c r="BP127" s="9"/>
      <c r="BQ127" s="15"/>
      <c r="BR127" s="9"/>
      <c r="BS127" s="15"/>
      <c r="BT127" s="9"/>
      <c r="BU127" s="9"/>
      <c r="BV127" s="9"/>
      <c r="BW127" s="9"/>
      <c r="BX127" s="15"/>
      <c r="BY127" s="9"/>
      <c r="BZ127" s="15"/>
      <c r="CA127" s="9"/>
      <c r="CB127" s="9"/>
      <c r="CC127" s="9"/>
      <c r="CD127" s="9"/>
      <c r="CE127" s="15"/>
      <c r="CF127" s="9"/>
      <c r="CG127" s="15"/>
      <c r="CH127" s="9"/>
      <c r="CI127" s="9"/>
      <c r="CJ127" s="9"/>
      <c r="CK127" s="9"/>
      <c r="CL127" s="15"/>
      <c r="CM127" s="9"/>
      <c r="CN127" s="15"/>
      <c r="CO127" s="9"/>
      <c r="CP127" s="9"/>
      <c r="CQ127" s="9"/>
    </row>
    <row r="128" spans="1:85" ht="12.75">
      <c r="A128" s="13"/>
      <c r="B128" s="9"/>
      <c r="C128" s="9"/>
      <c r="D128" s="10"/>
      <c r="E128" s="10"/>
      <c r="F128" s="11"/>
      <c r="G128" s="10"/>
      <c r="H128" s="10"/>
      <c r="I128" s="9"/>
      <c r="J128" s="9"/>
      <c r="K128" s="9"/>
      <c r="L128" s="9"/>
      <c r="M128" s="9"/>
      <c r="N128" s="9"/>
      <c r="O128" s="9"/>
      <c r="P128" s="10"/>
      <c r="Q128" s="9"/>
      <c r="R128" s="9"/>
      <c r="S128" s="9"/>
      <c r="T128" s="9"/>
      <c r="U128" s="9"/>
      <c r="V128" s="9"/>
      <c r="W128" s="9"/>
      <c r="AO128" s="103"/>
      <c r="AQ128" s="103"/>
      <c r="AV128" s="103"/>
      <c r="AX128" s="103"/>
      <c r="BC128" s="103"/>
      <c r="BE128" s="103"/>
      <c r="BQ128" s="103"/>
      <c r="BS128" s="103"/>
      <c r="CG128" s="103"/>
    </row>
    <row r="129" spans="1:85" ht="12.75">
      <c r="A129" s="9"/>
      <c r="B129" s="9"/>
      <c r="C129" s="9"/>
      <c r="D129" s="10"/>
      <c r="E129" s="9"/>
      <c r="F129" s="11"/>
      <c r="G129" s="9"/>
      <c r="H129" s="9"/>
      <c r="AO129" s="103"/>
      <c r="AQ129" s="103"/>
      <c r="AV129" s="103"/>
      <c r="AX129" s="103"/>
      <c r="BC129" s="103"/>
      <c r="BE129" s="103"/>
      <c r="BQ129" s="103"/>
      <c r="BS129" s="103"/>
      <c r="CG129" s="103"/>
    </row>
    <row r="130" spans="1:85" s="1" customFormat="1" ht="12.75">
      <c r="A130"/>
      <c r="D130" s="5"/>
      <c r="E130" s="6"/>
      <c r="F130" s="4"/>
      <c r="G130" s="6"/>
      <c r="H130" s="6"/>
      <c r="AO130" s="6"/>
      <c r="AQ130" s="6"/>
      <c r="AV130" s="6"/>
      <c r="AX130" s="6"/>
      <c r="BC130" s="6"/>
      <c r="BE130" s="6"/>
      <c r="BQ130" s="6"/>
      <c r="BS130" s="6"/>
      <c r="CG130" s="6"/>
    </row>
    <row r="131" spans="1:85" ht="12.75">
      <c r="A131" s="1"/>
      <c r="AO131" s="103"/>
      <c r="AQ131" s="103"/>
      <c r="AV131" s="103"/>
      <c r="AX131" s="103"/>
      <c r="BC131" s="103"/>
      <c r="BE131" s="103"/>
      <c r="BQ131" s="103"/>
      <c r="BS131" s="103"/>
      <c r="CG131" s="103"/>
    </row>
    <row r="132" spans="41:85" ht="12.75">
      <c r="AO132" s="103"/>
      <c r="AQ132" s="103"/>
      <c r="AV132" s="103"/>
      <c r="AX132" s="103"/>
      <c r="BC132" s="103"/>
      <c r="BE132" s="103"/>
      <c r="BQ132" s="103"/>
      <c r="BS132" s="103"/>
      <c r="CG132" s="103"/>
    </row>
    <row r="133" spans="41:85" ht="12.75">
      <c r="AO133" s="103"/>
      <c r="AQ133" s="103"/>
      <c r="AV133" s="103"/>
      <c r="AX133" s="103"/>
      <c r="BC133" s="103"/>
      <c r="BE133" s="103"/>
      <c r="BQ133" s="103"/>
      <c r="BS133" s="103"/>
      <c r="CG133" s="103"/>
    </row>
    <row r="134" spans="41:85" ht="12.75">
      <c r="AO134" s="103"/>
      <c r="AQ134" s="103"/>
      <c r="AV134" s="103"/>
      <c r="AX134" s="103"/>
      <c r="BC134" s="103"/>
      <c r="BE134" s="103"/>
      <c r="BQ134" s="103"/>
      <c r="BS134" s="103"/>
      <c r="CG134" s="103"/>
    </row>
    <row r="135" spans="41:85" ht="12.75">
      <c r="AO135" s="103"/>
      <c r="AQ135" s="103"/>
      <c r="AV135" s="103"/>
      <c r="AX135" s="103"/>
      <c r="BC135" s="103"/>
      <c r="BE135" s="103"/>
      <c r="BQ135" s="103"/>
      <c r="BS135" s="103"/>
      <c r="CG135" s="103"/>
    </row>
    <row r="136" spans="41:85" ht="12.75">
      <c r="AO136" s="103"/>
      <c r="AQ136" s="103"/>
      <c r="AV136" s="103"/>
      <c r="AX136" s="103"/>
      <c r="BC136" s="103"/>
      <c r="BE136" s="103"/>
      <c r="BQ136" s="103"/>
      <c r="BS136" s="103"/>
      <c r="CG136" s="103"/>
    </row>
    <row r="137" spans="41:85" ht="12.75">
      <c r="AO137" s="103"/>
      <c r="AQ137" s="103"/>
      <c r="AV137" s="103"/>
      <c r="AX137" s="103"/>
      <c r="BC137" s="103"/>
      <c r="BE137" s="103"/>
      <c r="BQ137" s="103"/>
      <c r="BS137" s="103"/>
      <c r="CG137" s="103"/>
    </row>
    <row r="138" spans="41:85" ht="12.75">
      <c r="AO138" s="103"/>
      <c r="AQ138" s="103"/>
      <c r="AV138" s="103"/>
      <c r="AX138" s="103"/>
      <c r="BC138" s="103"/>
      <c r="BE138" s="103"/>
      <c r="BQ138" s="103"/>
      <c r="BS138" s="103"/>
      <c r="CG138" s="103"/>
    </row>
    <row r="139" spans="41:85" ht="12.75">
      <c r="AO139" s="103"/>
      <c r="AQ139" s="103"/>
      <c r="AV139" s="103"/>
      <c r="AX139" s="103"/>
      <c r="BC139" s="103"/>
      <c r="BE139" s="103"/>
      <c r="BQ139" s="103"/>
      <c r="BS139" s="103"/>
      <c r="CG139" s="103"/>
    </row>
    <row r="140" spans="69:85" ht="12.75">
      <c r="BQ140" s="103"/>
      <c r="BS140" s="103"/>
      <c r="CG140" s="103"/>
    </row>
    <row r="141" spans="69:85" ht="12.75">
      <c r="BQ141" s="103"/>
      <c r="BS141" s="103"/>
      <c r="CG141" s="103"/>
    </row>
    <row r="142" spans="69:85" ht="12.75">
      <c r="BQ142" s="103"/>
      <c r="BS142" s="103"/>
      <c r="CG142" s="103"/>
    </row>
    <row r="143" spans="69:85" ht="12.75">
      <c r="BQ143" s="103"/>
      <c r="BS143" s="103"/>
      <c r="CG143" s="103"/>
    </row>
    <row r="144" spans="69:85" ht="12.75">
      <c r="BQ144" s="103"/>
      <c r="BS144" s="103"/>
      <c r="CG144" s="103"/>
    </row>
    <row r="145" spans="69:85" ht="12.75">
      <c r="BQ145" s="103"/>
      <c r="BS145" s="103"/>
      <c r="CG145" s="103"/>
    </row>
    <row r="146" spans="69:85" ht="12.75">
      <c r="BQ146" s="103"/>
      <c r="BS146" s="103"/>
      <c r="CG146" s="103"/>
    </row>
    <row r="147" spans="69:85" ht="12.75">
      <c r="BQ147" s="103"/>
      <c r="BS147" s="103"/>
      <c r="CG147" s="103"/>
    </row>
    <row r="148" spans="69:85" ht="12.75">
      <c r="BQ148" s="103"/>
      <c r="BS148" s="103"/>
      <c r="CG148" s="103"/>
    </row>
    <row r="149" spans="69:71" ht="12.75">
      <c r="BQ149" s="103"/>
      <c r="BS149" s="103"/>
    </row>
    <row r="150" spans="69:71" ht="12.75">
      <c r="BQ150" s="103"/>
      <c r="BS150" s="103"/>
    </row>
    <row r="151" spans="69:71" ht="12.75">
      <c r="BQ151" s="103"/>
      <c r="BS151" s="103"/>
    </row>
    <row r="152" spans="69:71" ht="12.75">
      <c r="BQ152" s="103"/>
      <c r="BS152" s="103"/>
    </row>
    <row r="153" spans="69:71" ht="12.75">
      <c r="BQ153" s="103"/>
      <c r="BS153" s="103"/>
    </row>
    <row r="154" spans="69:71" ht="12.75">
      <c r="BQ154" s="103"/>
      <c r="BS154" s="103"/>
    </row>
    <row r="155" spans="69:71" ht="12.75">
      <c r="BQ155" s="103"/>
      <c r="BS155" s="103"/>
    </row>
    <row r="156" spans="69:71" ht="12.75">
      <c r="BQ156" s="103"/>
      <c r="BS156" s="103"/>
    </row>
    <row r="157" spans="69:71" ht="12.75">
      <c r="BQ157" s="103"/>
      <c r="BS157" s="103"/>
    </row>
    <row r="158" spans="69:71" ht="12.75">
      <c r="BQ158" s="103"/>
      <c r="BS158" s="103"/>
    </row>
    <row r="159" spans="69:71" ht="12.75">
      <c r="BQ159" s="103"/>
      <c r="BS159" s="103"/>
    </row>
    <row r="160" spans="69:71" ht="12.75">
      <c r="BQ160" s="103"/>
      <c r="BS160" s="103"/>
    </row>
    <row r="161" spans="69:71" ht="12.75">
      <c r="BQ161" s="103"/>
      <c r="BS161" s="103"/>
    </row>
    <row r="162" spans="69:71" ht="12.75">
      <c r="BQ162" s="103"/>
      <c r="BS162" s="103"/>
    </row>
  </sheetData>
  <mergeCells count="26">
    <mergeCell ref="Y1:AE1"/>
    <mergeCell ref="Y3:AE3"/>
    <mergeCell ref="BI1:BO1"/>
    <mergeCell ref="BI3:BO3"/>
    <mergeCell ref="AU1:BA1"/>
    <mergeCell ref="AU3:BA3"/>
    <mergeCell ref="BB1:BH1"/>
    <mergeCell ref="BB3:BH3"/>
    <mergeCell ref="Q1:W1"/>
    <mergeCell ref="Q3:W3"/>
    <mergeCell ref="A1:G1"/>
    <mergeCell ref="A3:G3"/>
    <mergeCell ref="I1:O1"/>
    <mergeCell ref="I3:O3"/>
    <mergeCell ref="BP1:BV1"/>
    <mergeCell ref="BP3:BV3"/>
    <mergeCell ref="AG1:AM1"/>
    <mergeCell ref="AG3:AM3"/>
    <mergeCell ref="AN1:AT1"/>
    <mergeCell ref="AN3:AT3"/>
    <mergeCell ref="CK1:CQ1"/>
    <mergeCell ref="CK3:CQ3"/>
    <mergeCell ref="BW1:CC1"/>
    <mergeCell ref="BW3:CC3"/>
    <mergeCell ref="CD1:CJ1"/>
    <mergeCell ref="CD3:CJ3"/>
  </mergeCells>
  <printOptions/>
  <pageMargins left="0" right="0" top="0" bottom="0" header="0.5118110236220472" footer="0.5118110236220472"/>
  <pageSetup horizontalDpi="600" verticalDpi="600" orientation="portrait" paperSize="9" scale="21" r:id="rId1"/>
  <colBreaks count="3" manualBreakCount="3">
    <brk id="23" max="126" man="1"/>
    <brk id="46" max="126" man="1"/>
    <brk id="67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158"/>
  <sheetViews>
    <sheetView view="pageBreakPreview" zoomScale="60" workbookViewId="0" topLeftCell="CD1">
      <selection activeCell="CK1" sqref="CK1:CQ1"/>
    </sheetView>
  </sheetViews>
  <sheetFormatPr defaultColWidth="9.140625" defaultRowHeight="12.75"/>
  <cols>
    <col min="1" max="1" width="24.7109375" style="0" customWidth="1"/>
    <col min="3" max="3" width="16.57421875" style="0" customWidth="1"/>
    <col min="4" max="4" width="28.57421875" style="2" customWidth="1"/>
    <col min="5" max="5" width="12.8515625" style="0" customWidth="1"/>
    <col min="6" max="6" width="12.57421875" style="3" bestFit="1" customWidth="1"/>
    <col min="7" max="7" width="13.7109375" style="0" customWidth="1"/>
    <col min="10" max="10" width="42.57421875" style="0" customWidth="1"/>
    <col min="11" max="11" width="16.28125" style="0" customWidth="1"/>
    <col min="12" max="12" width="14.140625" style="0" customWidth="1"/>
    <col min="13" max="13" width="13.8515625" style="35" customWidth="1"/>
    <col min="14" max="14" width="14.140625" style="0" customWidth="1"/>
    <col min="15" max="15" width="17.8515625" style="0" customWidth="1"/>
    <col min="16" max="16" width="9.140625" style="0" hidden="1" customWidth="1"/>
    <col min="18" max="18" width="32.57421875" style="0" customWidth="1"/>
    <col min="19" max="19" width="13.7109375" style="0" customWidth="1"/>
    <col min="20" max="20" width="13.421875" style="0" customWidth="1"/>
    <col min="21" max="21" width="15.57421875" style="0" customWidth="1"/>
    <col min="22" max="22" width="13.00390625" style="0" customWidth="1"/>
    <col min="23" max="23" width="18.140625" style="0" customWidth="1"/>
    <col min="25" max="25" width="27.7109375" style="0" customWidth="1"/>
    <col min="26" max="26" width="14.28125" style="0" customWidth="1"/>
    <col min="27" max="27" width="14.140625" style="0" bestFit="1" customWidth="1"/>
    <col min="28" max="28" width="19.140625" style="0" customWidth="1"/>
    <col min="29" max="29" width="12.421875" style="0" customWidth="1"/>
    <col min="33" max="33" width="38.421875" style="0" customWidth="1"/>
    <col min="34" max="34" width="17.7109375" style="0" customWidth="1"/>
    <col min="35" max="35" width="19.421875" style="0" customWidth="1"/>
    <col min="36" max="36" width="19.28125" style="0" customWidth="1"/>
    <col min="40" max="40" width="27.7109375" style="0" customWidth="1"/>
    <col min="41" max="41" width="20.8515625" style="0" customWidth="1"/>
    <col min="42" max="42" width="17.28125" style="0" customWidth="1"/>
    <col min="43" max="43" width="15.140625" style="0" customWidth="1"/>
    <col min="47" max="47" width="29.57421875" style="0" customWidth="1"/>
    <col min="48" max="48" width="18.140625" style="0" customWidth="1"/>
    <col min="49" max="49" width="16.00390625" style="0" customWidth="1"/>
    <col min="50" max="50" width="17.421875" style="0" customWidth="1"/>
    <col min="54" max="54" width="27.28125" style="0" customWidth="1"/>
    <col min="55" max="55" width="16.8515625" style="0" customWidth="1"/>
    <col min="56" max="56" width="15.8515625" style="0" customWidth="1"/>
    <col min="57" max="57" width="15.28125" style="0" customWidth="1"/>
    <col min="58" max="58" width="13.00390625" style="0" customWidth="1"/>
    <col min="61" max="61" width="28.7109375" style="0" customWidth="1"/>
    <col min="62" max="62" width="23.140625" style="0" customWidth="1"/>
    <col min="63" max="63" width="14.140625" style="0" bestFit="1" customWidth="1"/>
    <col min="64" max="64" width="13.421875" style="0" bestFit="1" customWidth="1"/>
    <col min="68" max="68" width="35.8515625" style="0" customWidth="1"/>
    <col min="69" max="69" width="14.57421875" style="0" customWidth="1"/>
    <col min="70" max="70" width="14.140625" style="0" bestFit="1" customWidth="1"/>
    <col min="71" max="71" width="16.00390625" style="0" customWidth="1"/>
    <col min="75" max="75" width="31.140625" style="0" customWidth="1"/>
    <col min="76" max="76" width="17.140625" style="0" customWidth="1"/>
    <col min="77" max="77" width="14.140625" style="0" bestFit="1" customWidth="1"/>
    <col min="78" max="78" width="13.421875" style="0" customWidth="1"/>
    <col min="79" max="79" width="10.8515625" style="0" customWidth="1"/>
    <col min="82" max="82" width="35.28125" style="0" customWidth="1"/>
    <col min="83" max="83" width="15.8515625" style="0" customWidth="1"/>
    <col min="84" max="84" width="16.00390625" style="0" customWidth="1"/>
    <col min="85" max="85" width="15.8515625" style="0" customWidth="1"/>
    <col min="89" max="89" width="30.00390625" style="0" customWidth="1"/>
    <col min="90" max="90" width="16.7109375" style="0" customWidth="1"/>
    <col min="91" max="91" width="18.421875" style="0" customWidth="1"/>
    <col min="92" max="92" width="17.7109375" style="0" customWidth="1"/>
  </cols>
  <sheetData>
    <row r="1" spans="1:95" ht="33.75">
      <c r="A1" s="107" t="s">
        <v>102</v>
      </c>
      <c r="B1" s="107"/>
      <c r="C1" s="107"/>
      <c r="D1" s="107"/>
      <c r="E1" s="107"/>
      <c r="F1" s="107"/>
      <c r="G1" s="107"/>
      <c r="H1" s="9"/>
      <c r="I1" s="9"/>
      <c r="J1" s="107" t="s">
        <v>102</v>
      </c>
      <c r="K1" s="107"/>
      <c r="L1" s="107"/>
      <c r="M1" s="107"/>
      <c r="N1" s="107"/>
      <c r="O1" s="107"/>
      <c r="P1" s="107"/>
      <c r="Q1" s="9"/>
      <c r="R1" s="107" t="s">
        <v>102</v>
      </c>
      <c r="S1" s="107"/>
      <c r="T1" s="107"/>
      <c r="U1" s="107"/>
      <c r="V1" s="107"/>
      <c r="W1" s="107"/>
      <c r="X1" s="107"/>
      <c r="Y1" s="107" t="s">
        <v>102</v>
      </c>
      <c r="Z1" s="107"/>
      <c r="AA1" s="107"/>
      <c r="AB1" s="107"/>
      <c r="AC1" s="107"/>
      <c r="AD1" s="107"/>
      <c r="AE1" s="107"/>
      <c r="AF1" s="107"/>
      <c r="AG1" s="107" t="s">
        <v>102</v>
      </c>
      <c r="AH1" s="107"/>
      <c r="AI1" s="107"/>
      <c r="AJ1" s="107"/>
      <c r="AK1" s="107"/>
      <c r="AL1" s="107"/>
      <c r="AM1" s="107"/>
      <c r="AN1" s="107" t="s">
        <v>102</v>
      </c>
      <c r="AO1" s="107"/>
      <c r="AP1" s="107"/>
      <c r="AQ1" s="107"/>
      <c r="AR1" s="107"/>
      <c r="AS1" s="107"/>
      <c r="AT1" s="107"/>
      <c r="AU1" s="107" t="s">
        <v>102</v>
      </c>
      <c r="AV1" s="107"/>
      <c r="AW1" s="107"/>
      <c r="AX1" s="107"/>
      <c r="AY1" s="107"/>
      <c r="AZ1" s="107"/>
      <c r="BA1" s="107"/>
      <c r="BB1" s="107" t="s">
        <v>102</v>
      </c>
      <c r="BC1" s="107"/>
      <c r="BD1" s="107"/>
      <c r="BE1" s="107"/>
      <c r="BF1" s="107"/>
      <c r="BG1" s="107"/>
      <c r="BH1" s="107"/>
      <c r="BI1" s="107" t="s">
        <v>102</v>
      </c>
      <c r="BJ1" s="107"/>
      <c r="BK1" s="107"/>
      <c r="BL1" s="107"/>
      <c r="BM1" s="107"/>
      <c r="BN1" s="107"/>
      <c r="BO1" s="107"/>
      <c r="BP1" s="107" t="s">
        <v>102</v>
      </c>
      <c r="BQ1" s="107"/>
      <c r="BR1" s="107"/>
      <c r="BS1" s="107"/>
      <c r="BT1" s="107"/>
      <c r="BU1" s="107"/>
      <c r="BV1" s="107"/>
      <c r="BW1" s="107" t="s">
        <v>102</v>
      </c>
      <c r="BX1" s="107"/>
      <c r="BY1" s="107"/>
      <c r="BZ1" s="107"/>
      <c r="CA1" s="107"/>
      <c r="CB1" s="107"/>
      <c r="CC1" s="107"/>
      <c r="CD1" s="107" t="s">
        <v>102</v>
      </c>
      <c r="CE1" s="107"/>
      <c r="CF1" s="107"/>
      <c r="CG1" s="107"/>
      <c r="CH1" s="107"/>
      <c r="CI1" s="107"/>
      <c r="CJ1" s="107"/>
      <c r="CK1" s="107" t="s">
        <v>102</v>
      </c>
      <c r="CL1" s="107"/>
      <c r="CM1" s="107"/>
      <c r="CN1" s="107"/>
      <c r="CO1" s="107"/>
      <c r="CP1" s="107"/>
      <c r="CQ1" s="107"/>
    </row>
    <row r="2" spans="1:95" ht="12.75">
      <c r="A2" s="9"/>
      <c r="B2" s="9"/>
      <c r="C2" s="9"/>
      <c r="D2" s="10"/>
      <c r="E2" s="9"/>
      <c r="F2" s="11"/>
      <c r="G2" s="9"/>
      <c r="H2" s="9"/>
      <c r="I2" s="9"/>
      <c r="J2" s="55"/>
      <c r="K2" s="55"/>
      <c r="L2" s="55"/>
      <c r="M2" s="64"/>
      <c r="N2" s="55"/>
      <c r="O2" s="56"/>
      <c r="P2" s="55"/>
      <c r="Q2" s="9"/>
      <c r="R2" s="55"/>
      <c r="S2" s="55"/>
      <c r="T2" s="55"/>
      <c r="U2" s="64"/>
      <c r="V2" s="55"/>
      <c r="W2" s="56"/>
      <c r="X2" s="55"/>
      <c r="Y2" s="55"/>
      <c r="Z2" s="55"/>
      <c r="AA2" s="55"/>
      <c r="AB2" s="64"/>
      <c r="AC2" s="55"/>
      <c r="AD2" s="56"/>
      <c r="AE2" s="56"/>
      <c r="AF2" s="55"/>
      <c r="AG2" s="55"/>
      <c r="AH2" s="55"/>
      <c r="AI2" s="55"/>
      <c r="AJ2" s="64"/>
      <c r="AK2" s="55"/>
      <c r="AL2" s="56"/>
      <c r="AM2" s="55"/>
      <c r="AN2" s="55"/>
      <c r="AO2" s="55"/>
      <c r="AP2" s="55"/>
      <c r="AQ2" s="64"/>
      <c r="AR2" s="55"/>
      <c r="AS2" s="56"/>
      <c r="AT2" s="55"/>
      <c r="AU2" s="55"/>
      <c r="AV2" s="55"/>
      <c r="AW2" s="55"/>
      <c r="AX2" s="64"/>
      <c r="AY2" s="55"/>
      <c r="AZ2" s="56"/>
      <c r="BA2" s="55"/>
      <c r="BB2" s="55"/>
      <c r="BC2" s="55"/>
      <c r="BD2" s="55"/>
      <c r="BE2" s="64"/>
      <c r="BF2" s="55"/>
      <c r="BG2" s="56"/>
      <c r="BH2" s="55"/>
      <c r="BI2" s="55"/>
      <c r="BJ2" s="55"/>
      <c r="BK2" s="55"/>
      <c r="BL2" s="64"/>
      <c r="BM2" s="55"/>
      <c r="BN2" s="56"/>
      <c r="BO2" s="55"/>
      <c r="BP2" s="55"/>
      <c r="BQ2" s="55"/>
      <c r="BR2" s="55"/>
      <c r="BS2" s="64"/>
      <c r="BT2" s="55"/>
      <c r="BU2" s="56"/>
      <c r="BV2" s="55"/>
      <c r="BW2" s="55"/>
      <c r="BX2" s="55"/>
      <c r="BY2" s="55"/>
      <c r="BZ2" s="64"/>
      <c r="CA2" s="55"/>
      <c r="CB2" s="56"/>
      <c r="CC2" s="55"/>
      <c r="CD2" s="55"/>
      <c r="CE2" s="55"/>
      <c r="CF2" s="55"/>
      <c r="CG2" s="64"/>
      <c r="CH2" s="55"/>
      <c r="CI2" s="56"/>
      <c r="CJ2" s="55"/>
      <c r="CK2" s="55"/>
      <c r="CL2" s="55"/>
      <c r="CM2" s="55"/>
      <c r="CN2" s="64"/>
      <c r="CO2" s="55"/>
      <c r="CP2" s="56"/>
      <c r="CQ2" s="55"/>
    </row>
    <row r="3" spans="1:95" ht="18">
      <c r="A3" s="108" t="s">
        <v>134</v>
      </c>
      <c r="B3" s="108"/>
      <c r="C3" s="108"/>
      <c r="D3" s="108"/>
      <c r="E3" s="108"/>
      <c r="F3" s="108"/>
      <c r="G3" s="108"/>
      <c r="H3" s="9"/>
      <c r="I3" s="9"/>
      <c r="J3" s="108" t="s">
        <v>136</v>
      </c>
      <c r="K3" s="108"/>
      <c r="L3" s="108"/>
      <c r="M3" s="108"/>
      <c r="N3" s="108"/>
      <c r="O3" s="108"/>
      <c r="P3" s="108"/>
      <c r="Q3" s="9"/>
      <c r="R3" s="108" t="s">
        <v>145</v>
      </c>
      <c r="S3" s="108"/>
      <c r="T3" s="108"/>
      <c r="U3" s="108"/>
      <c r="V3" s="108"/>
      <c r="W3" s="108"/>
      <c r="X3" s="108"/>
      <c r="Y3" s="108" t="s">
        <v>147</v>
      </c>
      <c r="Z3" s="108"/>
      <c r="AA3" s="108"/>
      <c r="AB3" s="108"/>
      <c r="AC3" s="108"/>
      <c r="AD3" s="108"/>
      <c r="AE3" s="108"/>
      <c r="AF3" s="108"/>
      <c r="AG3" s="108" t="s">
        <v>149</v>
      </c>
      <c r="AH3" s="108"/>
      <c r="AI3" s="108"/>
      <c r="AJ3" s="108"/>
      <c r="AK3" s="108"/>
      <c r="AL3" s="108"/>
      <c r="AM3" s="108"/>
      <c r="AN3" s="108" t="s">
        <v>151</v>
      </c>
      <c r="AO3" s="108"/>
      <c r="AP3" s="108"/>
      <c r="AQ3" s="108"/>
      <c r="AR3" s="108"/>
      <c r="AS3" s="108"/>
      <c r="AT3" s="108"/>
      <c r="AU3" s="108" t="s">
        <v>153</v>
      </c>
      <c r="AV3" s="108"/>
      <c r="AW3" s="108"/>
      <c r="AX3" s="108"/>
      <c r="AY3" s="108"/>
      <c r="AZ3" s="108"/>
      <c r="BA3" s="108"/>
      <c r="BB3" s="108" t="s">
        <v>155</v>
      </c>
      <c r="BC3" s="108"/>
      <c r="BD3" s="108"/>
      <c r="BE3" s="108"/>
      <c r="BF3" s="108"/>
      <c r="BG3" s="108"/>
      <c r="BH3" s="108"/>
      <c r="BI3" s="108" t="s">
        <v>157</v>
      </c>
      <c r="BJ3" s="108"/>
      <c r="BK3" s="108"/>
      <c r="BL3" s="108"/>
      <c r="BM3" s="108"/>
      <c r="BN3" s="108"/>
      <c r="BO3" s="108"/>
      <c r="BP3" s="108" t="s">
        <v>159</v>
      </c>
      <c r="BQ3" s="108"/>
      <c r="BR3" s="108"/>
      <c r="BS3" s="108"/>
      <c r="BT3" s="108"/>
      <c r="BU3" s="108"/>
      <c r="BV3" s="108"/>
      <c r="BW3" s="108" t="s">
        <v>161</v>
      </c>
      <c r="BX3" s="108"/>
      <c r="BY3" s="108"/>
      <c r="BZ3" s="108"/>
      <c r="CA3" s="108"/>
      <c r="CB3" s="108"/>
      <c r="CC3" s="108"/>
      <c r="CD3" s="108" t="s">
        <v>163</v>
      </c>
      <c r="CE3" s="108"/>
      <c r="CF3" s="108"/>
      <c r="CG3" s="108"/>
      <c r="CH3" s="108"/>
      <c r="CI3" s="108"/>
      <c r="CJ3" s="108"/>
      <c r="CK3" s="108" t="s">
        <v>165</v>
      </c>
      <c r="CL3" s="108"/>
      <c r="CM3" s="108"/>
      <c r="CN3" s="108"/>
      <c r="CO3" s="108"/>
      <c r="CP3" s="108"/>
      <c r="CQ3" s="108"/>
    </row>
    <row r="4" spans="1:95" ht="18">
      <c r="A4" s="9"/>
      <c r="B4" s="9"/>
      <c r="C4" s="9"/>
      <c r="D4" s="10"/>
      <c r="E4" s="9"/>
      <c r="F4" s="11"/>
      <c r="G4" s="9"/>
      <c r="H4" s="9"/>
      <c r="I4" s="9"/>
      <c r="J4" s="9"/>
      <c r="K4" s="59" t="s">
        <v>135</v>
      </c>
      <c r="L4" s="9"/>
      <c r="M4" s="10"/>
      <c r="N4" s="9"/>
      <c r="O4" s="11"/>
      <c r="P4" s="9"/>
      <c r="Q4" s="9"/>
      <c r="R4" s="9"/>
      <c r="S4" s="59" t="s">
        <v>146</v>
      </c>
      <c r="T4" s="9"/>
      <c r="U4" s="10"/>
      <c r="V4" s="9"/>
      <c r="W4" s="11"/>
      <c r="X4" s="9"/>
      <c r="Y4" s="9"/>
      <c r="Z4" s="59" t="s">
        <v>148</v>
      </c>
      <c r="AA4" s="9"/>
      <c r="AB4" s="10"/>
      <c r="AC4" s="9"/>
      <c r="AD4" s="11"/>
      <c r="AE4" s="11"/>
      <c r="AF4" s="9"/>
      <c r="AG4" s="9"/>
      <c r="AH4" s="59" t="s">
        <v>150</v>
      </c>
      <c r="AI4" s="9"/>
      <c r="AJ4" s="10"/>
      <c r="AK4" s="9"/>
      <c r="AL4" s="11"/>
      <c r="AM4" s="9"/>
      <c r="AN4" s="9"/>
      <c r="AO4" s="59" t="s">
        <v>152</v>
      </c>
      <c r="AP4" s="9"/>
      <c r="AQ4" s="10"/>
      <c r="AR4" s="9"/>
      <c r="AS4" s="11"/>
      <c r="AT4" s="9"/>
      <c r="AU4" s="9"/>
      <c r="AV4" s="59" t="s">
        <v>154</v>
      </c>
      <c r="AW4" s="9"/>
      <c r="AX4" s="10"/>
      <c r="AY4" s="9"/>
      <c r="AZ4" s="11"/>
      <c r="BA4" s="9"/>
      <c r="BB4" s="9"/>
      <c r="BC4" s="59" t="s">
        <v>156</v>
      </c>
      <c r="BD4" s="9"/>
      <c r="BE4" s="10"/>
      <c r="BF4" s="9"/>
      <c r="BG4" s="11"/>
      <c r="BH4" s="9"/>
      <c r="BI4" s="9"/>
      <c r="BJ4" s="59" t="s">
        <v>158</v>
      </c>
      <c r="BK4" s="9"/>
      <c r="BL4" s="10"/>
      <c r="BM4" s="9"/>
      <c r="BN4" s="11"/>
      <c r="BO4" s="9"/>
      <c r="BP4" s="9"/>
      <c r="BQ4" s="59" t="s">
        <v>160</v>
      </c>
      <c r="BR4" s="9"/>
      <c r="BS4" s="10"/>
      <c r="BT4" s="9"/>
      <c r="BU4" s="11"/>
      <c r="BV4" s="9"/>
      <c r="BW4" s="9"/>
      <c r="BX4" s="59" t="s">
        <v>162</v>
      </c>
      <c r="BY4" s="9"/>
      <c r="BZ4" s="10"/>
      <c r="CA4" s="9"/>
      <c r="CB4" s="11"/>
      <c r="CC4" s="9"/>
      <c r="CD4" s="9"/>
      <c r="CE4" s="59" t="s">
        <v>164</v>
      </c>
      <c r="CF4" s="9"/>
      <c r="CG4" s="10"/>
      <c r="CH4" s="9"/>
      <c r="CI4" s="11"/>
      <c r="CJ4" s="9"/>
      <c r="CK4" s="9"/>
      <c r="CL4" s="59" t="s">
        <v>166</v>
      </c>
      <c r="CM4" s="9"/>
      <c r="CN4" s="10"/>
      <c r="CO4" s="9"/>
      <c r="CP4" s="11"/>
      <c r="CQ4" s="9"/>
    </row>
    <row r="5" spans="1:95" ht="18">
      <c r="A5" s="9"/>
      <c r="B5" s="9"/>
      <c r="C5" s="9"/>
      <c r="D5" s="10"/>
      <c r="E5" s="9"/>
      <c r="F5" s="11"/>
      <c r="G5" s="9"/>
      <c r="H5" s="9"/>
      <c r="I5" s="9"/>
      <c r="J5" s="9"/>
      <c r="K5" s="59"/>
      <c r="L5" s="9"/>
      <c r="M5" s="10"/>
      <c r="N5" s="9"/>
      <c r="O5" s="11"/>
      <c r="P5" s="9"/>
      <c r="Q5" s="9"/>
      <c r="R5" s="9"/>
      <c r="S5" s="59"/>
      <c r="T5" s="9"/>
      <c r="U5" s="10"/>
      <c r="V5" s="9"/>
      <c r="W5" s="11"/>
      <c r="X5" s="9"/>
      <c r="Y5" s="9"/>
      <c r="Z5" s="59"/>
      <c r="AA5" s="9"/>
      <c r="AB5" s="10"/>
      <c r="AC5" s="9"/>
      <c r="AD5" s="11"/>
      <c r="AE5" s="11"/>
      <c r="AF5" s="9"/>
      <c r="AG5" s="9"/>
      <c r="AH5" s="59"/>
      <c r="AI5" s="9"/>
      <c r="AJ5" s="10"/>
      <c r="AK5" s="9"/>
      <c r="AL5" s="11"/>
      <c r="AM5" s="9"/>
      <c r="AN5" s="9"/>
      <c r="AO5" s="59"/>
      <c r="AP5" s="9"/>
      <c r="AQ5" s="10"/>
      <c r="AR5" s="9"/>
      <c r="AS5" s="11"/>
      <c r="AT5" s="9"/>
      <c r="AU5" s="9"/>
      <c r="AV5" s="59"/>
      <c r="AW5" s="9"/>
      <c r="AX5" s="10"/>
      <c r="AY5" s="9"/>
      <c r="AZ5" s="11"/>
      <c r="BA5" s="9"/>
      <c r="BB5" s="9"/>
      <c r="BC5" s="59"/>
      <c r="BD5" s="9"/>
      <c r="BE5" s="10"/>
      <c r="BF5" s="9"/>
      <c r="BG5" s="11"/>
      <c r="BH5" s="9"/>
      <c r="BI5" s="9"/>
      <c r="BJ5" s="59"/>
      <c r="BK5" s="9"/>
      <c r="BL5" s="10"/>
      <c r="BM5" s="9"/>
      <c r="BN5" s="11"/>
      <c r="BO5" s="9"/>
      <c r="BP5" s="9"/>
      <c r="BQ5" s="59"/>
      <c r="BR5" s="9"/>
      <c r="BS5" s="10"/>
      <c r="BT5" s="9"/>
      <c r="BU5" s="11"/>
      <c r="BV5" s="9"/>
      <c r="BW5" s="9"/>
      <c r="BX5" s="59"/>
      <c r="BY5" s="9"/>
      <c r="BZ5" s="10"/>
      <c r="CA5" s="9"/>
      <c r="CB5" s="11"/>
      <c r="CC5" s="9"/>
      <c r="CD5" s="9"/>
      <c r="CE5" s="59"/>
      <c r="CF5" s="9"/>
      <c r="CG5" s="10"/>
      <c r="CH5" s="9"/>
      <c r="CI5" s="11"/>
      <c r="CJ5" s="9"/>
      <c r="CK5" s="9"/>
      <c r="CL5" s="59"/>
      <c r="CM5" s="9"/>
      <c r="CN5" s="10"/>
      <c r="CO5" s="9"/>
      <c r="CP5" s="11"/>
      <c r="CQ5" s="9"/>
    </row>
    <row r="6" spans="1:95" ht="12.75">
      <c r="A6" s="13" t="s">
        <v>103</v>
      </c>
      <c r="B6" s="9"/>
      <c r="C6" s="9"/>
      <c r="D6" s="10"/>
      <c r="E6" s="9"/>
      <c r="F6" s="11"/>
      <c r="G6" s="9"/>
      <c r="H6" s="9"/>
      <c r="I6" s="9"/>
      <c r="J6" s="13" t="s">
        <v>103</v>
      </c>
      <c r="K6" s="9"/>
      <c r="L6" s="9"/>
      <c r="M6" s="10"/>
      <c r="N6" s="9"/>
      <c r="O6" s="11"/>
      <c r="P6" s="9"/>
      <c r="Q6" s="9"/>
      <c r="R6" s="13" t="s">
        <v>103</v>
      </c>
      <c r="S6" s="9"/>
      <c r="T6" s="9"/>
      <c r="U6" s="10"/>
      <c r="V6" s="9"/>
      <c r="W6" s="11"/>
      <c r="X6" s="9"/>
      <c r="Y6" s="13" t="s">
        <v>103</v>
      </c>
      <c r="Z6" s="9"/>
      <c r="AA6" s="9"/>
      <c r="AB6" s="10"/>
      <c r="AC6" s="9"/>
      <c r="AD6" s="11"/>
      <c r="AE6" s="11"/>
      <c r="AF6" s="9"/>
      <c r="AG6" s="13" t="s">
        <v>103</v>
      </c>
      <c r="AH6" s="9"/>
      <c r="AI6" s="9"/>
      <c r="AJ6" s="10"/>
      <c r="AK6" s="9"/>
      <c r="AL6" s="11"/>
      <c r="AM6" s="9"/>
      <c r="AN6" s="13" t="s">
        <v>103</v>
      </c>
      <c r="AO6" s="9"/>
      <c r="AP6" s="9"/>
      <c r="AQ6" s="10"/>
      <c r="AR6" s="9"/>
      <c r="AS6" s="11"/>
      <c r="AT6" s="9"/>
      <c r="AU6" s="13" t="s">
        <v>103</v>
      </c>
      <c r="AV6" s="9"/>
      <c r="AW6" s="9"/>
      <c r="AX6" s="10"/>
      <c r="AY6" s="9"/>
      <c r="AZ6" s="11"/>
      <c r="BA6" s="9"/>
      <c r="BB6" s="13" t="s">
        <v>103</v>
      </c>
      <c r="BC6" s="9"/>
      <c r="BD6" s="9"/>
      <c r="BE6" s="10"/>
      <c r="BF6" s="9"/>
      <c r="BG6" s="11"/>
      <c r="BH6" s="9"/>
      <c r="BI6" s="13" t="s">
        <v>103</v>
      </c>
      <c r="BJ6" s="9"/>
      <c r="BK6" s="9"/>
      <c r="BL6" s="10"/>
      <c r="BM6" s="9"/>
      <c r="BN6" s="11"/>
      <c r="BO6" s="9"/>
      <c r="BP6" s="13" t="s">
        <v>103</v>
      </c>
      <c r="BQ6" s="9"/>
      <c r="BR6" s="9"/>
      <c r="BS6" s="10"/>
      <c r="BT6" s="9"/>
      <c r="BU6" s="11"/>
      <c r="BV6" s="9"/>
      <c r="BW6" s="13" t="s">
        <v>103</v>
      </c>
      <c r="BX6" s="9"/>
      <c r="BY6" s="9"/>
      <c r="BZ6" s="10"/>
      <c r="CA6" s="9"/>
      <c r="CB6" s="11"/>
      <c r="CC6" s="9"/>
      <c r="CD6" s="13" t="s">
        <v>103</v>
      </c>
      <c r="CE6" s="9"/>
      <c r="CF6" s="9"/>
      <c r="CG6" s="10"/>
      <c r="CH6" s="9"/>
      <c r="CI6" s="11"/>
      <c r="CJ6" s="9"/>
      <c r="CK6" s="13" t="s">
        <v>103</v>
      </c>
      <c r="CL6" s="9"/>
      <c r="CM6" s="9"/>
      <c r="CN6" s="10"/>
      <c r="CO6" s="9"/>
      <c r="CP6" s="11"/>
      <c r="CQ6" s="9"/>
    </row>
    <row r="7" spans="1:95" ht="12.75">
      <c r="A7" s="14" t="s">
        <v>11</v>
      </c>
      <c r="B7" s="9"/>
      <c r="C7" s="9"/>
      <c r="D7" s="10"/>
      <c r="E7" s="9"/>
      <c r="F7" s="11"/>
      <c r="G7" s="9"/>
      <c r="H7" s="9"/>
      <c r="I7" s="9"/>
      <c r="J7" s="14" t="s">
        <v>11</v>
      </c>
      <c r="K7" s="9"/>
      <c r="L7" s="9"/>
      <c r="M7" s="10"/>
      <c r="N7" s="9"/>
      <c r="O7" s="11"/>
      <c r="P7" s="9"/>
      <c r="Q7" s="9"/>
      <c r="R7" s="14" t="s">
        <v>11</v>
      </c>
      <c r="S7" s="9"/>
      <c r="T7" s="9"/>
      <c r="U7" s="10"/>
      <c r="V7" s="9"/>
      <c r="W7" s="11"/>
      <c r="X7" s="9"/>
      <c r="Y7" s="14" t="s">
        <v>11</v>
      </c>
      <c r="Z7" s="9"/>
      <c r="AA7" s="9"/>
      <c r="AB7" s="10"/>
      <c r="AC7" s="9"/>
      <c r="AD7" s="11"/>
      <c r="AE7" s="11"/>
      <c r="AF7" s="9"/>
      <c r="AG7" s="14" t="s">
        <v>11</v>
      </c>
      <c r="AH7" s="9"/>
      <c r="AI7" s="9"/>
      <c r="AJ7" s="10"/>
      <c r="AK7" s="9"/>
      <c r="AL7" s="11"/>
      <c r="AM7" s="9"/>
      <c r="AN7" s="14" t="s">
        <v>11</v>
      </c>
      <c r="AO7" s="9"/>
      <c r="AP7" s="9"/>
      <c r="AQ7" s="10"/>
      <c r="AR7" s="9"/>
      <c r="AS7" s="11"/>
      <c r="AT7" s="9"/>
      <c r="AU7" s="14" t="s">
        <v>11</v>
      </c>
      <c r="AV7" s="9"/>
      <c r="AW7" s="9"/>
      <c r="AX7" s="10"/>
      <c r="AY7" s="9"/>
      <c r="AZ7" s="11"/>
      <c r="BA7" s="9"/>
      <c r="BB7" s="14" t="s">
        <v>11</v>
      </c>
      <c r="BC7" s="9"/>
      <c r="BD7" s="9"/>
      <c r="BE7" s="10"/>
      <c r="BF7" s="9"/>
      <c r="BG7" s="11"/>
      <c r="BH7" s="9"/>
      <c r="BI7" s="14" t="s">
        <v>11</v>
      </c>
      <c r="BJ7" s="9"/>
      <c r="BK7" s="9"/>
      <c r="BL7" s="10"/>
      <c r="BM7" s="9"/>
      <c r="BN7" s="11"/>
      <c r="BO7" s="9"/>
      <c r="BP7" s="14" t="s">
        <v>11</v>
      </c>
      <c r="BQ7" s="9"/>
      <c r="BR7" s="9"/>
      <c r="BS7" s="10"/>
      <c r="BT7" s="9"/>
      <c r="BU7" s="11"/>
      <c r="BV7" s="9"/>
      <c r="BW7" s="14" t="s">
        <v>11</v>
      </c>
      <c r="BX7" s="9"/>
      <c r="BY7" s="9"/>
      <c r="BZ7" s="10"/>
      <c r="CA7" s="9"/>
      <c r="CB7" s="11"/>
      <c r="CC7" s="9"/>
      <c r="CD7" s="14" t="s">
        <v>11</v>
      </c>
      <c r="CE7" s="9"/>
      <c r="CF7" s="9"/>
      <c r="CG7" s="10"/>
      <c r="CH7" s="9"/>
      <c r="CI7" s="11"/>
      <c r="CJ7" s="9"/>
      <c r="CK7" s="14" t="s">
        <v>11</v>
      </c>
      <c r="CL7" s="9"/>
      <c r="CM7" s="9"/>
      <c r="CN7" s="10"/>
      <c r="CO7" s="9"/>
      <c r="CP7" s="11"/>
      <c r="CQ7" s="9"/>
    </row>
    <row r="8" spans="1:95" ht="12.75">
      <c r="A8" s="9"/>
      <c r="B8" s="9"/>
      <c r="C8" s="9"/>
      <c r="D8" s="10"/>
      <c r="E8" s="9"/>
      <c r="F8" s="11"/>
      <c r="G8" s="9"/>
      <c r="H8" s="9"/>
      <c r="I8" s="9"/>
      <c r="J8" s="9"/>
      <c r="K8" s="9"/>
      <c r="L8" s="9"/>
      <c r="M8" s="10"/>
      <c r="N8" s="9"/>
      <c r="O8" s="11"/>
      <c r="P8" s="9"/>
      <c r="Q8" s="9"/>
      <c r="R8" s="9"/>
      <c r="S8" s="9"/>
      <c r="T8" s="9"/>
      <c r="U8" s="10"/>
      <c r="V8" s="9"/>
      <c r="W8" s="11"/>
      <c r="X8" s="9"/>
      <c r="Y8" s="9"/>
      <c r="Z8" s="9"/>
      <c r="AA8" s="9"/>
      <c r="AB8" s="10"/>
      <c r="AC8" s="9"/>
      <c r="AD8" s="11"/>
      <c r="AE8" s="11"/>
      <c r="AF8" s="9"/>
      <c r="AG8" s="9"/>
      <c r="AH8" s="9"/>
      <c r="AI8" s="9"/>
      <c r="AJ8" s="10"/>
      <c r="AK8" s="9"/>
      <c r="AL8" s="11"/>
      <c r="AM8" s="9"/>
      <c r="AN8" s="9"/>
      <c r="AO8" s="9"/>
      <c r="AP8" s="9"/>
      <c r="AQ8" s="10"/>
      <c r="AR8" s="9"/>
      <c r="AS8" s="11"/>
      <c r="AT8" s="9"/>
      <c r="AU8" s="9"/>
      <c r="AV8" s="9"/>
      <c r="AW8" s="9"/>
      <c r="AX8" s="10"/>
      <c r="AY8" s="9"/>
      <c r="AZ8" s="11"/>
      <c r="BA8" s="9"/>
      <c r="BB8" s="9"/>
      <c r="BC8" s="9"/>
      <c r="BD8" s="9"/>
      <c r="BE8" s="10"/>
      <c r="BF8" s="9"/>
      <c r="BG8" s="11"/>
      <c r="BH8" s="9"/>
      <c r="BI8" s="9"/>
      <c r="BJ8" s="9"/>
      <c r="BK8" s="9"/>
      <c r="BL8" s="10"/>
      <c r="BM8" s="9"/>
      <c r="BN8" s="11"/>
      <c r="BO8" s="9"/>
      <c r="BP8" s="9"/>
      <c r="BQ8" s="9"/>
      <c r="BR8" s="9"/>
      <c r="BS8" s="10"/>
      <c r="BT8" s="9"/>
      <c r="BU8" s="11"/>
      <c r="BV8" s="9"/>
      <c r="BW8" s="9"/>
      <c r="BX8" s="9"/>
      <c r="BY8" s="9"/>
      <c r="BZ8" s="10"/>
      <c r="CA8" s="9"/>
      <c r="CB8" s="11"/>
      <c r="CC8" s="9"/>
      <c r="CD8" s="9"/>
      <c r="CE8" s="9"/>
      <c r="CF8" s="9"/>
      <c r="CG8" s="10"/>
      <c r="CH8" s="9"/>
      <c r="CI8" s="11"/>
      <c r="CJ8" s="9"/>
      <c r="CK8" s="9"/>
      <c r="CL8" s="9"/>
      <c r="CM8" s="9"/>
      <c r="CN8" s="10"/>
      <c r="CO8" s="9"/>
      <c r="CP8" s="11"/>
      <c r="CQ8" s="9"/>
    </row>
    <row r="9" spans="1:95" ht="12.75">
      <c r="A9" s="9" t="s">
        <v>62</v>
      </c>
      <c r="B9" s="9"/>
      <c r="C9" s="9"/>
      <c r="D9" s="15">
        <v>0.8996289163604745</v>
      </c>
      <c r="E9" s="11"/>
      <c r="F9" s="11"/>
      <c r="G9" s="9"/>
      <c r="H9" s="9"/>
      <c r="I9" s="9"/>
      <c r="J9" s="9" t="s">
        <v>62</v>
      </c>
      <c r="K9" s="9"/>
      <c r="L9" s="9"/>
      <c r="M9" s="15">
        <v>0.9007379401463096</v>
      </c>
      <c r="N9" s="11"/>
      <c r="O9" s="11"/>
      <c r="P9" s="9"/>
      <c r="Q9" s="9"/>
      <c r="R9" s="9" t="s">
        <v>62</v>
      </c>
      <c r="S9" s="9"/>
      <c r="T9" s="9"/>
      <c r="U9" s="15">
        <v>0.9054137108291769</v>
      </c>
      <c r="V9" s="11"/>
      <c r="W9" s="11"/>
      <c r="X9" s="9"/>
      <c r="Y9" s="9" t="s">
        <v>62</v>
      </c>
      <c r="Z9" s="9"/>
      <c r="AA9" s="9"/>
      <c r="AB9" s="15">
        <v>0.9177193990115867</v>
      </c>
      <c r="AC9" s="11"/>
      <c r="AD9" s="11"/>
      <c r="AE9" s="11"/>
      <c r="AF9" s="9"/>
      <c r="AG9" s="9" t="s">
        <v>62</v>
      </c>
      <c r="AH9" s="9"/>
      <c r="AI9" s="9"/>
      <c r="AJ9" s="15">
        <v>0.9152420341123907</v>
      </c>
      <c r="AK9" s="11"/>
      <c r="AL9" s="11"/>
      <c r="AM9" s="9"/>
      <c r="AN9" s="9" t="s">
        <v>62</v>
      </c>
      <c r="AO9" s="9"/>
      <c r="AP9" s="9"/>
      <c r="AQ9" s="15">
        <v>0.9157705663433316</v>
      </c>
      <c r="AR9" s="11"/>
      <c r="AS9" s="11"/>
      <c r="AT9" s="9"/>
      <c r="AU9" s="9" t="s">
        <v>62</v>
      </c>
      <c r="AV9" s="9"/>
      <c r="AW9" s="9"/>
      <c r="AX9" s="15">
        <v>0.9123816244805255</v>
      </c>
      <c r="AY9" s="11"/>
      <c r="AZ9" s="11"/>
      <c r="BA9" s="9"/>
      <c r="BB9" s="9" t="s">
        <v>62</v>
      </c>
      <c r="BC9" s="9"/>
      <c r="BD9" s="9"/>
      <c r="BE9" s="15">
        <v>0.9070336649986365</v>
      </c>
      <c r="BF9" s="11"/>
      <c r="BG9" s="11"/>
      <c r="BH9" s="9"/>
      <c r="BI9" s="9" t="s">
        <v>62</v>
      </c>
      <c r="BJ9" s="9"/>
      <c r="BK9" s="9"/>
      <c r="BL9" s="15">
        <v>0.9004128803466128</v>
      </c>
      <c r="BM9" s="11"/>
      <c r="BN9" s="11"/>
      <c r="BO9" s="9"/>
      <c r="BP9" s="9" t="s">
        <v>62</v>
      </c>
      <c r="BQ9" s="9"/>
      <c r="BR9" s="9"/>
      <c r="BS9" s="15">
        <v>0.8904472798057534</v>
      </c>
      <c r="BT9" s="11"/>
      <c r="BU9" s="11"/>
      <c r="BV9" s="9"/>
      <c r="BW9" s="9" t="s">
        <v>62</v>
      </c>
      <c r="BX9" s="9"/>
      <c r="BY9" s="9"/>
      <c r="BZ9" s="15">
        <v>0.8931573980486043</v>
      </c>
      <c r="CA9" s="11"/>
      <c r="CB9" s="11"/>
      <c r="CC9" s="9"/>
      <c r="CD9" s="9" t="s">
        <v>62</v>
      </c>
      <c r="CE9" s="9"/>
      <c r="CF9" s="9"/>
      <c r="CG9" s="15">
        <v>0.8881076311972507</v>
      </c>
      <c r="CH9" s="11"/>
      <c r="CI9" s="11"/>
      <c r="CJ9" s="9"/>
      <c r="CK9" s="9" t="s">
        <v>62</v>
      </c>
      <c r="CL9" s="9"/>
      <c r="CM9" s="9"/>
      <c r="CN9" s="15">
        <v>0.8844834608722555</v>
      </c>
      <c r="CO9" s="11"/>
      <c r="CP9" s="11"/>
      <c r="CQ9" s="9"/>
    </row>
    <row r="10" spans="1:95" ht="12.75">
      <c r="A10" s="9" t="s">
        <v>141</v>
      </c>
      <c r="B10" s="9"/>
      <c r="C10" s="9"/>
      <c r="D10" s="16">
        <v>17246.553237410077</v>
      </c>
      <c r="E10" s="11"/>
      <c r="F10" s="11"/>
      <c r="G10" s="9"/>
      <c r="H10" s="9"/>
      <c r="I10" s="9"/>
      <c r="J10" s="9" t="s">
        <v>141</v>
      </c>
      <c r="K10" s="9"/>
      <c r="L10" s="9"/>
      <c r="M10" s="16">
        <v>16846.839981785066</v>
      </c>
      <c r="N10" s="11"/>
      <c r="O10" s="11"/>
      <c r="P10" s="9"/>
      <c r="Q10" s="9"/>
      <c r="R10" s="9" t="s">
        <v>141</v>
      </c>
      <c r="S10" s="9"/>
      <c r="T10" s="9"/>
      <c r="U10" s="16">
        <v>17565.618989520965</v>
      </c>
      <c r="V10" s="11"/>
      <c r="W10" s="11"/>
      <c r="X10" s="9"/>
      <c r="Y10" s="9" t="s">
        <v>141</v>
      </c>
      <c r="Z10" s="9"/>
      <c r="AA10" s="9"/>
      <c r="AB10" s="16">
        <v>18628.891249425822</v>
      </c>
      <c r="AC10" s="11"/>
      <c r="AD10" s="11"/>
      <c r="AE10" s="11"/>
      <c r="AF10" s="9"/>
      <c r="AG10" s="9" t="s">
        <v>141</v>
      </c>
      <c r="AH10" s="9"/>
      <c r="AI10" s="9"/>
      <c r="AJ10" s="16">
        <v>18883.18800744248</v>
      </c>
      <c r="AK10" s="11"/>
      <c r="AL10" s="11"/>
      <c r="AM10" s="9"/>
      <c r="AN10" s="9" t="s">
        <v>141</v>
      </c>
      <c r="AO10" s="9"/>
      <c r="AP10" s="9"/>
      <c r="AQ10" s="16">
        <v>20101.65748133061</v>
      </c>
      <c r="AR10" s="11"/>
      <c r="AS10" s="11"/>
      <c r="AT10" s="9"/>
      <c r="AU10" s="9" t="s">
        <v>141</v>
      </c>
      <c r="AV10" s="9"/>
      <c r="AW10" s="9"/>
      <c r="AX10" s="16">
        <v>21074.078608671793</v>
      </c>
      <c r="AY10" s="11"/>
      <c r="AZ10" s="11"/>
      <c r="BA10" s="9"/>
      <c r="BB10" s="9" t="s">
        <v>141</v>
      </c>
      <c r="BC10" s="9"/>
      <c r="BD10" s="9"/>
      <c r="BE10" s="16">
        <v>21887.34073918743</v>
      </c>
      <c r="BF10" s="11"/>
      <c r="BG10" s="11"/>
      <c r="BH10" s="9"/>
      <c r="BI10" s="9" t="s">
        <v>141</v>
      </c>
      <c r="BJ10" s="9"/>
      <c r="BK10" s="9"/>
      <c r="BL10" s="16">
        <v>22455.543428349327</v>
      </c>
      <c r="BM10" s="11"/>
      <c r="BN10" s="11"/>
      <c r="BO10" s="9"/>
      <c r="BP10" s="9" t="s">
        <v>141</v>
      </c>
      <c r="BQ10" s="9"/>
      <c r="BR10" s="9"/>
      <c r="BS10" s="16">
        <v>23256.477818510994</v>
      </c>
      <c r="BT10" s="11"/>
      <c r="BU10" s="11"/>
      <c r="BV10" s="9"/>
      <c r="BW10" s="9" t="s">
        <v>141</v>
      </c>
      <c r="BX10" s="9"/>
      <c r="BY10" s="9"/>
      <c r="BZ10" s="16">
        <v>23818.208335555555</v>
      </c>
      <c r="CA10" s="11"/>
      <c r="CB10" s="11"/>
      <c r="CC10" s="9"/>
      <c r="CD10" s="9" t="s">
        <v>141</v>
      </c>
      <c r="CE10" s="9"/>
      <c r="CF10" s="9"/>
      <c r="CG10" s="16">
        <v>24635.67465495071</v>
      </c>
      <c r="CH10" s="11"/>
      <c r="CI10" s="11"/>
      <c r="CJ10" s="9"/>
      <c r="CK10" s="9" t="s">
        <v>141</v>
      </c>
      <c r="CL10" s="9"/>
      <c r="CM10" s="9"/>
      <c r="CN10" s="16">
        <v>25067.814259745937</v>
      </c>
      <c r="CO10" s="11"/>
      <c r="CP10" s="11"/>
      <c r="CQ10" s="9"/>
    </row>
    <row r="11" spans="1:95" ht="12.75">
      <c r="A11" s="9" t="s">
        <v>12</v>
      </c>
      <c r="B11" s="9"/>
      <c r="C11" s="9"/>
      <c r="D11" s="17">
        <v>0.40234571528816354</v>
      </c>
      <c r="E11" s="11" t="s">
        <v>10</v>
      </c>
      <c r="F11" s="11"/>
      <c r="G11" s="9"/>
      <c r="H11" s="9"/>
      <c r="I11" s="9"/>
      <c r="J11" s="9" t="s">
        <v>12</v>
      </c>
      <c r="K11" s="9"/>
      <c r="L11" s="9"/>
      <c r="M11" s="17">
        <v>3.397892229555159</v>
      </c>
      <c r="N11" s="11" t="s">
        <v>10</v>
      </c>
      <c r="O11" s="11"/>
      <c r="P11" s="9"/>
      <c r="Q11" s="9"/>
      <c r="R11" s="9" t="s">
        <v>12</v>
      </c>
      <c r="S11" s="9"/>
      <c r="T11" s="9"/>
      <c r="U11" s="17">
        <v>3.79331701221938</v>
      </c>
      <c r="V11" s="11" t="s">
        <v>10</v>
      </c>
      <c r="W11" s="11"/>
      <c r="X11" s="9"/>
      <c r="Y11" s="9" t="s">
        <v>12</v>
      </c>
      <c r="Z11" s="9"/>
      <c r="AA11" s="9"/>
      <c r="AB11" s="17">
        <v>4.984268583260983</v>
      </c>
      <c r="AC11" s="11" t="s">
        <v>10</v>
      </c>
      <c r="AD11" s="11"/>
      <c r="AE11" s="11"/>
      <c r="AF11" s="9"/>
      <c r="AG11" s="9" t="s">
        <v>12</v>
      </c>
      <c r="AH11" s="9"/>
      <c r="AI11" s="9"/>
      <c r="AJ11" s="17">
        <v>5.943099974441804</v>
      </c>
      <c r="AK11" s="11" t="s">
        <v>10</v>
      </c>
      <c r="AL11" s="11"/>
      <c r="AM11" s="9"/>
      <c r="AN11" s="9" t="s">
        <v>12</v>
      </c>
      <c r="AO11" s="9"/>
      <c r="AP11" s="9"/>
      <c r="AQ11" s="17">
        <v>7.155495452051301</v>
      </c>
      <c r="AR11" s="11" t="s">
        <v>10</v>
      </c>
      <c r="AS11" s="11"/>
      <c r="AT11" s="9"/>
      <c r="AU11" s="9" t="s">
        <v>12</v>
      </c>
      <c r="AV11" s="9"/>
      <c r="AW11" s="9"/>
      <c r="AX11" s="17">
        <v>7.5323111780153225</v>
      </c>
      <c r="AY11" s="11" t="s">
        <v>10</v>
      </c>
      <c r="AZ11" s="11"/>
      <c r="BA11" s="9"/>
      <c r="BB11" s="9" t="s">
        <v>12</v>
      </c>
      <c r="BC11" s="9"/>
      <c r="BD11" s="9"/>
      <c r="BE11" s="17">
        <v>8.552436858259147</v>
      </c>
      <c r="BF11" s="11" t="s">
        <v>10</v>
      </c>
      <c r="BG11" s="11"/>
      <c r="BH11" s="9"/>
      <c r="BI11" s="9" t="s">
        <v>12</v>
      </c>
      <c r="BJ11" s="9"/>
      <c r="BK11" s="9"/>
      <c r="BL11" s="17">
        <v>9.098838920602859</v>
      </c>
      <c r="BM11" s="11" t="s">
        <v>10</v>
      </c>
      <c r="BN11" s="11"/>
      <c r="BO11" s="9"/>
      <c r="BP11" s="9" t="s">
        <v>12</v>
      </c>
      <c r="BQ11" s="9"/>
      <c r="BR11" s="9"/>
      <c r="BS11" s="17">
        <v>9.477049231074783</v>
      </c>
      <c r="BT11" s="11" t="s">
        <v>10</v>
      </c>
      <c r="BU11" s="11"/>
      <c r="BV11" s="9"/>
      <c r="BW11" s="9" t="s">
        <v>12</v>
      </c>
      <c r="BX11" s="9"/>
      <c r="BY11" s="9"/>
      <c r="BZ11" s="17">
        <v>10.485112874313804</v>
      </c>
      <c r="CA11" s="11" t="s">
        <v>10</v>
      </c>
      <c r="CB11" s="11"/>
      <c r="CC11" s="9"/>
      <c r="CD11" s="9" t="s">
        <v>12</v>
      </c>
      <c r="CE11" s="9"/>
      <c r="CF11" s="9"/>
      <c r="CG11" s="17">
        <v>10.31977375678391</v>
      </c>
      <c r="CH11" s="11" t="s">
        <v>10</v>
      </c>
      <c r="CI11" s="11"/>
      <c r="CJ11" s="9"/>
      <c r="CK11" s="9" t="s">
        <v>12</v>
      </c>
      <c r="CL11" s="9"/>
      <c r="CM11" s="9"/>
      <c r="CN11" s="17">
        <v>14.38678860963405</v>
      </c>
      <c r="CO11" s="11" t="s">
        <v>10</v>
      </c>
      <c r="CP11" s="11"/>
      <c r="CQ11" s="9"/>
    </row>
    <row r="12" spans="1:95" ht="12.75">
      <c r="A12" s="9" t="s">
        <v>13</v>
      </c>
      <c r="B12" s="9"/>
      <c r="C12" s="9"/>
      <c r="D12" s="18">
        <v>0.10887433285130593</v>
      </c>
      <c r="E12" s="11"/>
      <c r="F12" s="11"/>
      <c r="G12" s="9"/>
      <c r="H12" s="9"/>
      <c r="I12" s="9"/>
      <c r="J12" s="9" t="s">
        <v>13</v>
      </c>
      <c r="K12" s="9"/>
      <c r="L12" s="9"/>
      <c r="M12" s="18">
        <v>0.10868854843660226</v>
      </c>
      <c r="N12" s="11"/>
      <c r="O12" s="11"/>
      <c r="P12" s="9"/>
      <c r="Q12" s="9"/>
      <c r="R12" s="9" t="s">
        <v>13</v>
      </c>
      <c r="S12" s="9"/>
      <c r="T12" s="9"/>
      <c r="U12" s="18">
        <v>0.10295803154122903</v>
      </c>
      <c r="V12" s="11"/>
      <c r="W12" s="11"/>
      <c r="X12" s="9"/>
      <c r="Y12" s="9" t="s">
        <v>13</v>
      </c>
      <c r="Z12" s="9"/>
      <c r="AA12" s="9"/>
      <c r="AB12" s="18">
        <v>0.10072960997967355</v>
      </c>
      <c r="AC12" s="11"/>
      <c r="AD12" s="11"/>
      <c r="AE12" s="11"/>
      <c r="AF12" s="9"/>
      <c r="AG12" s="9" t="s">
        <v>13</v>
      </c>
      <c r="AH12" s="9"/>
      <c r="AI12" s="9"/>
      <c r="AJ12" s="18">
        <v>0.09916817876160383</v>
      </c>
      <c r="AK12" s="11"/>
      <c r="AL12" s="11"/>
      <c r="AM12" s="9"/>
      <c r="AN12" s="9" t="s">
        <v>13</v>
      </c>
      <c r="AO12" s="9"/>
      <c r="AP12" s="9"/>
      <c r="AQ12" s="18">
        <v>0.09703867929966054</v>
      </c>
      <c r="AR12" s="11"/>
      <c r="AS12" s="11"/>
      <c r="AT12" s="9"/>
      <c r="AU12" s="9" t="s">
        <v>13</v>
      </c>
      <c r="AV12" s="9"/>
      <c r="AW12" s="9"/>
      <c r="AX12" s="18">
        <v>0.09389092009079417</v>
      </c>
      <c r="AY12" s="11"/>
      <c r="AZ12" s="11"/>
      <c r="BA12" s="9"/>
      <c r="BB12" s="9" t="s">
        <v>13</v>
      </c>
      <c r="BC12" s="9"/>
      <c r="BD12" s="9"/>
      <c r="BE12" s="18">
        <v>0.09171336972241301</v>
      </c>
      <c r="BF12" s="11"/>
      <c r="BG12" s="11"/>
      <c r="BH12" s="9"/>
      <c r="BI12" s="9" t="s">
        <v>13</v>
      </c>
      <c r="BJ12" s="9"/>
      <c r="BK12" s="9"/>
      <c r="BL12" s="18">
        <v>0.09032218242258551</v>
      </c>
      <c r="BM12" s="11"/>
      <c r="BN12" s="11"/>
      <c r="BO12" s="9"/>
      <c r="BP12" s="9" t="s">
        <v>13</v>
      </c>
      <c r="BQ12" s="9"/>
      <c r="BR12" s="9"/>
      <c r="BS12" s="18">
        <v>0.08887060230343369</v>
      </c>
      <c r="BT12" s="11"/>
      <c r="BU12" s="11"/>
      <c r="BV12" s="9"/>
      <c r="BW12" s="9" t="s">
        <v>13</v>
      </c>
      <c r="BX12" s="9"/>
      <c r="BY12" s="9"/>
      <c r="BZ12" s="18">
        <v>0.09303475577230196</v>
      </c>
      <c r="CA12" s="11"/>
      <c r="CB12" s="11"/>
      <c r="CC12" s="9"/>
      <c r="CD12" s="9" t="s">
        <v>13</v>
      </c>
      <c r="CE12" s="9"/>
      <c r="CF12" s="9"/>
      <c r="CG12" s="18">
        <v>0.09718761518170167</v>
      </c>
      <c r="CH12" s="11"/>
      <c r="CI12" s="11"/>
      <c r="CJ12" s="9"/>
      <c r="CK12" s="9" t="s">
        <v>13</v>
      </c>
      <c r="CL12" s="9"/>
      <c r="CM12" s="9"/>
      <c r="CN12" s="18">
        <v>0.09667470384710031</v>
      </c>
      <c r="CO12" s="11"/>
      <c r="CP12" s="11"/>
      <c r="CQ12" s="9"/>
    </row>
    <row r="13" spans="1:95" ht="12.75">
      <c r="A13" s="9" t="s">
        <v>14</v>
      </c>
      <c r="B13" s="9"/>
      <c r="C13" s="9"/>
      <c r="D13" s="19">
        <v>13.41</v>
      </c>
      <c r="E13" s="11" t="s">
        <v>77</v>
      </c>
      <c r="F13" s="11"/>
      <c r="G13" s="9"/>
      <c r="H13" s="9"/>
      <c r="I13" s="9"/>
      <c r="J13" s="9" t="s">
        <v>14</v>
      </c>
      <c r="K13" s="9"/>
      <c r="L13" s="9"/>
      <c r="M13" s="19">
        <v>13.383</v>
      </c>
      <c r="N13" s="11" t="s">
        <v>77</v>
      </c>
      <c r="O13" s="11"/>
      <c r="P13" s="9"/>
      <c r="Q13" s="9"/>
      <c r="R13" s="9" t="s">
        <v>14</v>
      </c>
      <c r="S13" s="9"/>
      <c r="T13" s="9"/>
      <c r="U13" s="19">
        <v>13.749958350390427</v>
      </c>
      <c r="V13" s="11" t="s">
        <v>77</v>
      </c>
      <c r="W13" s="11"/>
      <c r="X13" s="9"/>
      <c r="Y13" s="9" t="s">
        <v>14</v>
      </c>
      <c r="Z13" s="9"/>
      <c r="AA13" s="9"/>
      <c r="AB13" s="19">
        <v>13.934694702538977</v>
      </c>
      <c r="AC13" s="11" t="s">
        <v>77</v>
      </c>
      <c r="AD13" s="11"/>
      <c r="AE13" s="11"/>
      <c r="AF13" s="9"/>
      <c r="AG13" s="9" t="s">
        <v>14</v>
      </c>
      <c r="AH13" s="9"/>
      <c r="AI13" s="9"/>
      <c r="AJ13" s="19">
        <v>13.987145515165578</v>
      </c>
      <c r="AK13" s="11" t="s">
        <v>77</v>
      </c>
      <c r="AL13" s="11"/>
      <c r="AM13" s="9"/>
      <c r="AN13" s="9" t="s">
        <v>14</v>
      </c>
      <c r="AO13" s="9"/>
      <c r="AP13" s="9"/>
      <c r="AQ13" s="19">
        <v>14.097933090435921</v>
      </c>
      <c r="AR13" s="11" t="s">
        <v>77</v>
      </c>
      <c r="AS13" s="11"/>
      <c r="AT13" s="9"/>
      <c r="AU13" s="9" t="s">
        <v>14</v>
      </c>
      <c r="AV13" s="9"/>
      <c r="AW13" s="9"/>
      <c r="AX13" s="19">
        <v>14.477363994059381</v>
      </c>
      <c r="AY13" s="11" t="s">
        <v>77</v>
      </c>
      <c r="AZ13" s="11"/>
      <c r="BA13" s="9"/>
      <c r="BB13" s="9" t="s">
        <v>14</v>
      </c>
      <c r="BC13" s="9"/>
      <c r="BD13" s="9"/>
      <c r="BE13" s="19">
        <v>14.576097539344376</v>
      </c>
      <c r="BF13" s="11" t="s">
        <v>77</v>
      </c>
      <c r="BG13" s="11"/>
      <c r="BH13" s="9"/>
      <c r="BI13" s="9" t="s">
        <v>14</v>
      </c>
      <c r="BJ13" s="9"/>
      <c r="BK13" s="9"/>
      <c r="BL13" s="19">
        <v>14.656820213802744</v>
      </c>
      <c r="BM13" s="11" t="s">
        <v>77</v>
      </c>
      <c r="BN13" s="11"/>
      <c r="BO13" s="9"/>
      <c r="BP13" s="9" t="s">
        <v>14</v>
      </c>
      <c r="BQ13" s="9"/>
      <c r="BR13" s="9"/>
      <c r="BS13" s="19">
        <v>14.900607321542957</v>
      </c>
      <c r="BT13" s="11" t="s">
        <v>77</v>
      </c>
      <c r="BU13" s="11"/>
      <c r="BV13" s="9"/>
      <c r="BW13" s="9" t="s">
        <v>14</v>
      </c>
      <c r="BX13" s="9"/>
      <c r="BY13" s="9"/>
      <c r="BZ13" s="19">
        <v>15.155436079183309</v>
      </c>
      <c r="CA13" s="11" t="s">
        <v>77</v>
      </c>
      <c r="CB13" s="11"/>
      <c r="CC13" s="9"/>
      <c r="CD13" s="9" t="s">
        <v>14</v>
      </c>
      <c r="CE13" s="9"/>
      <c r="CF13" s="9"/>
      <c r="CG13" s="19">
        <v>15.487932440648335</v>
      </c>
      <c r="CH13" s="11" t="s">
        <v>77</v>
      </c>
      <c r="CI13" s="11"/>
      <c r="CJ13" s="9"/>
      <c r="CK13" s="9" t="s">
        <v>14</v>
      </c>
      <c r="CL13" s="9"/>
      <c r="CM13" s="9"/>
      <c r="CN13" s="19">
        <v>15.579347417741657</v>
      </c>
      <c r="CO13" s="11" t="s">
        <v>77</v>
      </c>
      <c r="CP13" s="11"/>
      <c r="CQ13" s="9"/>
    </row>
    <row r="14" spans="1:95" ht="12.75">
      <c r="A14" s="9"/>
      <c r="B14" s="9"/>
      <c r="C14" s="9"/>
      <c r="D14" s="10"/>
      <c r="E14" s="9"/>
      <c r="F14" s="11"/>
      <c r="G14" s="9"/>
      <c r="H14" s="9"/>
      <c r="I14" s="9"/>
      <c r="J14" s="9"/>
      <c r="K14" s="9"/>
      <c r="L14" s="9"/>
      <c r="M14" s="10"/>
      <c r="N14" s="9"/>
      <c r="O14" s="11"/>
      <c r="P14" s="9"/>
      <c r="Q14" s="9"/>
      <c r="R14" s="9"/>
      <c r="S14" s="9"/>
      <c r="T14" s="9"/>
      <c r="U14" s="10"/>
      <c r="V14" s="9"/>
      <c r="W14" s="11"/>
      <c r="X14" s="9"/>
      <c r="Y14" s="9"/>
      <c r="Z14" s="9"/>
      <c r="AA14" s="9"/>
      <c r="AB14" s="10"/>
      <c r="AC14" s="9"/>
      <c r="AD14" s="11"/>
      <c r="AE14" s="11"/>
      <c r="AF14" s="9"/>
      <c r="AG14" s="9"/>
      <c r="AH14" s="9"/>
      <c r="AI14" s="9"/>
      <c r="AJ14" s="10"/>
      <c r="AK14" s="9"/>
      <c r="AL14" s="11"/>
      <c r="AM14" s="9"/>
      <c r="AN14" s="9"/>
      <c r="AO14" s="9"/>
      <c r="AP14" s="9"/>
      <c r="AQ14" s="10"/>
      <c r="AR14" s="9"/>
      <c r="AS14" s="11"/>
      <c r="AT14" s="9"/>
      <c r="AU14" s="9"/>
      <c r="AV14" s="9"/>
      <c r="AW14" s="9"/>
      <c r="AX14" s="10"/>
      <c r="AY14" s="9"/>
      <c r="AZ14" s="11"/>
      <c r="BA14" s="9"/>
      <c r="BB14" s="9"/>
      <c r="BC14" s="9"/>
      <c r="BD14" s="9"/>
      <c r="BE14" s="10"/>
      <c r="BF14" s="9"/>
      <c r="BG14" s="11"/>
      <c r="BH14" s="9"/>
      <c r="BI14" s="9"/>
      <c r="BJ14" s="9"/>
      <c r="BK14" s="9"/>
      <c r="BL14" s="10"/>
      <c r="BM14" s="9"/>
      <c r="BN14" s="11"/>
      <c r="BO14" s="9"/>
      <c r="BP14" s="9"/>
      <c r="BQ14" s="9"/>
      <c r="BR14" s="9"/>
      <c r="BS14" s="10"/>
      <c r="BT14" s="9"/>
      <c r="BU14" s="11"/>
      <c r="BV14" s="9"/>
      <c r="BW14" s="9"/>
      <c r="BX14" s="9"/>
      <c r="BY14" s="9"/>
      <c r="BZ14" s="10"/>
      <c r="CA14" s="9"/>
      <c r="CB14" s="11"/>
      <c r="CC14" s="9"/>
      <c r="CD14" s="9"/>
      <c r="CE14" s="9"/>
      <c r="CF14" s="9"/>
      <c r="CG14" s="10"/>
      <c r="CH14" s="9"/>
      <c r="CI14" s="11"/>
      <c r="CJ14" s="9"/>
      <c r="CK14" s="9"/>
      <c r="CL14" s="9"/>
      <c r="CM14" s="9"/>
      <c r="CN14" s="10"/>
      <c r="CO14" s="9"/>
      <c r="CP14" s="11"/>
      <c r="CQ14" s="9"/>
    </row>
    <row r="15" spans="1:95" ht="12.75">
      <c r="A15" s="9"/>
      <c r="B15" s="9"/>
      <c r="C15" s="9"/>
      <c r="D15" s="10"/>
      <c r="E15" s="9"/>
      <c r="F15" s="11"/>
      <c r="G15" s="9"/>
      <c r="H15" s="9"/>
      <c r="I15" s="9"/>
      <c r="J15" s="9"/>
      <c r="K15" s="9"/>
      <c r="L15" s="9"/>
      <c r="M15" s="10"/>
      <c r="N15" s="9"/>
      <c r="O15" s="11"/>
      <c r="P15" s="9"/>
      <c r="Q15" s="9"/>
      <c r="R15" s="9"/>
      <c r="S15" s="9"/>
      <c r="T15" s="9"/>
      <c r="U15" s="10"/>
      <c r="V15" s="9"/>
      <c r="W15" s="11"/>
      <c r="X15" s="9"/>
      <c r="Y15" s="9"/>
      <c r="Z15" s="9"/>
      <c r="AA15" s="9"/>
      <c r="AB15" s="10"/>
      <c r="AC15" s="9"/>
      <c r="AD15" s="11"/>
      <c r="AE15" s="11"/>
      <c r="AF15" s="9"/>
      <c r="AG15" s="9"/>
      <c r="AH15" s="9"/>
      <c r="AI15" s="9"/>
      <c r="AJ15" s="10"/>
      <c r="AK15" s="9"/>
      <c r="AL15" s="11"/>
      <c r="AM15" s="9"/>
      <c r="AN15" s="9"/>
      <c r="AO15" s="9"/>
      <c r="AP15" s="9"/>
      <c r="AQ15" s="10"/>
      <c r="AR15" s="9"/>
      <c r="AS15" s="11"/>
      <c r="AT15" s="9"/>
      <c r="AU15" s="9"/>
      <c r="AV15" s="9"/>
      <c r="AW15" s="9"/>
      <c r="AX15" s="10"/>
      <c r="AY15" s="9"/>
      <c r="AZ15" s="11"/>
      <c r="BA15" s="9"/>
      <c r="BB15" s="9"/>
      <c r="BC15" s="9"/>
      <c r="BD15" s="9"/>
      <c r="BE15" s="10"/>
      <c r="BF15" s="9"/>
      <c r="BG15" s="11"/>
      <c r="BH15" s="9"/>
      <c r="BI15" s="9"/>
      <c r="BJ15" s="9"/>
      <c r="BK15" s="9"/>
      <c r="BL15" s="10"/>
      <c r="BM15" s="9"/>
      <c r="BN15" s="11"/>
      <c r="BO15" s="9"/>
      <c r="BP15" s="9"/>
      <c r="BQ15" s="9"/>
      <c r="BR15" s="9"/>
      <c r="BS15" s="10"/>
      <c r="BT15" s="9"/>
      <c r="BU15" s="11"/>
      <c r="BV15" s="9"/>
      <c r="BW15" s="9"/>
      <c r="BX15" s="9"/>
      <c r="BY15" s="9"/>
      <c r="BZ15" s="10"/>
      <c r="CA15" s="9"/>
      <c r="CB15" s="11"/>
      <c r="CC15" s="9"/>
      <c r="CD15" s="9"/>
      <c r="CE15" s="9"/>
      <c r="CF15" s="9"/>
      <c r="CG15" s="10"/>
      <c r="CH15" s="9"/>
      <c r="CI15" s="11"/>
      <c r="CJ15" s="9"/>
      <c r="CK15" s="9"/>
      <c r="CL15" s="9"/>
      <c r="CM15" s="9"/>
      <c r="CN15" s="10"/>
      <c r="CO15" s="9"/>
      <c r="CP15" s="11"/>
      <c r="CQ15" s="9"/>
    </row>
    <row r="16" spans="1:95" ht="12.75">
      <c r="A16" s="20" t="s">
        <v>104</v>
      </c>
      <c r="B16" s="9"/>
      <c r="C16" s="9"/>
      <c r="D16" s="10"/>
      <c r="E16" s="9"/>
      <c r="F16" s="11"/>
      <c r="G16" s="9"/>
      <c r="H16" s="9"/>
      <c r="I16" s="9"/>
      <c r="J16" s="20" t="s">
        <v>104</v>
      </c>
      <c r="K16" s="9"/>
      <c r="L16" s="9"/>
      <c r="M16" s="10"/>
      <c r="N16" s="9"/>
      <c r="O16" s="11"/>
      <c r="P16" s="9"/>
      <c r="Q16" s="9"/>
      <c r="R16" s="20" t="s">
        <v>104</v>
      </c>
      <c r="S16" s="9"/>
      <c r="T16" s="9"/>
      <c r="U16" s="10"/>
      <c r="V16" s="9"/>
      <c r="W16" s="11"/>
      <c r="X16" s="9"/>
      <c r="Y16" s="20" t="s">
        <v>104</v>
      </c>
      <c r="Z16" s="9"/>
      <c r="AA16" s="9"/>
      <c r="AB16" s="10"/>
      <c r="AC16" s="9"/>
      <c r="AD16" s="11"/>
      <c r="AE16" s="11"/>
      <c r="AF16" s="9"/>
      <c r="AG16" s="20" t="s">
        <v>104</v>
      </c>
      <c r="AH16" s="9"/>
      <c r="AI16" s="9"/>
      <c r="AJ16" s="10"/>
      <c r="AK16" s="9"/>
      <c r="AL16" s="11"/>
      <c r="AM16" s="9"/>
      <c r="AN16" s="20" t="s">
        <v>104</v>
      </c>
      <c r="AO16" s="9"/>
      <c r="AP16" s="9"/>
      <c r="AQ16" s="10"/>
      <c r="AR16" s="9"/>
      <c r="AS16" s="11"/>
      <c r="AT16" s="9"/>
      <c r="AU16" s="20" t="s">
        <v>104</v>
      </c>
      <c r="AV16" s="9"/>
      <c r="AW16" s="9"/>
      <c r="AX16" s="10"/>
      <c r="AY16" s="9"/>
      <c r="AZ16" s="11"/>
      <c r="BA16" s="9"/>
      <c r="BB16" s="20" t="s">
        <v>104</v>
      </c>
      <c r="BC16" s="9"/>
      <c r="BD16" s="9"/>
      <c r="BE16" s="10"/>
      <c r="BF16" s="9"/>
      <c r="BG16" s="11"/>
      <c r="BH16" s="9"/>
      <c r="BI16" s="20" t="s">
        <v>104</v>
      </c>
      <c r="BJ16" s="9"/>
      <c r="BK16" s="9"/>
      <c r="BL16" s="10"/>
      <c r="BM16" s="9"/>
      <c r="BN16" s="11"/>
      <c r="BO16" s="9"/>
      <c r="BP16" s="20" t="s">
        <v>104</v>
      </c>
      <c r="BQ16" s="9"/>
      <c r="BR16" s="9"/>
      <c r="BS16" s="10"/>
      <c r="BT16" s="9"/>
      <c r="BU16" s="11"/>
      <c r="BV16" s="9"/>
      <c r="BW16" s="20" t="s">
        <v>104</v>
      </c>
      <c r="BX16" s="9"/>
      <c r="BY16" s="9"/>
      <c r="BZ16" s="10"/>
      <c r="CA16" s="9"/>
      <c r="CB16" s="11"/>
      <c r="CC16" s="9"/>
      <c r="CD16" s="20" t="s">
        <v>104</v>
      </c>
      <c r="CE16" s="9"/>
      <c r="CF16" s="9"/>
      <c r="CG16" s="10"/>
      <c r="CH16" s="9"/>
      <c r="CI16" s="11"/>
      <c r="CJ16" s="9"/>
      <c r="CK16" s="20" t="s">
        <v>104</v>
      </c>
      <c r="CL16" s="9"/>
      <c r="CM16" s="9"/>
      <c r="CN16" s="10"/>
      <c r="CO16" s="9"/>
      <c r="CP16" s="11"/>
      <c r="CQ16" s="9"/>
    </row>
    <row r="17" spans="1:95" ht="12.75">
      <c r="A17" s="9"/>
      <c r="B17" s="9"/>
      <c r="C17" s="9"/>
      <c r="D17" s="10"/>
      <c r="E17" s="9"/>
      <c r="F17" s="11"/>
      <c r="G17" s="9"/>
      <c r="H17" s="9"/>
      <c r="I17" s="9"/>
      <c r="J17" s="9"/>
      <c r="K17" s="9"/>
      <c r="L17" s="9"/>
      <c r="M17" s="10"/>
      <c r="N17" s="9"/>
      <c r="O17" s="11"/>
      <c r="P17" s="9"/>
      <c r="Q17" s="9"/>
      <c r="R17" s="9"/>
      <c r="S17" s="9"/>
      <c r="T17" s="9"/>
      <c r="U17" s="10"/>
      <c r="V17" s="9"/>
      <c r="W17" s="11"/>
      <c r="X17" s="9"/>
      <c r="Y17" s="9"/>
      <c r="Z17" s="9"/>
      <c r="AA17" s="9"/>
      <c r="AB17" s="10"/>
      <c r="AC17" s="9"/>
      <c r="AD17" s="11"/>
      <c r="AE17" s="11"/>
      <c r="AF17" s="9"/>
      <c r="AG17" s="9"/>
      <c r="AH17" s="9"/>
      <c r="AI17" s="9"/>
      <c r="AJ17" s="10"/>
      <c r="AK17" s="9"/>
      <c r="AL17" s="11"/>
      <c r="AM17" s="9"/>
      <c r="AN17" s="9"/>
      <c r="AO17" s="9"/>
      <c r="AP17" s="9"/>
      <c r="AQ17" s="10"/>
      <c r="AR17" s="9"/>
      <c r="AS17" s="11"/>
      <c r="AT17" s="9"/>
      <c r="AU17" s="9"/>
      <c r="AV17" s="9"/>
      <c r="AW17" s="9"/>
      <c r="AX17" s="10"/>
      <c r="AY17" s="9"/>
      <c r="AZ17" s="11"/>
      <c r="BA17" s="9"/>
      <c r="BB17" s="9"/>
      <c r="BC17" s="9"/>
      <c r="BD17" s="9"/>
      <c r="BE17" s="10"/>
      <c r="BF17" s="9"/>
      <c r="BG17" s="11"/>
      <c r="BH17" s="9"/>
      <c r="BI17" s="9"/>
      <c r="BJ17" s="9"/>
      <c r="BK17" s="9"/>
      <c r="BL17" s="10"/>
      <c r="BM17" s="9"/>
      <c r="BN17" s="11"/>
      <c r="BO17" s="9"/>
      <c r="BP17" s="9"/>
      <c r="BQ17" s="9"/>
      <c r="BR17" s="9"/>
      <c r="BS17" s="10"/>
      <c r="BT17" s="9"/>
      <c r="BU17" s="11"/>
      <c r="BV17" s="9"/>
      <c r="BW17" s="9"/>
      <c r="BX17" s="9"/>
      <c r="BY17" s="9"/>
      <c r="BZ17" s="10"/>
      <c r="CA17" s="9"/>
      <c r="CB17" s="11"/>
      <c r="CC17" s="9"/>
      <c r="CD17" s="9"/>
      <c r="CE17" s="9"/>
      <c r="CF17" s="9"/>
      <c r="CG17" s="10"/>
      <c r="CH17" s="9"/>
      <c r="CI17" s="11"/>
      <c r="CJ17" s="9"/>
      <c r="CK17" s="9"/>
      <c r="CL17" s="9"/>
      <c r="CM17" s="9"/>
      <c r="CN17" s="10"/>
      <c r="CO17" s="9"/>
      <c r="CP17" s="11"/>
      <c r="CQ17" s="9"/>
    </row>
    <row r="18" spans="1:95" s="30" customFormat="1" ht="12.75">
      <c r="A18" s="26"/>
      <c r="B18" s="26"/>
      <c r="C18" s="26"/>
      <c r="D18" s="28" t="s">
        <v>143</v>
      </c>
      <c r="E18" s="27" t="s">
        <v>96</v>
      </c>
      <c r="F18" s="29" t="s">
        <v>97</v>
      </c>
      <c r="G18" s="27" t="s">
        <v>96</v>
      </c>
      <c r="H18" s="26"/>
      <c r="I18" s="26"/>
      <c r="J18" s="28" t="s">
        <v>143</v>
      </c>
      <c r="K18" s="27" t="s">
        <v>96</v>
      </c>
      <c r="L18" s="29" t="s">
        <v>97</v>
      </c>
      <c r="M18" s="27" t="s">
        <v>96</v>
      </c>
      <c r="N18" s="65"/>
      <c r="O18" s="66"/>
      <c r="P18" s="13" t="s">
        <v>132</v>
      </c>
      <c r="Q18" s="26"/>
      <c r="R18" s="28" t="s">
        <v>143</v>
      </c>
      <c r="S18" s="27" t="s">
        <v>96</v>
      </c>
      <c r="T18" s="29" t="s">
        <v>97</v>
      </c>
      <c r="U18" s="27" t="s">
        <v>96</v>
      </c>
      <c r="V18" s="65"/>
      <c r="W18" s="66"/>
      <c r="X18" s="13"/>
      <c r="Y18" s="28" t="s">
        <v>143</v>
      </c>
      <c r="Z18" s="27" t="s">
        <v>96</v>
      </c>
      <c r="AA18" s="29" t="s">
        <v>97</v>
      </c>
      <c r="AB18" s="27" t="s">
        <v>96</v>
      </c>
      <c r="AC18" s="65"/>
      <c r="AD18" s="66"/>
      <c r="AE18" s="66"/>
      <c r="AF18" s="13"/>
      <c r="AG18" s="28" t="s">
        <v>143</v>
      </c>
      <c r="AH18" s="27" t="s">
        <v>96</v>
      </c>
      <c r="AI18" s="29" t="s">
        <v>97</v>
      </c>
      <c r="AJ18" s="27" t="s">
        <v>96</v>
      </c>
      <c r="AK18" s="65"/>
      <c r="AL18" s="66"/>
      <c r="AM18" s="13"/>
      <c r="AN18" s="94" t="s">
        <v>143</v>
      </c>
      <c r="AO18" s="45" t="s">
        <v>96</v>
      </c>
      <c r="AP18" s="93" t="s">
        <v>97</v>
      </c>
      <c r="AQ18" s="45" t="s">
        <v>96</v>
      </c>
      <c r="AR18" s="65"/>
      <c r="AS18" s="66"/>
      <c r="AT18" s="13"/>
      <c r="AU18" s="94" t="s">
        <v>143</v>
      </c>
      <c r="AV18" s="45" t="s">
        <v>96</v>
      </c>
      <c r="AW18" s="93" t="s">
        <v>97</v>
      </c>
      <c r="AX18" s="45" t="s">
        <v>96</v>
      </c>
      <c r="AY18" s="65"/>
      <c r="AZ18" s="66"/>
      <c r="BA18" s="13"/>
      <c r="BB18" s="94" t="s">
        <v>143</v>
      </c>
      <c r="BC18" s="45" t="s">
        <v>96</v>
      </c>
      <c r="BD18" s="93" t="s">
        <v>97</v>
      </c>
      <c r="BE18" s="45" t="s">
        <v>96</v>
      </c>
      <c r="BF18" s="65"/>
      <c r="BG18" s="66"/>
      <c r="BH18" s="13"/>
      <c r="BI18" s="94" t="s">
        <v>143</v>
      </c>
      <c r="BJ18" s="45" t="s">
        <v>96</v>
      </c>
      <c r="BK18" s="93" t="s">
        <v>97</v>
      </c>
      <c r="BL18" s="45" t="s">
        <v>96</v>
      </c>
      <c r="BM18" s="65"/>
      <c r="BN18" s="66"/>
      <c r="BO18" s="13"/>
      <c r="BP18" s="94" t="s">
        <v>143</v>
      </c>
      <c r="BQ18" s="45" t="s">
        <v>96</v>
      </c>
      <c r="BR18" s="93" t="s">
        <v>97</v>
      </c>
      <c r="BS18" s="45" t="s">
        <v>96</v>
      </c>
      <c r="BT18" s="65"/>
      <c r="BU18" s="66"/>
      <c r="BV18" s="13"/>
      <c r="BW18" s="94" t="s">
        <v>143</v>
      </c>
      <c r="BX18" s="45" t="s">
        <v>96</v>
      </c>
      <c r="BY18" s="93" t="s">
        <v>97</v>
      </c>
      <c r="BZ18" s="45" t="s">
        <v>96</v>
      </c>
      <c r="CA18" s="65"/>
      <c r="CB18" s="66"/>
      <c r="CC18" s="13"/>
      <c r="CD18" s="94" t="s">
        <v>143</v>
      </c>
      <c r="CE18" s="45" t="s">
        <v>96</v>
      </c>
      <c r="CF18" s="93" t="s">
        <v>97</v>
      </c>
      <c r="CG18" s="45" t="s">
        <v>96</v>
      </c>
      <c r="CH18" s="65"/>
      <c r="CI18" s="66"/>
      <c r="CJ18" s="13"/>
      <c r="CK18" s="94" t="s">
        <v>143</v>
      </c>
      <c r="CL18" s="45" t="s">
        <v>96</v>
      </c>
      <c r="CM18" s="93" t="s">
        <v>97</v>
      </c>
      <c r="CN18" s="45" t="s">
        <v>96</v>
      </c>
      <c r="CO18" s="65"/>
      <c r="CP18" s="66"/>
      <c r="CQ18" s="13"/>
    </row>
    <row r="19" spans="1:95" ht="12.75">
      <c r="A19" s="9"/>
      <c r="B19" s="9"/>
      <c r="C19" s="9"/>
      <c r="D19" s="10"/>
      <c r="E19" s="9"/>
      <c r="F19" s="11"/>
      <c r="G19" s="9"/>
      <c r="H19" s="9"/>
      <c r="I19" s="9"/>
      <c r="J19" s="10"/>
      <c r="K19" s="9"/>
      <c r="L19" s="11"/>
      <c r="N19" s="55"/>
      <c r="O19" s="56"/>
      <c r="P19" s="9"/>
      <c r="Q19" s="9"/>
      <c r="R19" s="10"/>
      <c r="S19" s="9"/>
      <c r="T19" s="11"/>
      <c r="U19" s="35"/>
      <c r="V19" s="55"/>
      <c r="W19" s="56"/>
      <c r="X19" s="9"/>
      <c r="Y19" s="10"/>
      <c r="Z19" s="9"/>
      <c r="AA19" s="11"/>
      <c r="AB19" s="35"/>
      <c r="AC19" s="55"/>
      <c r="AD19" s="56"/>
      <c r="AE19" s="56"/>
      <c r="AF19" s="9"/>
      <c r="AG19" s="10"/>
      <c r="AH19" s="9"/>
      <c r="AI19" s="11"/>
      <c r="AJ19" s="35"/>
      <c r="AK19" s="55"/>
      <c r="AL19" s="56"/>
      <c r="AM19" s="9"/>
      <c r="AN19" s="10"/>
      <c r="AO19" s="9"/>
      <c r="AP19" s="11"/>
      <c r="AQ19" s="35"/>
      <c r="AR19" s="55"/>
      <c r="AS19" s="56"/>
      <c r="AT19" s="9"/>
      <c r="AU19" s="10"/>
      <c r="AV19" s="9"/>
      <c r="AW19" s="11"/>
      <c r="AX19" s="35"/>
      <c r="AY19" s="55"/>
      <c r="AZ19" s="56"/>
      <c r="BA19" s="9"/>
      <c r="BB19" s="10"/>
      <c r="BC19" s="9"/>
      <c r="BD19" s="11"/>
      <c r="BE19" s="35"/>
      <c r="BF19" s="55"/>
      <c r="BG19" s="56"/>
      <c r="BH19" s="9"/>
      <c r="BI19" s="10"/>
      <c r="BJ19" s="9"/>
      <c r="BK19" s="11"/>
      <c r="BL19" s="35"/>
      <c r="BM19" s="55"/>
      <c r="BN19" s="56"/>
      <c r="BO19" s="9"/>
      <c r="BP19" s="10"/>
      <c r="BQ19" s="9"/>
      <c r="BR19" s="11"/>
      <c r="BS19" s="35"/>
      <c r="BT19" s="55"/>
      <c r="BU19" s="56"/>
      <c r="BV19" s="9"/>
      <c r="BW19" s="10"/>
      <c r="BX19" s="9"/>
      <c r="BY19" s="11"/>
      <c r="BZ19" s="35"/>
      <c r="CA19" s="55"/>
      <c r="CB19" s="56"/>
      <c r="CC19" s="9"/>
      <c r="CD19" s="10"/>
      <c r="CE19" s="9"/>
      <c r="CF19" s="11"/>
      <c r="CG19" s="35"/>
      <c r="CH19" s="55"/>
      <c r="CI19" s="56"/>
      <c r="CJ19" s="9"/>
      <c r="CK19" s="10"/>
      <c r="CL19" s="9"/>
      <c r="CM19" s="11"/>
      <c r="CN19" s="35"/>
      <c r="CO19" s="55"/>
      <c r="CP19" s="56"/>
      <c r="CQ19" s="9"/>
    </row>
    <row r="20" spans="1:95" ht="12.75">
      <c r="A20" s="9" t="s">
        <v>50</v>
      </c>
      <c r="B20" s="9"/>
      <c r="C20" s="9"/>
      <c r="D20" s="10">
        <v>31660.21</v>
      </c>
      <c r="E20" s="15">
        <v>0.0033016929792957475</v>
      </c>
      <c r="F20" s="11">
        <v>5</v>
      </c>
      <c r="G20" s="15">
        <v>0.008992805755395683</v>
      </c>
      <c r="H20" s="9"/>
      <c r="I20" s="9"/>
      <c r="J20" s="10">
        <v>26557.71</v>
      </c>
      <c r="K20" s="15">
        <v>0.002871440549435681</v>
      </c>
      <c r="L20" s="11">
        <v>4</v>
      </c>
      <c r="M20" s="15">
        <v>0.007285974499089253</v>
      </c>
      <c r="N20" s="57"/>
      <c r="O20" s="56"/>
      <c r="P20" s="15">
        <v>0.02068194522079374</v>
      </c>
      <c r="Q20" s="9"/>
      <c r="R20" s="10">
        <v>83621.79</v>
      </c>
      <c r="S20" s="15">
        <v>0.003563276660901073</v>
      </c>
      <c r="T20" s="11">
        <v>47</v>
      </c>
      <c r="U20" s="15">
        <v>0.035179640718562874</v>
      </c>
      <c r="V20" s="57"/>
      <c r="W20" s="56"/>
      <c r="X20" s="15"/>
      <c r="Y20" s="10">
        <v>65987.07</v>
      </c>
      <c r="Z20" s="15">
        <v>0.0016270968657853939</v>
      </c>
      <c r="AA20" s="11">
        <v>9</v>
      </c>
      <c r="AB20" s="15">
        <v>0.004134129536058797</v>
      </c>
      <c r="AC20" s="57"/>
      <c r="AD20" s="56"/>
      <c r="AE20" s="56"/>
      <c r="AF20" s="15"/>
      <c r="AG20" s="10">
        <v>257585.41</v>
      </c>
      <c r="AH20" s="15">
        <v>0.004614679179109387</v>
      </c>
      <c r="AI20" s="11">
        <v>102</v>
      </c>
      <c r="AJ20" s="15">
        <v>0.03450608930987822</v>
      </c>
      <c r="AK20" s="57"/>
      <c r="AL20" s="56"/>
      <c r="AM20" s="15"/>
      <c r="AN20" s="10">
        <v>200887.72</v>
      </c>
      <c r="AO20" s="15">
        <v>0.0033922572441832254</v>
      </c>
      <c r="AP20" s="11">
        <v>16</v>
      </c>
      <c r="AQ20" s="15">
        <v>0.005431093007467753</v>
      </c>
      <c r="AR20" s="57"/>
      <c r="AS20" s="56"/>
      <c r="AT20" s="15"/>
      <c r="AU20" s="10">
        <v>277966.25</v>
      </c>
      <c r="AV20" s="15">
        <v>0.003619637710109515</v>
      </c>
      <c r="AW20" s="11">
        <v>22</v>
      </c>
      <c r="AX20" s="15">
        <v>0.0060373216245883645</v>
      </c>
      <c r="AY20" s="57"/>
      <c r="AZ20" s="56"/>
      <c r="BA20" s="15"/>
      <c r="BB20" s="10">
        <v>276734.03</v>
      </c>
      <c r="BC20" s="15">
        <v>0.0033141718665856417</v>
      </c>
      <c r="BD20" s="11">
        <v>22</v>
      </c>
      <c r="BE20" s="15">
        <v>0.005766710353866317</v>
      </c>
      <c r="BF20" s="57"/>
      <c r="BG20" s="56"/>
      <c r="BH20" s="15"/>
      <c r="BI20" s="10">
        <v>380251.99</v>
      </c>
      <c r="BJ20" s="15">
        <v>0.0043880659632674</v>
      </c>
      <c r="BK20" s="11">
        <v>26</v>
      </c>
      <c r="BL20" s="15">
        <v>0.006737496760818865</v>
      </c>
      <c r="BM20" s="57"/>
      <c r="BN20" s="56"/>
      <c r="BO20" s="15"/>
      <c r="BP20" s="10">
        <v>688046.4</v>
      </c>
      <c r="BQ20" s="15">
        <v>0.00669498770230629</v>
      </c>
      <c r="BR20" s="11">
        <v>51</v>
      </c>
      <c r="BS20" s="15">
        <v>0.011541072640868975</v>
      </c>
      <c r="BT20" s="57"/>
      <c r="BU20" s="56"/>
      <c r="BV20" s="15"/>
      <c r="BW20" s="10">
        <v>647974.56</v>
      </c>
      <c r="BX20" s="15">
        <v>0.006045557442358648</v>
      </c>
      <c r="BY20" s="11">
        <v>47</v>
      </c>
      <c r="BZ20" s="15">
        <v>0.010444444444444444</v>
      </c>
      <c r="CA20" s="57"/>
      <c r="CB20" s="56"/>
      <c r="CC20" s="15"/>
      <c r="CD20" s="10">
        <v>863257.37</v>
      </c>
      <c r="CE20" s="15">
        <v>0.007509847193383677</v>
      </c>
      <c r="CF20" s="11">
        <v>52</v>
      </c>
      <c r="CG20" s="15">
        <v>0.011144449207029576</v>
      </c>
      <c r="CH20" s="57"/>
      <c r="CI20" s="56"/>
      <c r="CJ20" s="15"/>
      <c r="CK20" s="10">
        <v>834075.46</v>
      </c>
      <c r="CL20" s="15">
        <v>0.007287070452570325</v>
      </c>
      <c r="CM20" s="11">
        <v>51</v>
      </c>
      <c r="CN20" s="15">
        <v>0.011169513797634692</v>
      </c>
      <c r="CO20" s="57"/>
      <c r="CP20" s="56"/>
      <c r="CQ20" s="15"/>
    </row>
    <row r="21" spans="1:95" ht="12.75">
      <c r="A21" s="9" t="s">
        <v>51</v>
      </c>
      <c r="B21" s="9"/>
      <c r="C21" s="9"/>
      <c r="D21" s="10">
        <v>281998.2</v>
      </c>
      <c r="E21" s="15">
        <v>0.029408253360102096</v>
      </c>
      <c r="F21" s="11">
        <v>24</v>
      </c>
      <c r="G21" s="15">
        <v>0.04316546762589928</v>
      </c>
      <c r="H21" s="9"/>
      <c r="I21" s="9"/>
      <c r="J21" s="10">
        <v>272650.53</v>
      </c>
      <c r="K21" s="15">
        <v>0.02947919032428358</v>
      </c>
      <c r="L21" s="11">
        <v>24</v>
      </c>
      <c r="M21" s="15">
        <v>0.04371584699453552</v>
      </c>
      <c r="N21" s="57"/>
      <c r="O21" s="56"/>
      <c r="P21" s="15">
        <v>0.05589714924538849</v>
      </c>
      <c r="Q21" s="9"/>
      <c r="R21" s="10">
        <v>417526.05</v>
      </c>
      <c r="S21" s="15">
        <v>0.017791544874645886</v>
      </c>
      <c r="T21" s="11">
        <v>37</v>
      </c>
      <c r="U21" s="15">
        <v>0.027694610778443114</v>
      </c>
      <c r="V21" s="57"/>
      <c r="W21" s="56"/>
      <c r="X21" s="15"/>
      <c r="Y21" s="10">
        <v>775629.79</v>
      </c>
      <c r="Z21" s="15">
        <v>0.0191253347105544</v>
      </c>
      <c r="AA21" s="11">
        <v>61</v>
      </c>
      <c r="AB21" s="15">
        <v>0.028020211299954065</v>
      </c>
      <c r="AC21" s="57"/>
      <c r="AD21" s="56"/>
      <c r="AE21" s="56"/>
      <c r="AF21" s="15"/>
      <c r="AG21" s="10">
        <v>1099585.75</v>
      </c>
      <c r="AH21" s="15">
        <v>0.019699234774867017</v>
      </c>
      <c r="AI21" s="11">
        <v>81</v>
      </c>
      <c r="AJ21" s="15">
        <v>0.02740189445196211</v>
      </c>
      <c r="AK21" s="57"/>
      <c r="AL21" s="56"/>
      <c r="AM21" s="15"/>
      <c r="AN21" s="10">
        <v>1120705.29</v>
      </c>
      <c r="AO21" s="15">
        <v>0.018924604443701004</v>
      </c>
      <c r="AP21" s="11">
        <v>87</v>
      </c>
      <c r="AQ21" s="15">
        <v>0.029531568228105907</v>
      </c>
      <c r="AR21" s="57"/>
      <c r="AS21" s="56"/>
      <c r="AT21" s="15"/>
      <c r="AU21" s="10">
        <v>1641959.95</v>
      </c>
      <c r="AV21" s="15">
        <v>0.021381373290856473</v>
      </c>
      <c r="AW21" s="11">
        <v>122</v>
      </c>
      <c r="AX21" s="15">
        <v>0.033479692645444564</v>
      </c>
      <c r="AY21" s="57"/>
      <c r="AZ21" s="56"/>
      <c r="BA21" s="15"/>
      <c r="BB21" s="10">
        <v>1948194.57</v>
      </c>
      <c r="BC21" s="15">
        <v>0.023331614238151006</v>
      </c>
      <c r="BD21" s="11">
        <v>136</v>
      </c>
      <c r="BE21" s="15">
        <v>0.03564875491480996</v>
      </c>
      <c r="BF21" s="57"/>
      <c r="BG21" s="56"/>
      <c r="BH21" s="15"/>
      <c r="BI21" s="10">
        <v>2195016.16</v>
      </c>
      <c r="BJ21" s="15">
        <v>0.02533024403243205</v>
      </c>
      <c r="BK21" s="11">
        <v>152</v>
      </c>
      <c r="BL21" s="15">
        <v>0.03938844260171029</v>
      </c>
      <c r="BM21" s="57"/>
      <c r="BN21" s="56"/>
      <c r="BO21" s="15"/>
      <c r="BP21" s="10">
        <v>3532645.28</v>
      </c>
      <c r="BQ21" s="15">
        <v>0.034374159513385086</v>
      </c>
      <c r="BR21" s="11">
        <v>217</v>
      </c>
      <c r="BS21" s="15">
        <v>0.0491061326091876</v>
      </c>
      <c r="BT21" s="57"/>
      <c r="BU21" s="56"/>
      <c r="BV21" s="15"/>
      <c r="BW21" s="10">
        <v>3643253.54</v>
      </c>
      <c r="BX21" s="15">
        <v>0.033991301376317125</v>
      </c>
      <c r="BY21" s="11">
        <v>230</v>
      </c>
      <c r="BZ21" s="15">
        <v>0.051111111111111114</v>
      </c>
      <c r="CA21" s="57"/>
      <c r="CB21" s="56"/>
      <c r="CC21" s="15"/>
      <c r="CD21" s="10">
        <v>4148799.28</v>
      </c>
      <c r="CE21" s="15">
        <v>0.036092189550400514</v>
      </c>
      <c r="CF21" s="11">
        <v>256</v>
      </c>
      <c r="CG21" s="15">
        <v>0.05486498071153022</v>
      </c>
      <c r="CH21" s="57"/>
      <c r="CI21" s="56"/>
      <c r="CJ21" s="15"/>
      <c r="CK21" s="10">
        <v>4417460.04</v>
      </c>
      <c r="CL21" s="15">
        <v>0.03859404103903755</v>
      </c>
      <c r="CM21" s="11">
        <v>273</v>
      </c>
      <c r="CN21" s="15">
        <v>0.059789750328515114</v>
      </c>
      <c r="CO21" s="57"/>
      <c r="CP21" s="56"/>
      <c r="CQ21" s="15"/>
    </row>
    <row r="22" spans="1:95" ht="12.75">
      <c r="A22" s="9" t="s">
        <v>52</v>
      </c>
      <c r="B22" s="9"/>
      <c r="C22" s="9"/>
      <c r="D22" s="10">
        <v>90804.53</v>
      </c>
      <c r="E22" s="15">
        <v>0.009469573296868533</v>
      </c>
      <c r="F22" s="11">
        <v>9</v>
      </c>
      <c r="G22" s="15">
        <v>0.01618705035971223</v>
      </c>
      <c r="H22" s="9"/>
      <c r="I22" s="9"/>
      <c r="J22" s="10">
        <v>88070.6</v>
      </c>
      <c r="K22" s="15">
        <v>0.00952226272721293</v>
      </c>
      <c r="L22" s="11">
        <v>9</v>
      </c>
      <c r="M22" s="15">
        <v>0.01639344262295082</v>
      </c>
      <c r="N22" s="57"/>
      <c r="O22" s="56"/>
      <c r="P22" s="15">
        <v>0.017887087758524316</v>
      </c>
      <c r="Q22" s="9"/>
      <c r="R22" s="10">
        <v>277468.25</v>
      </c>
      <c r="S22" s="15">
        <v>0.011823427115899626</v>
      </c>
      <c r="T22" s="11">
        <v>24</v>
      </c>
      <c r="U22" s="15">
        <v>0.017964071856287425</v>
      </c>
      <c r="V22" s="57"/>
      <c r="W22" s="56"/>
      <c r="X22" s="15"/>
      <c r="Y22" s="10">
        <v>504600.11</v>
      </c>
      <c r="Z22" s="15">
        <v>0.01244233540686024</v>
      </c>
      <c r="AA22" s="11">
        <v>41</v>
      </c>
      <c r="AB22" s="15">
        <v>0.018833256775378962</v>
      </c>
      <c r="AC22" s="57"/>
      <c r="AD22" s="56"/>
      <c r="AE22" s="56"/>
      <c r="AF22" s="15"/>
      <c r="AG22" s="10">
        <v>592239.19</v>
      </c>
      <c r="AH22" s="15">
        <v>0.010610049145041276</v>
      </c>
      <c r="AI22" s="11">
        <v>49</v>
      </c>
      <c r="AJ22" s="15">
        <v>0.016576454668470908</v>
      </c>
      <c r="AK22" s="57"/>
      <c r="AL22" s="56"/>
      <c r="AM22" s="15"/>
      <c r="AN22" s="10">
        <v>772804.42</v>
      </c>
      <c r="AO22" s="15">
        <v>0.013049833967361557</v>
      </c>
      <c r="AP22" s="11">
        <v>57</v>
      </c>
      <c r="AQ22" s="15">
        <v>0.019348268839103868</v>
      </c>
      <c r="AR22" s="57"/>
      <c r="AS22" s="56"/>
      <c r="AT22" s="15"/>
      <c r="AU22" s="10">
        <v>914660.59</v>
      </c>
      <c r="AV22" s="15">
        <v>0.01191058253840176</v>
      </c>
      <c r="AW22" s="11">
        <v>64</v>
      </c>
      <c r="AX22" s="15">
        <v>0.01756311745334797</v>
      </c>
      <c r="AY22" s="57"/>
      <c r="AZ22" s="56"/>
      <c r="BA22" s="15"/>
      <c r="BB22" s="10">
        <v>1294092.95</v>
      </c>
      <c r="BC22" s="15">
        <v>0.015498081127343893</v>
      </c>
      <c r="BD22" s="11">
        <v>79</v>
      </c>
      <c r="BE22" s="15">
        <v>0.02070773263433814</v>
      </c>
      <c r="BF22" s="57"/>
      <c r="BG22" s="56"/>
      <c r="BH22" s="15"/>
      <c r="BI22" s="10">
        <v>1348840.8</v>
      </c>
      <c r="BJ22" s="15">
        <v>0.015565473843664487</v>
      </c>
      <c r="BK22" s="11">
        <v>73</v>
      </c>
      <c r="BL22" s="15">
        <v>0.01891681782845297</v>
      </c>
      <c r="BM22" s="57"/>
      <c r="BN22" s="56"/>
      <c r="BO22" s="15"/>
      <c r="BP22" s="10">
        <v>1857286</v>
      </c>
      <c r="BQ22" s="15">
        <v>0.01807219241270014</v>
      </c>
      <c r="BR22" s="11">
        <v>104</v>
      </c>
      <c r="BS22" s="15">
        <v>0.023534736365693597</v>
      </c>
      <c r="BT22" s="57"/>
      <c r="BU22" s="56"/>
      <c r="BV22" s="15"/>
      <c r="BW22" s="10">
        <v>1920857.96</v>
      </c>
      <c r="BX22" s="15">
        <v>0.017921470768531178</v>
      </c>
      <c r="BY22" s="11">
        <v>104</v>
      </c>
      <c r="BZ22" s="15">
        <v>0.02311111111111111</v>
      </c>
      <c r="CA22" s="57"/>
      <c r="CB22" s="56"/>
      <c r="CC22" s="15"/>
      <c r="CD22" s="10">
        <v>2029978</v>
      </c>
      <c r="CE22" s="15">
        <v>0.01765965182078968</v>
      </c>
      <c r="CF22" s="11">
        <v>113</v>
      </c>
      <c r="CG22" s="15">
        <v>0.024217745392198887</v>
      </c>
      <c r="CH22" s="57"/>
      <c r="CI22" s="56"/>
      <c r="CJ22" s="15"/>
      <c r="CK22" s="10">
        <v>2181192.06</v>
      </c>
      <c r="CL22" s="15">
        <v>0.019056429512752947</v>
      </c>
      <c r="CM22" s="11">
        <v>119</v>
      </c>
      <c r="CN22" s="15">
        <v>0.026062198861147613</v>
      </c>
      <c r="CO22" s="57"/>
      <c r="CP22" s="56"/>
      <c r="CQ22" s="15"/>
    </row>
    <row r="23" spans="1:95" ht="12.75">
      <c r="A23" s="9" t="s">
        <v>53</v>
      </c>
      <c r="B23" s="9"/>
      <c r="C23" s="9"/>
      <c r="D23" s="10">
        <v>242446.85</v>
      </c>
      <c r="E23" s="15">
        <v>0.025283630857071675</v>
      </c>
      <c r="F23" s="11">
        <v>16</v>
      </c>
      <c r="G23" s="15">
        <v>0.02877697841726619</v>
      </c>
      <c r="H23" s="9"/>
      <c r="I23" s="9"/>
      <c r="J23" s="10">
        <v>236000.85</v>
      </c>
      <c r="K23" s="15">
        <v>0.025516598019606648</v>
      </c>
      <c r="L23" s="11">
        <v>16</v>
      </c>
      <c r="M23" s="15">
        <v>0.029143897996357013</v>
      </c>
      <c r="N23" s="57"/>
      <c r="O23" s="56"/>
      <c r="P23" s="15">
        <v>0.03297931805477921</v>
      </c>
      <c r="Q23" s="9"/>
      <c r="R23" s="10">
        <v>342420.19</v>
      </c>
      <c r="S23" s="15">
        <v>0.01459114748976686</v>
      </c>
      <c r="T23" s="11">
        <v>24</v>
      </c>
      <c r="U23" s="15">
        <v>0.017964071856287425</v>
      </c>
      <c r="V23" s="57"/>
      <c r="W23" s="56"/>
      <c r="X23" s="15"/>
      <c r="Y23" s="10">
        <v>503677.64</v>
      </c>
      <c r="Z23" s="15">
        <v>0.0124195893136365</v>
      </c>
      <c r="AA23" s="11">
        <v>37</v>
      </c>
      <c r="AB23" s="15">
        <v>0.016995865870463943</v>
      </c>
      <c r="AC23" s="57"/>
      <c r="AD23" s="56"/>
      <c r="AE23" s="56"/>
      <c r="AF23" s="15"/>
      <c r="AG23" s="10">
        <v>792777.42</v>
      </c>
      <c r="AH23" s="15">
        <v>0.014202719997774936</v>
      </c>
      <c r="AI23" s="11">
        <v>53</v>
      </c>
      <c r="AJ23" s="15">
        <v>0.017929634641407306</v>
      </c>
      <c r="AK23" s="57"/>
      <c r="AL23" s="56"/>
      <c r="AM23" s="15"/>
      <c r="AN23" s="10">
        <v>788506.51</v>
      </c>
      <c r="AO23" s="15">
        <v>0.01331498471202288</v>
      </c>
      <c r="AP23" s="11">
        <v>54</v>
      </c>
      <c r="AQ23" s="15">
        <v>0.018329938900203666</v>
      </c>
      <c r="AR23" s="57"/>
      <c r="AS23" s="56"/>
      <c r="AT23" s="15"/>
      <c r="AU23" s="10">
        <v>1220469.93</v>
      </c>
      <c r="AV23" s="15">
        <v>0.015892789080266832</v>
      </c>
      <c r="AW23" s="11">
        <v>75</v>
      </c>
      <c r="AX23" s="15">
        <v>0.020581778265642153</v>
      </c>
      <c r="AY23" s="57"/>
      <c r="AZ23" s="56"/>
      <c r="BA23" s="15"/>
      <c r="BB23" s="10">
        <v>1546023.01</v>
      </c>
      <c r="BC23" s="15">
        <v>0.018515200190002124</v>
      </c>
      <c r="BD23" s="11">
        <v>88</v>
      </c>
      <c r="BE23" s="15">
        <v>0.023066841415465267</v>
      </c>
      <c r="BF23" s="57"/>
      <c r="BG23" s="56"/>
      <c r="BH23" s="15"/>
      <c r="BI23" s="10">
        <v>1805736.23</v>
      </c>
      <c r="BJ23" s="15">
        <v>0.02083799663875997</v>
      </c>
      <c r="BK23" s="11">
        <v>110</v>
      </c>
      <c r="BL23" s="15">
        <v>0.028504793988079813</v>
      </c>
      <c r="BM23" s="57"/>
      <c r="BN23" s="56"/>
      <c r="BO23" s="15"/>
      <c r="BP23" s="10">
        <v>2034848.17</v>
      </c>
      <c r="BQ23" s="15">
        <v>0.019799948774109496</v>
      </c>
      <c r="BR23" s="11">
        <v>123</v>
      </c>
      <c r="BS23" s="15">
        <v>0.027834351663272233</v>
      </c>
      <c r="BT23" s="57"/>
      <c r="BU23" s="56"/>
      <c r="BV23" s="15"/>
      <c r="BW23" s="10">
        <v>2319653.57</v>
      </c>
      <c r="BX23" s="15">
        <v>0.021642205990011872</v>
      </c>
      <c r="BY23" s="11">
        <v>138</v>
      </c>
      <c r="BZ23" s="15">
        <v>0.030666666666666665</v>
      </c>
      <c r="CA23" s="57"/>
      <c r="CB23" s="56"/>
      <c r="CC23" s="15"/>
      <c r="CD23" s="10">
        <v>2649950.52</v>
      </c>
      <c r="CE23" s="15">
        <v>0.023053059454595355</v>
      </c>
      <c r="CF23" s="11">
        <v>158</v>
      </c>
      <c r="CG23" s="15">
        <v>0.03386198028289756</v>
      </c>
      <c r="CH23" s="57"/>
      <c r="CI23" s="56"/>
      <c r="CJ23" s="15"/>
      <c r="CK23" s="10">
        <v>2735764.21</v>
      </c>
      <c r="CL23" s="15">
        <v>0.023901562263791327</v>
      </c>
      <c r="CM23" s="11">
        <v>159</v>
      </c>
      <c r="CN23" s="15">
        <v>0.03482260183968462</v>
      </c>
      <c r="CO23" s="57"/>
      <c r="CP23" s="56"/>
      <c r="CQ23" s="15"/>
    </row>
    <row r="24" spans="1:95" ht="12.75">
      <c r="A24" s="9" t="s">
        <v>54</v>
      </c>
      <c r="B24" s="9"/>
      <c r="C24" s="9"/>
      <c r="D24" s="10">
        <v>163335.73</v>
      </c>
      <c r="E24" s="15">
        <v>0.017033507769188706</v>
      </c>
      <c r="F24" s="11">
        <v>15</v>
      </c>
      <c r="G24" s="15">
        <v>0.02697841726618705</v>
      </c>
      <c r="H24" s="9"/>
      <c r="I24" s="9"/>
      <c r="J24" s="10">
        <v>142039.71</v>
      </c>
      <c r="K24" s="15">
        <v>0.015357445462130762</v>
      </c>
      <c r="L24" s="11">
        <v>13</v>
      </c>
      <c r="M24" s="15">
        <v>0.023679417122040074</v>
      </c>
      <c r="N24" s="57"/>
      <c r="O24" s="56"/>
      <c r="P24" s="15">
        <v>0.03465623253214086</v>
      </c>
      <c r="Q24" s="9"/>
      <c r="R24" s="10">
        <v>397186.21</v>
      </c>
      <c r="S24" s="15">
        <v>0.016924827274383294</v>
      </c>
      <c r="T24" s="11">
        <v>29</v>
      </c>
      <c r="U24" s="15">
        <v>0.021706586826347306</v>
      </c>
      <c r="V24" s="57"/>
      <c r="W24" s="56"/>
      <c r="X24" s="15"/>
      <c r="Y24" s="10">
        <v>622434.92</v>
      </c>
      <c r="Z24" s="15">
        <v>0.015347884176208798</v>
      </c>
      <c r="AA24" s="11">
        <v>46</v>
      </c>
      <c r="AB24" s="15">
        <v>0.021129995406522738</v>
      </c>
      <c r="AC24" s="57"/>
      <c r="AD24" s="56"/>
      <c r="AE24" s="56"/>
      <c r="AF24" s="15"/>
      <c r="AG24" s="10">
        <v>925535</v>
      </c>
      <c r="AH24" s="15">
        <v>0.016581090885687218</v>
      </c>
      <c r="AI24" s="11">
        <v>65</v>
      </c>
      <c r="AJ24" s="15">
        <v>0.02198917456021651</v>
      </c>
      <c r="AK24" s="57"/>
      <c r="AL24" s="56"/>
      <c r="AM24" s="15"/>
      <c r="AN24" s="10">
        <v>1010114.97</v>
      </c>
      <c r="AO24" s="15">
        <v>0.017057139303688757</v>
      </c>
      <c r="AP24" s="11">
        <v>71</v>
      </c>
      <c r="AQ24" s="15">
        <v>0.024100475220638153</v>
      </c>
      <c r="AR24" s="57"/>
      <c r="AS24" s="56"/>
      <c r="AT24" s="15"/>
      <c r="AU24" s="10">
        <v>1682631.89</v>
      </c>
      <c r="AV24" s="15">
        <v>0.021910997616713696</v>
      </c>
      <c r="AW24" s="11">
        <v>111</v>
      </c>
      <c r="AX24" s="15">
        <v>0.030461031833150385</v>
      </c>
      <c r="AY24" s="57"/>
      <c r="AZ24" s="56"/>
      <c r="BA24" s="15"/>
      <c r="BB24" s="10">
        <v>1871692.02</v>
      </c>
      <c r="BC24" s="15">
        <v>0.02241541828302377</v>
      </c>
      <c r="BD24" s="11">
        <v>117</v>
      </c>
      <c r="BE24" s="15">
        <v>0.030668414154652688</v>
      </c>
      <c r="BF24" s="57"/>
      <c r="BG24" s="56"/>
      <c r="BH24" s="15"/>
      <c r="BI24" s="10">
        <v>2286401.74</v>
      </c>
      <c r="BJ24" s="15">
        <v>0.026384823531493826</v>
      </c>
      <c r="BK24" s="11">
        <v>129</v>
      </c>
      <c r="BL24" s="15">
        <v>0.0334283493132936</v>
      </c>
      <c r="BM24" s="57"/>
      <c r="BN24" s="56"/>
      <c r="BO24" s="15"/>
      <c r="BP24" s="10">
        <v>3125547.61</v>
      </c>
      <c r="BQ24" s="15">
        <v>0.030412923913158803</v>
      </c>
      <c r="BR24" s="11">
        <v>167</v>
      </c>
      <c r="BS24" s="15">
        <v>0.03779135551029645</v>
      </c>
      <c r="BT24" s="57"/>
      <c r="BU24" s="56"/>
      <c r="BV24" s="15"/>
      <c r="BW24" s="10">
        <v>3257544.52</v>
      </c>
      <c r="BX24" s="15">
        <v>0.030392663126621252</v>
      </c>
      <c r="BY24" s="11">
        <v>174</v>
      </c>
      <c r="BZ24" s="15">
        <v>0.03866666666666667</v>
      </c>
      <c r="CA24" s="57"/>
      <c r="CB24" s="56"/>
      <c r="CC24" s="15"/>
      <c r="CD24" s="10">
        <v>3671097.08</v>
      </c>
      <c r="CE24" s="15">
        <v>0.03193645262811602</v>
      </c>
      <c r="CF24" s="11">
        <v>185</v>
      </c>
      <c r="CG24" s="15">
        <v>0.03964852121731676</v>
      </c>
      <c r="CH24" s="57"/>
      <c r="CI24" s="56"/>
      <c r="CJ24" s="15"/>
      <c r="CK24" s="10">
        <v>4148478.61</v>
      </c>
      <c r="CL24" s="15">
        <v>0.036244029889155344</v>
      </c>
      <c r="CM24" s="11">
        <v>199</v>
      </c>
      <c r="CN24" s="15">
        <v>0.04358300481822164</v>
      </c>
      <c r="CO24" s="57"/>
      <c r="CP24" s="56"/>
      <c r="CQ24" s="15"/>
    </row>
    <row r="25" spans="1:95" ht="12.75">
      <c r="A25" s="9" t="s">
        <v>55</v>
      </c>
      <c r="B25" s="9"/>
      <c r="C25" s="9"/>
      <c r="D25" s="10">
        <v>205403.92</v>
      </c>
      <c r="E25" s="15">
        <v>0.021420599565948092</v>
      </c>
      <c r="F25" s="11">
        <v>15</v>
      </c>
      <c r="G25" s="15">
        <v>0.02697841726618705</v>
      </c>
      <c r="H25" s="9"/>
      <c r="I25" s="9"/>
      <c r="J25" s="10">
        <v>200871.82</v>
      </c>
      <c r="K25" s="15">
        <v>0.021718419592161572</v>
      </c>
      <c r="L25" s="11">
        <v>15</v>
      </c>
      <c r="M25" s="15">
        <v>0.0273224043715847</v>
      </c>
      <c r="N25" s="57"/>
      <c r="O25" s="56"/>
      <c r="P25" s="15">
        <v>0.040804918949133594</v>
      </c>
      <c r="Q25" s="9"/>
      <c r="R25" s="10">
        <v>553591.12</v>
      </c>
      <c r="S25" s="15">
        <v>0.0235895251414504</v>
      </c>
      <c r="T25" s="11">
        <v>34</v>
      </c>
      <c r="U25" s="15">
        <v>0.025449101796407185</v>
      </c>
      <c r="V25" s="57"/>
      <c r="W25" s="56"/>
      <c r="X25" s="15"/>
      <c r="Y25" s="10">
        <v>1162221.38</v>
      </c>
      <c r="Z25" s="15">
        <v>0.02865783803928218</v>
      </c>
      <c r="AA25" s="11">
        <v>69</v>
      </c>
      <c r="AB25" s="15">
        <v>0.0316949931097841</v>
      </c>
      <c r="AC25" s="57"/>
      <c r="AD25" s="56"/>
      <c r="AE25" s="56"/>
      <c r="AF25" s="15"/>
      <c r="AG25" s="10">
        <v>1363750.97</v>
      </c>
      <c r="AH25" s="15">
        <v>0.024431792183995313</v>
      </c>
      <c r="AI25" s="11">
        <v>89</v>
      </c>
      <c r="AJ25" s="15">
        <v>0.030108254397834912</v>
      </c>
      <c r="AK25" s="57"/>
      <c r="AL25" s="56"/>
      <c r="AM25" s="15"/>
      <c r="AN25" s="10">
        <v>1837140.08</v>
      </c>
      <c r="AO25" s="15">
        <v>0.03102256198118706</v>
      </c>
      <c r="AP25" s="11">
        <v>107</v>
      </c>
      <c r="AQ25" s="15">
        <v>0.0363204344874406</v>
      </c>
      <c r="AR25" s="57"/>
      <c r="AS25" s="56"/>
      <c r="AT25" s="15"/>
      <c r="AU25" s="10">
        <v>2668167.07</v>
      </c>
      <c r="AV25" s="15">
        <v>0.03474449917371054</v>
      </c>
      <c r="AW25" s="11">
        <v>142</v>
      </c>
      <c r="AX25" s="15">
        <v>0.03896816684961581</v>
      </c>
      <c r="AY25" s="57"/>
      <c r="AZ25" s="56"/>
      <c r="BA25" s="15"/>
      <c r="BB25" s="10">
        <v>3360065.77</v>
      </c>
      <c r="BC25" s="15">
        <v>0.04024020986797837</v>
      </c>
      <c r="BD25" s="11">
        <v>166</v>
      </c>
      <c r="BE25" s="15">
        <v>0.04351245085190039</v>
      </c>
      <c r="BF25" s="57"/>
      <c r="BG25" s="56"/>
      <c r="BH25" s="15"/>
      <c r="BI25" s="10">
        <v>3680587.21</v>
      </c>
      <c r="BJ25" s="15">
        <v>0.04247356985834136</v>
      </c>
      <c r="BK25" s="11">
        <v>177</v>
      </c>
      <c r="BL25" s="15">
        <v>0.04586680487172843</v>
      </c>
      <c r="BM25" s="57"/>
      <c r="BN25" s="56"/>
      <c r="BO25" s="15"/>
      <c r="BP25" s="10">
        <v>4324749.41</v>
      </c>
      <c r="BQ25" s="15">
        <v>0.04208167372942635</v>
      </c>
      <c r="BR25" s="11">
        <v>205</v>
      </c>
      <c r="BS25" s="15">
        <v>0.04639058610545372</v>
      </c>
      <c r="BT25" s="57"/>
      <c r="BU25" s="56"/>
      <c r="BV25" s="15"/>
      <c r="BW25" s="10">
        <v>4606621.1</v>
      </c>
      <c r="BX25" s="15">
        <v>0.04297945350698859</v>
      </c>
      <c r="BY25" s="11">
        <v>213</v>
      </c>
      <c r="BZ25" s="15">
        <v>0.04733333333333333</v>
      </c>
      <c r="CA25" s="57"/>
      <c r="CB25" s="56"/>
      <c r="CC25" s="15"/>
      <c r="CD25" s="10">
        <v>5066389.92</v>
      </c>
      <c r="CE25" s="15">
        <v>0.04407470523107076</v>
      </c>
      <c r="CF25" s="11">
        <v>239</v>
      </c>
      <c r="CG25" s="15">
        <v>0.051221603086155164</v>
      </c>
      <c r="CH25" s="57"/>
      <c r="CI25" s="56"/>
      <c r="CJ25" s="15"/>
      <c r="CK25" s="10">
        <v>5359216.17</v>
      </c>
      <c r="CL25" s="15">
        <v>0.04682188563771448</v>
      </c>
      <c r="CM25" s="11">
        <v>247</v>
      </c>
      <c r="CN25" s="15">
        <v>0.05409548839246606</v>
      </c>
      <c r="CO25" s="57"/>
      <c r="CP25" s="56"/>
      <c r="CQ25" s="15"/>
    </row>
    <row r="26" spans="1:95" ht="12.75">
      <c r="A26" s="9" t="s">
        <v>56</v>
      </c>
      <c r="B26" s="9"/>
      <c r="C26" s="9"/>
      <c r="D26" s="10">
        <v>380062.39</v>
      </c>
      <c r="E26" s="15">
        <v>0.03963490212975095</v>
      </c>
      <c r="F26" s="11">
        <v>31</v>
      </c>
      <c r="G26" s="15">
        <v>0.05575539568345324</v>
      </c>
      <c r="H26" s="9"/>
      <c r="I26" s="9"/>
      <c r="J26" s="10">
        <v>351990.31</v>
      </c>
      <c r="K26" s="15">
        <v>0.03805746990770047</v>
      </c>
      <c r="L26" s="11">
        <v>31</v>
      </c>
      <c r="M26" s="15">
        <v>0.056466302367941715</v>
      </c>
      <c r="N26" s="57"/>
      <c r="O26" s="56"/>
      <c r="P26" s="15">
        <v>0.05477920626048072</v>
      </c>
      <c r="Q26" s="9"/>
      <c r="R26" s="10">
        <v>1040349.45</v>
      </c>
      <c r="S26" s="15">
        <v>0.044331183467446335</v>
      </c>
      <c r="T26" s="11">
        <v>65</v>
      </c>
      <c r="U26" s="15">
        <v>0.048652694610778445</v>
      </c>
      <c r="V26" s="57"/>
      <c r="W26" s="56"/>
      <c r="X26" s="15"/>
      <c r="Y26" s="10">
        <v>1600882.73</v>
      </c>
      <c r="Z26" s="15">
        <v>0.03947426779932745</v>
      </c>
      <c r="AA26" s="11">
        <v>102</v>
      </c>
      <c r="AB26" s="15">
        <v>0.04685346807533303</v>
      </c>
      <c r="AC26" s="57"/>
      <c r="AD26" s="56"/>
      <c r="AE26" s="56"/>
      <c r="AF26" s="15"/>
      <c r="AG26" s="10">
        <v>2164797.71</v>
      </c>
      <c r="AH26" s="15">
        <v>0.0387826582232304</v>
      </c>
      <c r="AI26" s="11">
        <v>134</v>
      </c>
      <c r="AJ26" s="15">
        <v>0.04533152909336942</v>
      </c>
      <c r="AK26" s="57"/>
      <c r="AL26" s="56"/>
      <c r="AM26" s="15"/>
      <c r="AN26" s="10">
        <v>2327389.55</v>
      </c>
      <c r="AO26" s="15">
        <v>0.039301078537920774</v>
      </c>
      <c r="AP26" s="11">
        <v>149</v>
      </c>
      <c r="AQ26" s="15">
        <v>0.05057705363204345</v>
      </c>
      <c r="AR26" s="57"/>
      <c r="AS26" s="56"/>
      <c r="AT26" s="15"/>
      <c r="AU26" s="10">
        <v>3138501.65</v>
      </c>
      <c r="AV26" s="15">
        <v>0.040869130427096584</v>
      </c>
      <c r="AW26" s="11">
        <v>202</v>
      </c>
      <c r="AX26" s="15">
        <v>0.05543358946212953</v>
      </c>
      <c r="AY26" s="57"/>
      <c r="AZ26" s="56"/>
      <c r="BA26" s="15"/>
      <c r="BB26" s="10">
        <v>3669541.46</v>
      </c>
      <c r="BC26" s="15">
        <v>0.04394649646088557</v>
      </c>
      <c r="BD26" s="11">
        <v>222</v>
      </c>
      <c r="BE26" s="15">
        <v>0.0581913499344692</v>
      </c>
      <c r="BF26" s="57"/>
      <c r="BG26" s="56"/>
      <c r="BH26" s="15"/>
      <c r="BI26" s="10">
        <v>4389930.81</v>
      </c>
      <c r="BJ26" s="15">
        <v>0.05065931665067656</v>
      </c>
      <c r="BK26" s="11">
        <v>243</v>
      </c>
      <c r="BL26" s="15">
        <v>0.06296968126457632</v>
      </c>
      <c r="BM26" s="57"/>
      <c r="BN26" s="56"/>
      <c r="BO26" s="15"/>
      <c r="BP26" s="10">
        <v>5480748.009999999</v>
      </c>
      <c r="BQ26" s="15">
        <v>0.05333003780906297</v>
      </c>
      <c r="BR26" s="11">
        <v>277</v>
      </c>
      <c r="BS26" s="15">
        <v>0.06268386512785698</v>
      </c>
      <c r="BT26" s="57"/>
      <c r="BU26" s="56"/>
      <c r="BV26" s="15"/>
      <c r="BW26" s="10">
        <v>5782696.080000001</v>
      </c>
      <c r="BX26" s="15">
        <v>0.053952151027877045</v>
      </c>
      <c r="BY26" s="11">
        <v>288</v>
      </c>
      <c r="BZ26" s="15">
        <v>0.064</v>
      </c>
      <c r="CA26" s="57"/>
      <c r="CB26" s="56"/>
      <c r="CC26" s="15"/>
      <c r="CD26" s="10">
        <v>6168341.670000005</v>
      </c>
      <c r="CE26" s="15">
        <v>0.0536610575109033</v>
      </c>
      <c r="CF26" s="11">
        <v>298</v>
      </c>
      <c r="CG26" s="15">
        <v>0.06386626660951565</v>
      </c>
      <c r="CH26" s="57"/>
      <c r="CI26" s="56"/>
      <c r="CJ26" s="15"/>
      <c r="CK26" s="10">
        <v>6056360.7799999975</v>
      </c>
      <c r="CL26" s="15">
        <v>0.052912631777997335</v>
      </c>
      <c r="CM26" s="11">
        <v>287</v>
      </c>
      <c r="CN26" s="15">
        <v>0.06285589137100307</v>
      </c>
      <c r="CO26" s="57"/>
      <c r="CP26" s="56"/>
      <c r="CQ26" s="15"/>
    </row>
    <row r="27" spans="1:95" ht="12.75">
      <c r="A27" s="9" t="s">
        <v>57</v>
      </c>
      <c r="B27" s="9"/>
      <c r="C27" s="9"/>
      <c r="D27" s="10">
        <v>398486.74</v>
      </c>
      <c r="E27" s="15">
        <v>0.04155629011306147</v>
      </c>
      <c r="F27" s="11">
        <v>29</v>
      </c>
      <c r="G27" s="15">
        <v>0.052158273381294966</v>
      </c>
      <c r="H27" s="9"/>
      <c r="I27" s="9"/>
      <c r="J27" s="10">
        <v>389944.87</v>
      </c>
      <c r="K27" s="15">
        <v>0.04216114686704635</v>
      </c>
      <c r="L27" s="11">
        <v>29</v>
      </c>
      <c r="M27" s="15">
        <v>0.052823315118397086</v>
      </c>
      <c r="N27" s="57"/>
      <c r="O27" s="56"/>
      <c r="P27" s="15">
        <v>0.06539966461710453</v>
      </c>
      <c r="Q27" s="9"/>
      <c r="R27" s="10">
        <v>1117043.07</v>
      </c>
      <c r="S27" s="15">
        <v>0.047599238195598116</v>
      </c>
      <c r="T27" s="11">
        <v>70</v>
      </c>
      <c r="U27" s="15">
        <v>0.05239520958083832</v>
      </c>
      <c r="V27" s="57"/>
      <c r="W27" s="56"/>
      <c r="X27" s="15"/>
      <c r="Y27" s="10">
        <v>2107834.32</v>
      </c>
      <c r="Z27" s="15">
        <v>0.05197458556148783</v>
      </c>
      <c r="AA27" s="11">
        <v>121</v>
      </c>
      <c r="AB27" s="15">
        <v>0.05558107487367937</v>
      </c>
      <c r="AC27" s="57"/>
      <c r="AD27" s="56"/>
      <c r="AE27" s="56"/>
      <c r="AF27" s="15"/>
      <c r="AG27" s="10">
        <v>2539784.08</v>
      </c>
      <c r="AH27" s="15">
        <v>0.045500592263395215</v>
      </c>
      <c r="AI27" s="11">
        <v>145</v>
      </c>
      <c r="AJ27" s="15">
        <v>0.04905277401894452</v>
      </c>
      <c r="AK27" s="57"/>
      <c r="AL27" s="56"/>
      <c r="AM27" s="15"/>
      <c r="AN27" s="10">
        <v>2958417.49</v>
      </c>
      <c r="AO27" s="15">
        <v>0.049956827434603036</v>
      </c>
      <c r="AP27" s="11">
        <v>159</v>
      </c>
      <c r="AQ27" s="15">
        <v>0.0539714867617108</v>
      </c>
      <c r="AR27" s="57"/>
      <c r="AS27" s="56"/>
      <c r="AT27" s="15"/>
      <c r="AU27" s="10">
        <v>4293417.37</v>
      </c>
      <c r="AV27" s="15">
        <v>0.05590828173453152</v>
      </c>
      <c r="AW27" s="11">
        <v>219</v>
      </c>
      <c r="AX27" s="15">
        <v>0.060098792535675086</v>
      </c>
      <c r="AY27" s="57"/>
      <c r="AZ27" s="56"/>
      <c r="BA27" s="15"/>
      <c r="BB27" s="10">
        <v>5048633.15</v>
      </c>
      <c r="BC27" s="15">
        <v>0.06046252407209063</v>
      </c>
      <c r="BD27" s="11">
        <v>253</v>
      </c>
      <c r="BE27" s="15">
        <v>0.06631716906946265</v>
      </c>
      <c r="BF27" s="57"/>
      <c r="BG27" s="56"/>
      <c r="BH27" s="15"/>
      <c r="BI27" s="10">
        <v>5456177.91</v>
      </c>
      <c r="BJ27" s="15">
        <v>0.06296369041067337</v>
      </c>
      <c r="BK27" s="11">
        <v>268</v>
      </c>
      <c r="BL27" s="15">
        <v>0.06944804353459445</v>
      </c>
      <c r="BM27" s="57"/>
      <c r="BN27" s="56"/>
      <c r="BO27" s="15"/>
      <c r="BP27" s="10">
        <v>6733562.709999998</v>
      </c>
      <c r="BQ27" s="15">
        <v>0.06552046422473573</v>
      </c>
      <c r="BR27" s="11">
        <v>321</v>
      </c>
      <c r="BS27" s="15">
        <v>0.0726408689748812</v>
      </c>
      <c r="BT27" s="57"/>
      <c r="BU27" s="56"/>
      <c r="BV27" s="15"/>
      <c r="BW27" s="10">
        <v>7027708.500000009</v>
      </c>
      <c r="BX27" s="15">
        <v>0.06556803005491786</v>
      </c>
      <c r="BY27" s="11">
        <v>317</v>
      </c>
      <c r="BZ27" s="15">
        <v>0.07044444444444445</v>
      </c>
      <c r="CA27" s="57"/>
      <c r="CB27" s="56"/>
      <c r="CC27" s="15"/>
      <c r="CD27" s="10">
        <v>7832856.870000001</v>
      </c>
      <c r="CE27" s="15">
        <v>0.06814139122999387</v>
      </c>
      <c r="CF27" s="11">
        <v>340</v>
      </c>
      <c r="CG27" s="15">
        <v>0.07286755250750107</v>
      </c>
      <c r="CH27" s="57"/>
      <c r="CI27" s="56"/>
      <c r="CJ27" s="15"/>
      <c r="CK27" s="10">
        <v>7609912.740000001</v>
      </c>
      <c r="CL27" s="15">
        <v>0.06648555548474293</v>
      </c>
      <c r="CM27" s="11">
        <v>324</v>
      </c>
      <c r="CN27" s="15">
        <v>0.07095926412614981</v>
      </c>
      <c r="CO27" s="57"/>
      <c r="CP27" s="56"/>
      <c r="CQ27" s="15"/>
    </row>
    <row r="28" spans="1:95" ht="12.75">
      <c r="A28" s="9" t="s">
        <v>58</v>
      </c>
      <c r="B28" s="9"/>
      <c r="C28" s="9"/>
      <c r="D28" s="10">
        <v>547541.38</v>
      </c>
      <c r="E28" s="15">
        <v>0.057100490812281586</v>
      </c>
      <c r="F28" s="11">
        <v>34</v>
      </c>
      <c r="G28" s="15">
        <v>0.06115107913669065</v>
      </c>
      <c r="H28" s="9"/>
      <c r="I28" s="9"/>
      <c r="J28" s="10">
        <v>538630.22</v>
      </c>
      <c r="K28" s="15">
        <v>0.05823712416693539</v>
      </c>
      <c r="L28" s="11">
        <v>34</v>
      </c>
      <c r="M28" s="15">
        <v>0.061930783242258654</v>
      </c>
      <c r="N28" s="57"/>
      <c r="O28" s="56"/>
      <c r="P28" s="15">
        <v>0.09782001117942984</v>
      </c>
      <c r="Q28" s="9"/>
      <c r="R28" s="10">
        <v>1790342.3</v>
      </c>
      <c r="S28" s="15">
        <v>0.07628974376910551</v>
      </c>
      <c r="T28" s="11">
        <v>107</v>
      </c>
      <c r="U28" s="15">
        <v>0.08008982035928144</v>
      </c>
      <c r="V28" s="57"/>
      <c r="W28" s="56"/>
      <c r="X28" s="15"/>
      <c r="Y28" s="10">
        <v>2791766.04</v>
      </c>
      <c r="Z28" s="15">
        <v>0.06883884636323605</v>
      </c>
      <c r="AA28" s="11">
        <v>195</v>
      </c>
      <c r="AB28" s="15">
        <v>0.08957280661460726</v>
      </c>
      <c r="AC28" s="57"/>
      <c r="AD28" s="56"/>
      <c r="AE28" s="56"/>
      <c r="AF28" s="15"/>
      <c r="AG28" s="10">
        <v>4076379.7</v>
      </c>
      <c r="AH28" s="15">
        <v>0.07302892088388921</v>
      </c>
      <c r="AI28" s="11">
        <v>246</v>
      </c>
      <c r="AJ28" s="15">
        <v>0.08322056833558863</v>
      </c>
      <c r="AK28" s="57"/>
      <c r="AL28" s="56"/>
      <c r="AM28" s="15"/>
      <c r="AN28" s="10">
        <v>4784478.87</v>
      </c>
      <c r="AO28" s="15">
        <v>0.08079231078136127</v>
      </c>
      <c r="AP28" s="11">
        <v>267</v>
      </c>
      <c r="AQ28" s="15">
        <v>0.09063136456211812</v>
      </c>
      <c r="AR28" s="57"/>
      <c r="AS28" s="56"/>
      <c r="AT28" s="15"/>
      <c r="AU28" s="10">
        <v>6296664.309999996</v>
      </c>
      <c r="AV28" s="15">
        <v>0.08199428378220988</v>
      </c>
      <c r="AW28" s="11">
        <v>311</v>
      </c>
      <c r="AX28" s="15">
        <v>0.0853457738748628</v>
      </c>
      <c r="AY28" s="57"/>
      <c r="AZ28" s="56"/>
      <c r="BA28" s="15"/>
      <c r="BB28" s="10">
        <v>6995533.620000003</v>
      </c>
      <c r="BC28" s="15">
        <v>0.0837786401446834</v>
      </c>
      <c r="BD28" s="11">
        <v>328</v>
      </c>
      <c r="BE28" s="15">
        <v>0.08597640891218873</v>
      </c>
      <c r="BF28" s="57"/>
      <c r="BG28" s="56"/>
      <c r="BH28" s="15"/>
      <c r="BI28" s="10">
        <v>7722859.1400000015</v>
      </c>
      <c r="BJ28" s="15">
        <v>0.08912094143502723</v>
      </c>
      <c r="BK28" s="11">
        <v>345</v>
      </c>
      <c r="BL28" s="15">
        <v>0.08940139932625032</v>
      </c>
      <c r="BM28" s="57"/>
      <c r="BN28" s="56"/>
      <c r="BO28" s="15"/>
      <c r="BP28" s="10">
        <v>9034899.129999999</v>
      </c>
      <c r="BQ28" s="15">
        <v>0.0879134584047352</v>
      </c>
      <c r="BR28" s="11">
        <v>401</v>
      </c>
      <c r="BS28" s="15">
        <v>0.09074451233310704</v>
      </c>
      <c r="BT28" s="57"/>
      <c r="BU28" s="56"/>
      <c r="BV28" s="15"/>
      <c r="BW28" s="10">
        <v>9046188.209999999</v>
      </c>
      <c r="BX28" s="15">
        <v>0.08440030494089543</v>
      </c>
      <c r="BY28" s="11">
        <v>395</v>
      </c>
      <c r="BZ28" s="15">
        <v>0.08777777777777777</v>
      </c>
      <c r="CA28" s="57"/>
      <c r="CB28" s="56"/>
      <c r="CC28" s="15"/>
      <c r="CD28" s="10">
        <v>10114305.250000011</v>
      </c>
      <c r="CE28" s="15">
        <v>0.08798869205685252</v>
      </c>
      <c r="CF28" s="11">
        <v>422</v>
      </c>
      <c r="CG28" s="15">
        <v>0.0904414916416631</v>
      </c>
      <c r="CH28" s="57"/>
      <c r="CI28" s="56"/>
      <c r="CJ28" s="15"/>
      <c r="CK28" s="10">
        <v>10041636.790000001</v>
      </c>
      <c r="CL28" s="15">
        <v>0.08773080885013944</v>
      </c>
      <c r="CM28" s="11">
        <v>414</v>
      </c>
      <c r="CN28" s="15">
        <v>0.09067017082785808</v>
      </c>
      <c r="CO28" s="57"/>
      <c r="CP28" s="56"/>
      <c r="CQ28" s="15"/>
    </row>
    <row r="29" spans="1:95" ht="12.75">
      <c r="A29" s="9" t="s">
        <v>59</v>
      </c>
      <c r="B29" s="9"/>
      <c r="C29" s="9"/>
      <c r="D29" s="10">
        <v>962606.99</v>
      </c>
      <c r="E29" s="15">
        <v>0.10038571256173008</v>
      </c>
      <c r="F29" s="11">
        <v>54</v>
      </c>
      <c r="G29" s="15">
        <v>0.09712230215827339</v>
      </c>
      <c r="H29" s="9"/>
      <c r="I29" s="9"/>
      <c r="J29" s="10">
        <v>912404.94</v>
      </c>
      <c r="K29" s="15">
        <v>0.09864994166369875</v>
      </c>
      <c r="L29" s="11">
        <v>53</v>
      </c>
      <c r="M29" s="15">
        <v>0.0965391621129326</v>
      </c>
      <c r="N29" s="57"/>
      <c r="O29" s="56"/>
      <c r="P29" s="15">
        <v>0.13024035774175516</v>
      </c>
      <c r="Q29" s="9"/>
      <c r="R29" s="10">
        <v>2513875.01</v>
      </c>
      <c r="S29" s="15">
        <v>0.10712078934875048</v>
      </c>
      <c r="T29" s="11">
        <v>138</v>
      </c>
      <c r="U29" s="15">
        <v>0.10329341317365269</v>
      </c>
      <c r="V29" s="57"/>
      <c r="W29" s="56"/>
      <c r="X29" s="15"/>
      <c r="Y29" s="10">
        <v>4101070.12</v>
      </c>
      <c r="Z29" s="15">
        <v>0.10112342218889445</v>
      </c>
      <c r="AA29" s="11">
        <v>224</v>
      </c>
      <c r="AB29" s="15">
        <v>0.10289389067524116</v>
      </c>
      <c r="AC29" s="57"/>
      <c r="AD29" s="56"/>
      <c r="AE29" s="56"/>
      <c r="AF29" s="15"/>
      <c r="AG29" s="10">
        <v>5520870.170000002</v>
      </c>
      <c r="AH29" s="15">
        <v>0.09890717266969856</v>
      </c>
      <c r="AI29" s="11">
        <v>298</v>
      </c>
      <c r="AJ29" s="15">
        <v>0.10081190798376184</v>
      </c>
      <c r="AK29" s="57"/>
      <c r="AL29" s="56"/>
      <c r="AM29" s="15"/>
      <c r="AN29" s="10">
        <v>6133691.579999998</v>
      </c>
      <c r="AO29" s="15">
        <v>0.1035755679632416</v>
      </c>
      <c r="AP29" s="11">
        <v>310</v>
      </c>
      <c r="AQ29" s="15">
        <v>0.10522742701968771</v>
      </c>
      <c r="AR29" s="57"/>
      <c r="AS29" s="56"/>
      <c r="AT29" s="15"/>
      <c r="AU29" s="10">
        <v>8513312.059999997</v>
      </c>
      <c r="AV29" s="15">
        <v>0.11085916139209746</v>
      </c>
      <c r="AW29" s="11">
        <v>427</v>
      </c>
      <c r="AX29" s="15">
        <v>0.11717892425905599</v>
      </c>
      <c r="AY29" s="57"/>
      <c r="AZ29" s="56"/>
      <c r="BA29" s="15"/>
      <c r="BB29" s="10">
        <v>9024209.779999994</v>
      </c>
      <c r="BC29" s="15">
        <v>0.10807410339466737</v>
      </c>
      <c r="BD29" s="11">
        <v>427</v>
      </c>
      <c r="BE29" s="15">
        <v>0.11192660550458716</v>
      </c>
      <c r="BF29" s="57"/>
      <c r="BG29" s="56"/>
      <c r="BH29" s="15"/>
      <c r="BI29" s="10">
        <v>9143785.950000001</v>
      </c>
      <c r="BJ29" s="15">
        <v>0.10551827987171793</v>
      </c>
      <c r="BK29" s="11">
        <v>421</v>
      </c>
      <c r="BL29" s="15">
        <v>0.10909562062710547</v>
      </c>
      <c r="BM29" s="57"/>
      <c r="BN29" s="56"/>
      <c r="BO29" s="15"/>
      <c r="BP29" s="10">
        <v>11071037.559999995</v>
      </c>
      <c r="BQ29" s="15">
        <v>0.10772596196415098</v>
      </c>
      <c r="BR29" s="11">
        <v>498</v>
      </c>
      <c r="BS29" s="15">
        <v>0.11269517990495587</v>
      </c>
      <c r="BT29" s="57"/>
      <c r="BU29" s="56"/>
      <c r="BV29" s="15"/>
      <c r="BW29" s="10">
        <v>11650652.769999996</v>
      </c>
      <c r="BX29" s="15">
        <v>0.10869977759930861</v>
      </c>
      <c r="BY29" s="11">
        <v>508</v>
      </c>
      <c r="BZ29" s="15">
        <v>0.11288888888888889</v>
      </c>
      <c r="CA29" s="57"/>
      <c r="CB29" s="56"/>
      <c r="CC29" s="15"/>
      <c r="CD29" s="10">
        <v>12447702.37999999</v>
      </c>
      <c r="CE29" s="15">
        <v>0.10828791740581173</v>
      </c>
      <c r="CF29" s="11">
        <v>513</v>
      </c>
      <c r="CG29" s="15">
        <v>0.10994427775396486</v>
      </c>
      <c r="CH29" s="57"/>
      <c r="CI29" s="56"/>
      <c r="CJ29" s="15"/>
      <c r="CK29" s="10">
        <v>12321894.160000015</v>
      </c>
      <c r="CL29" s="15">
        <v>0.10765274265836204</v>
      </c>
      <c r="CM29" s="11">
        <v>491</v>
      </c>
      <c r="CN29" s="15">
        <v>0.10753394656154183</v>
      </c>
      <c r="CO29" s="57"/>
      <c r="CP29" s="56"/>
      <c r="CQ29" s="15"/>
    </row>
    <row r="30" spans="1:95" ht="12.75">
      <c r="A30" s="9" t="s">
        <v>60</v>
      </c>
      <c r="B30" s="9"/>
      <c r="C30" s="9"/>
      <c r="D30" s="10">
        <v>2081171.77</v>
      </c>
      <c r="E30" s="15">
        <v>0.21703552256025804</v>
      </c>
      <c r="F30" s="11">
        <v>114</v>
      </c>
      <c r="G30" s="15">
        <v>0.20503597122302158</v>
      </c>
      <c r="H30" s="9"/>
      <c r="I30" s="9"/>
      <c r="J30" s="10">
        <v>1991485.66</v>
      </c>
      <c r="K30" s="15">
        <v>0.215321000106699</v>
      </c>
      <c r="L30" s="11">
        <v>112</v>
      </c>
      <c r="M30" s="15">
        <v>0.2040072859744991</v>
      </c>
      <c r="N30" s="57"/>
      <c r="O30" s="56"/>
      <c r="P30" s="15">
        <v>0.1626607043040805</v>
      </c>
      <c r="Q30" s="9"/>
      <c r="R30" s="10">
        <v>4371236.74</v>
      </c>
      <c r="S30" s="15">
        <v>0.18626635300338923</v>
      </c>
      <c r="T30" s="11">
        <v>240</v>
      </c>
      <c r="U30" s="15">
        <v>0.17964071856287425</v>
      </c>
      <c r="V30" s="57"/>
      <c r="W30" s="56"/>
      <c r="X30" s="15"/>
      <c r="Y30" s="10">
        <v>6990521.870000006</v>
      </c>
      <c r="Z30" s="15">
        <v>0.17237098457139044</v>
      </c>
      <c r="AA30" s="11">
        <v>376</v>
      </c>
      <c r="AB30" s="15">
        <v>0.17271474506201195</v>
      </c>
      <c r="AC30" s="57"/>
      <c r="AD30" s="56"/>
      <c r="AE30" s="56"/>
      <c r="AF30" s="15"/>
      <c r="AG30" s="10">
        <v>9781920.110000003</v>
      </c>
      <c r="AH30" s="15">
        <v>0.1752444871133361</v>
      </c>
      <c r="AI30" s="11">
        <v>515</v>
      </c>
      <c r="AJ30" s="15">
        <v>0.17422192151556157</v>
      </c>
      <c r="AK30" s="57"/>
      <c r="AL30" s="56"/>
      <c r="AM30" s="15"/>
      <c r="AN30" s="10">
        <v>9150437.870000012</v>
      </c>
      <c r="AO30" s="15">
        <v>0.15451735502775416</v>
      </c>
      <c r="AP30" s="11">
        <v>493</v>
      </c>
      <c r="AQ30" s="15">
        <v>0.16734555329260015</v>
      </c>
      <c r="AR30" s="57"/>
      <c r="AS30" s="56"/>
      <c r="AT30" s="15"/>
      <c r="AU30" s="10">
        <v>11275768.18</v>
      </c>
      <c r="AV30" s="15">
        <v>0.1468314794144287</v>
      </c>
      <c r="AW30" s="11">
        <v>553</v>
      </c>
      <c r="AX30" s="15">
        <v>0.1517563117453348</v>
      </c>
      <c r="AY30" s="57"/>
      <c r="AZ30" s="56"/>
      <c r="BA30" s="15"/>
      <c r="BB30" s="10">
        <v>11596300.78999999</v>
      </c>
      <c r="BC30" s="15">
        <v>0.13887751294874295</v>
      </c>
      <c r="BD30" s="11">
        <v>559</v>
      </c>
      <c r="BE30" s="15">
        <v>0.14652686762778505</v>
      </c>
      <c r="BF30" s="57"/>
      <c r="BG30" s="56"/>
      <c r="BH30" s="15"/>
      <c r="BI30" s="10">
        <v>11665668.260000004</v>
      </c>
      <c r="BJ30" s="15">
        <v>0.13462052317063447</v>
      </c>
      <c r="BK30" s="11">
        <v>543</v>
      </c>
      <c r="BL30" s="15">
        <v>0.140710028504794</v>
      </c>
      <c r="BM30" s="57"/>
      <c r="BN30" s="56"/>
      <c r="BO30" s="15"/>
      <c r="BP30" s="10">
        <v>13108738.280000018</v>
      </c>
      <c r="BQ30" s="15">
        <v>0.12755366727789266</v>
      </c>
      <c r="BR30" s="11">
        <v>580</v>
      </c>
      <c r="BS30" s="15">
        <v>0.13125141434713736</v>
      </c>
      <c r="BT30" s="57"/>
      <c r="BU30" s="56"/>
      <c r="BV30" s="15"/>
      <c r="BW30" s="10">
        <v>13310973.330000013</v>
      </c>
      <c r="BX30" s="15">
        <v>0.12419045260082284</v>
      </c>
      <c r="BY30" s="11">
        <v>578</v>
      </c>
      <c r="BZ30" s="15">
        <v>0.12844444444444444</v>
      </c>
      <c r="CA30" s="57"/>
      <c r="CB30" s="56"/>
      <c r="CC30" s="15"/>
      <c r="CD30" s="10">
        <v>14566238.729999986</v>
      </c>
      <c r="CE30" s="15">
        <v>0.12671797640678936</v>
      </c>
      <c r="CF30" s="11">
        <v>606</v>
      </c>
      <c r="CG30" s="15">
        <v>0.12987569652807543</v>
      </c>
      <c r="CH30" s="57"/>
      <c r="CI30" s="56"/>
      <c r="CJ30" s="15"/>
      <c r="CK30" s="10">
        <v>14221764.78999999</v>
      </c>
      <c r="CL30" s="15">
        <v>0.1242513500932085</v>
      </c>
      <c r="CM30" s="11">
        <v>566</v>
      </c>
      <c r="CN30" s="15">
        <v>0.12395970214629873</v>
      </c>
      <c r="CO30" s="57"/>
      <c r="CP30" s="56"/>
      <c r="CQ30" s="15"/>
    </row>
    <row r="31" spans="1:95" ht="12.75">
      <c r="A31" s="9" t="s">
        <v>78</v>
      </c>
      <c r="B31" s="9"/>
      <c r="C31" s="9"/>
      <c r="D31" s="10">
        <v>2085820.97</v>
      </c>
      <c r="E31" s="15">
        <v>0.21752036555401397</v>
      </c>
      <c r="F31" s="11">
        <v>114</v>
      </c>
      <c r="G31" s="15">
        <v>0.20503597122302158</v>
      </c>
      <c r="H31" s="9"/>
      <c r="I31" s="9"/>
      <c r="J31" s="10">
        <v>2043324.51</v>
      </c>
      <c r="K31" s="15">
        <v>0.22092585745042764</v>
      </c>
      <c r="L31" s="11">
        <v>113</v>
      </c>
      <c r="M31" s="15">
        <v>0.2058287795992714</v>
      </c>
      <c r="N31" s="57"/>
      <c r="O31" s="56"/>
      <c r="P31" s="15">
        <v>0.16769144773616546</v>
      </c>
      <c r="Q31" s="9"/>
      <c r="R31" s="10">
        <v>5425330.15</v>
      </c>
      <c r="S31" s="15">
        <v>0.23118319162000622</v>
      </c>
      <c r="T31" s="11">
        <v>285</v>
      </c>
      <c r="U31" s="15">
        <v>0.21332335329341318</v>
      </c>
      <c r="V31" s="57"/>
      <c r="W31" s="56"/>
      <c r="X31" s="15"/>
      <c r="Y31" s="10">
        <v>8273907.550000006</v>
      </c>
      <c r="Z31" s="15">
        <v>0.20401646932350714</v>
      </c>
      <c r="AA31" s="11">
        <v>436</v>
      </c>
      <c r="AB31" s="15">
        <v>0.20027560863573726</v>
      </c>
      <c r="AC31" s="57"/>
      <c r="AD31" s="56"/>
      <c r="AE31" s="56"/>
      <c r="AF31" s="15"/>
      <c r="AG31" s="10">
        <v>11009546.850000003</v>
      </c>
      <c r="AH31" s="15">
        <v>0.1972375943968423</v>
      </c>
      <c r="AI31" s="11">
        <v>566</v>
      </c>
      <c r="AJ31" s="15">
        <v>0.19147496617050067</v>
      </c>
      <c r="AK31" s="57"/>
      <c r="AL31" s="56"/>
      <c r="AM31" s="15"/>
      <c r="AN31" s="10">
        <v>10922707.200000005</v>
      </c>
      <c r="AO31" s="15">
        <v>0.18444448782281114</v>
      </c>
      <c r="AP31" s="11">
        <v>530</v>
      </c>
      <c r="AQ31" s="15">
        <v>0.17990495587236932</v>
      </c>
      <c r="AR31" s="57"/>
      <c r="AS31" s="56"/>
      <c r="AT31" s="15"/>
      <c r="AU31" s="10">
        <v>12744085.75000001</v>
      </c>
      <c r="AV31" s="15">
        <v>0.16595170586921737</v>
      </c>
      <c r="AW31" s="11">
        <v>603</v>
      </c>
      <c r="AX31" s="15">
        <v>0.16547749725576288</v>
      </c>
      <c r="AY31" s="57"/>
      <c r="AZ31" s="56"/>
      <c r="BA31" s="15"/>
      <c r="BB31" s="10">
        <v>13768349.869999994</v>
      </c>
      <c r="BC31" s="15">
        <v>0.16489001294297653</v>
      </c>
      <c r="BD31" s="11">
        <v>634</v>
      </c>
      <c r="BE31" s="15">
        <v>0.16618610747051113</v>
      </c>
      <c r="BF31" s="57"/>
      <c r="BG31" s="56"/>
      <c r="BH31" s="15"/>
      <c r="BI31" s="10">
        <v>13475232.469999995</v>
      </c>
      <c r="BJ31" s="15">
        <v>0.1555026942757688</v>
      </c>
      <c r="BK31" s="11">
        <v>615</v>
      </c>
      <c r="BL31" s="15">
        <v>0.15936771184244622</v>
      </c>
      <c r="BM31" s="57"/>
      <c r="BN31" s="56"/>
      <c r="BO31" s="15"/>
      <c r="BP31" s="10">
        <v>14253767.26</v>
      </c>
      <c r="BQ31" s="15">
        <v>0.13869529223208787</v>
      </c>
      <c r="BR31" s="11">
        <v>599</v>
      </c>
      <c r="BS31" s="15">
        <v>0.135551029644716</v>
      </c>
      <c r="BT31" s="57"/>
      <c r="BU31" s="56"/>
      <c r="BV31" s="15"/>
      <c r="BW31" s="10">
        <v>14015265.119999997</v>
      </c>
      <c r="BX31" s="15">
        <v>0.13076144587041433</v>
      </c>
      <c r="BY31" s="11">
        <v>575</v>
      </c>
      <c r="BZ31" s="15">
        <v>0.12777777777777777</v>
      </c>
      <c r="CA31" s="57"/>
      <c r="CB31" s="56"/>
      <c r="CC31" s="15"/>
      <c r="CD31" s="10">
        <v>14260669.010000004</v>
      </c>
      <c r="CE31" s="15">
        <v>0.12405969397112952</v>
      </c>
      <c r="CF31" s="11">
        <v>556</v>
      </c>
      <c r="CG31" s="15">
        <v>0.1191598799828547</v>
      </c>
      <c r="CH31" s="57"/>
      <c r="CI31" s="56"/>
      <c r="CJ31" s="15"/>
      <c r="CK31" s="10">
        <v>13792806.44</v>
      </c>
      <c r="CL31" s="15">
        <v>0.12050366793784542</v>
      </c>
      <c r="CM31" s="11">
        <v>539</v>
      </c>
      <c r="CN31" s="15">
        <v>0.11804643013578625</v>
      </c>
      <c r="CO31" s="57"/>
      <c r="CP31" s="56"/>
      <c r="CQ31" s="15"/>
    </row>
    <row r="32" spans="1:95" ht="12.75">
      <c r="A32" s="9" t="s">
        <v>61</v>
      </c>
      <c r="B32" s="9"/>
      <c r="C32" s="9"/>
      <c r="D32" s="10">
        <v>2117743.92</v>
      </c>
      <c r="E32" s="15">
        <v>0.22084945844042908</v>
      </c>
      <c r="F32" s="11">
        <v>96</v>
      </c>
      <c r="G32" s="15">
        <v>0.17266187050359713</v>
      </c>
      <c r="H32" s="9"/>
      <c r="I32" s="9"/>
      <c r="J32" s="10">
        <v>2054943.42</v>
      </c>
      <c r="K32" s="15">
        <v>0.22218210316266107</v>
      </c>
      <c r="L32" s="11">
        <v>96</v>
      </c>
      <c r="M32" s="15">
        <v>0.17486338797814208</v>
      </c>
      <c r="N32" s="57"/>
      <c r="O32" s="56"/>
      <c r="P32" s="15">
        <v>0.11850195640022358</v>
      </c>
      <c r="Q32" s="9"/>
      <c r="R32" s="10">
        <v>5137676.64</v>
      </c>
      <c r="S32" s="15">
        <v>0.218925752038657</v>
      </c>
      <c r="T32" s="11">
        <v>236</v>
      </c>
      <c r="U32" s="15">
        <v>0.17664670658682635</v>
      </c>
      <c r="V32" s="57"/>
      <c r="W32" s="56"/>
      <c r="X32" s="15"/>
      <c r="Y32" s="10">
        <v>11054562.709999992</v>
      </c>
      <c r="Z32" s="15">
        <v>0.27258134567982906</v>
      </c>
      <c r="AA32" s="11">
        <v>460</v>
      </c>
      <c r="AB32" s="15">
        <v>0.21129995406522736</v>
      </c>
      <c r="AC32" s="57"/>
      <c r="AD32" s="56"/>
      <c r="AE32" s="56"/>
      <c r="AF32" s="15"/>
      <c r="AG32" s="10">
        <v>15693931.390000008</v>
      </c>
      <c r="AH32" s="15">
        <v>0.2811590082831331</v>
      </c>
      <c r="AI32" s="11">
        <v>613</v>
      </c>
      <c r="AJ32" s="15">
        <v>0.20737483085250338</v>
      </c>
      <c r="AK32" s="57"/>
      <c r="AL32" s="56"/>
      <c r="AM32" s="15"/>
      <c r="AN32" s="10">
        <v>17212201.389999997</v>
      </c>
      <c r="AO32" s="15">
        <v>0.29065099078016354</v>
      </c>
      <c r="AP32" s="11">
        <v>646</v>
      </c>
      <c r="AQ32" s="15">
        <v>0.21928038017651053</v>
      </c>
      <c r="AR32" s="57"/>
      <c r="AS32" s="56"/>
      <c r="AT32" s="15"/>
      <c r="AU32" s="10">
        <v>22126337.450000025</v>
      </c>
      <c r="AV32" s="15">
        <v>0.2881260779703598</v>
      </c>
      <c r="AW32" s="11">
        <v>793</v>
      </c>
      <c r="AX32" s="15">
        <v>0.21761800219538968</v>
      </c>
      <c r="AY32" s="57"/>
      <c r="AZ32" s="56"/>
      <c r="BA32" s="15"/>
      <c r="BB32" s="10">
        <v>23100833.900000017</v>
      </c>
      <c r="BC32" s="15">
        <v>0.27665601446286864</v>
      </c>
      <c r="BD32" s="11">
        <v>784</v>
      </c>
      <c r="BE32" s="15">
        <v>0.20550458715596331</v>
      </c>
      <c r="BF32" s="57"/>
      <c r="BG32" s="56"/>
      <c r="BH32" s="15"/>
      <c r="BI32" s="10">
        <v>23105453.42</v>
      </c>
      <c r="BJ32" s="15">
        <v>0.26663438031754255</v>
      </c>
      <c r="BK32" s="11">
        <v>757</v>
      </c>
      <c r="BL32" s="15">
        <v>0.19616480953614926</v>
      </c>
      <c r="BM32" s="57"/>
      <c r="BN32" s="56"/>
      <c r="BO32" s="15"/>
      <c r="BP32" s="10">
        <v>27524499.66</v>
      </c>
      <c r="BQ32" s="15">
        <v>0.26782523204224845</v>
      </c>
      <c r="BR32" s="11">
        <v>876</v>
      </c>
      <c r="BS32" s="15">
        <v>0.19823489477257297</v>
      </c>
      <c r="BT32" s="57"/>
      <c r="BU32" s="56"/>
      <c r="BV32" s="15"/>
      <c r="BW32" s="10">
        <v>29952548.249999996</v>
      </c>
      <c r="BX32" s="15">
        <v>0.2794551856949352</v>
      </c>
      <c r="BY32" s="11">
        <v>933</v>
      </c>
      <c r="BZ32" s="15">
        <v>0.20733333333333334</v>
      </c>
      <c r="CA32" s="57"/>
      <c r="CB32" s="56"/>
      <c r="CC32" s="15"/>
      <c r="CD32" s="10">
        <v>31130471.859999973</v>
      </c>
      <c r="CE32" s="15">
        <v>0.2708173655401637</v>
      </c>
      <c r="CF32" s="11">
        <v>928</v>
      </c>
      <c r="CG32" s="15">
        <v>0.19888555507929703</v>
      </c>
      <c r="CH32" s="57"/>
      <c r="CI32" s="56"/>
      <c r="CJ32" s="15"/>
      <c r="CK32" s="10">
        <v>30739077.659999993</v>
      </c>
      <c r="CL32" s="15">
        <v>0.26855822440268234</v>
      </c>
      <c r="CM32" s="11">
        <v>897</v>
      </c>
      <c r="CN32" s="15">
        <v>0.1964520367936925</v>
      </c>
      <c r="CO32" s="57"/>
      <c r="CP32" s="56"/>
      <c r="CQ32" s="15"/>
    </row>
    <row r="33" spans="1:95" ht="12.75">
      <c r="A33" s="9"/>
      <c r="B33" s="9"/>
      <c r="C33" s="9"/>
      <c r="D33" s="10"/>
      <c r="E33" s="9"/>
      <c r="F33" s="11"/>
      <c r="G33" s="9"/>
      <c r="H33" s="9"/>
      <c r="I33" s="9"/>
      <c r="J33" s="10"/>
      <c r="K33" s="9"/>
      <c r="L33" s="11"/>
      <c r="M33" s="64"/>
      <c r="N33" s="55"/>
      <c r="O33" s="56"/>
      <c r="P33" s="9"/>
      <c r="Q33" s="9"/>
      <c r="R33" s="10"/>
      <c r="S33" s="9"/>
      <c r="T33" s="11"/>
      <c r="U33" s="64"/>
      <c r="V33" s="55"/>
      <c r="W33" s="56"/>
      <c r="X33" s="9"/>
      <c r="Y33" s="10"/>
      <c r="Z33" s="9"/>
      <c r="AA33" s="11"/>
      <c r="AB33" s="64"/>
      <c r="AC33" s="55"/>
      <c r="AD33" s="56"/>
      <c r="AE33" s="56"/>
      <c r="AF33" s="9"/>
      <c r="AG33" s="10"/>
      <c r="AH33" s="9"/>
      <c r="AI33" s="11"/>
      <c r="AJ33" s="64"/>
      <c r="AK33" s="55"/>
      <c r="AL33" s="56"/>
      <c r="AM33" s="9"/>
      <c r="AN33" s="10"/>
      <c r="AO33" s="9"/>
      <c r="AP33" s="11"/>
      <c r="AQ33" s="64"/>
      <c r="AR33" s="55"/>
      <c r="AS33" s="56"/>
      <c r="AT33" s="9"/>
      <c r="AU33" s="10"/>
      <c r="AV33" s="9"/>
      <c r="AW33" s="11"/>
      <c r="AX33" s="64"/>
      <c r="AY33" s="55"/>
      <c r="AZ33" s="56"/>
      <c r="BA33" s="9"/>
      <c r="BB33" s="10"/>
      <c r="BC33" s="9"/>
      <c r="BD33" s="11"/>
      <c r="BE33" s="64"/>
      <c r="BF33" s="55"/>
      <c r="BG33" s="56"/>
      <c r="BH33" s="9"/>
      <c r="BI33" s="10"/>
      <c r="BJ33" s="9"/>
      <c r="BK33" s="11"/>
      <c r="BL33" s="64"/>
      <c r="BM33" s="55"/>
      <c r="BN33" s="56"/>
      <c r="BO33" s="9"/>
      <c r="BP33" s="10"/>
      <c r="BQ33" s="9"/>
      <c r="BR33" s="11"/>
      <c r="BS33" s="64"/>
      <c r="BT33" s="55"/>
      <c r="BU33" s="56"/>
      <c r="BV33" s="9"/>
      <c r="BW33" s="10"/>
      <c r="BX33" s="9"/>
      <c r="BY33" s="11"/>
      <c r="BZ33" s="64"/>
      <c r="CA33" s="55"/>
      <c r="CB33" s="56"/>
      <c r="CC33" s="9"/>
      <c r="CD33" s="10"/>
      <c r="CE33" s="9"/>
      <c r="CF33" s="11"/>
      <c r="CG33" s="64"/>
      <c r="CH33" s="55"/>
      <c r="CI33" s="56"/>
      <c r="CJ33" s="9"/>
      <c r="CK33" s="10"/>
      <c r="CL33" s="9"/>
      <c r="CM33" s="11"/>
      <c r="CN33" s="64"/>
      <c r="CO33" s="55"/>
      <c r="CP33" s="56"/>
      <c r="CQ33" s="9"/>
    </row>
    <row r="34" spans="1:95" ht="13.5" thickBot="1">
      <c r="A34" s="9"/>
      <c r="B34" s="9"/>
      <c r="C34" s="9"/>
      <c r="D34" s="22">
        <f>SUM(D20:D33)</f>
        <v>9589083.600000001</v>
      </c>
      <c r="E34" s="9"/>
      <c r="F34" s="23">
        <f>SUM(F20:F32)</f>
        <v>556</v>
      </c>
      <c r="G34" s="9"/>
      <c r="H34" s="9"/>
      <c r="I34" s="9"/>
      <c r="J34" s="22">
        <f>SUM(J20:J32)</f>
        <v>9248915.149999999</v>
      </c>
      <c r="K34" s="9"/>
      <c r="L34" s="23">
        <f>SUM(L20:L32)</f>
        <v>549</v>
      </c>
      <c r="M34" s="31"/>
      <c r="N34" s="55"/>
      <c r="O34" s="32"/>
      <c r="P34" s="9"/>
      <c r="Q34" s="9"/>
      <c r="R34" s="22">
        <f>SUM(R20:R32)</f>
        <v>23467666.97</v>
      </c>
      <c r="S34" s="9"/>
      <c r="T34" s="23">
        <f>SUM(T20:T32)</f>
        <v>1336</v>
      </c>
      <c r="U34" s="31"/>
      <c r="V34" s="55"/>
      <c r="W34" s="32"/>
      <c r="X34" s="9"/>
      <c r="Y34" s="22">
        <f>SUM(Y20:Y32)</f>
        <v>40555096.25000001</v>
      </c>
      <c r="Z34" s="9"/>
      <c r="AA34" s="23">
        <f>SUM(AA20:AA32)</f>
        <v>2177</v>
      </c>
      <c r="AB34" s="31"/>
      <c r="AC34" s="55"/>
      <c r="AD34" s="32"/>
      <c r="AE34" s="32"/>
      <c r="AF34" s="9"/>
      <c r="AG34" s="22">
        <f>SUM(AG20:AG32)</f>
        <v>55818703.750000015</v>
      </c>
      <c r="AH34" s="9"/>
      <c r="AI34" s="23">
        <f>SUM(AI20:AI32)</f>
        <v>2956</v>
      </c>
      <c r="AJ34" s="31"/>
      <c r="AK34" s="55"/>
      <c r="AL34" s="32"/>
      <c r="AM34" s="9"/>
      <c r="AN34" s="22">
        <f>SUM(AN20:AN32)</f>
        <v>59219482.94000001</v>
      </c>
      <c r="AO34" s="9"/>
      <c r="AP34" s="23">
        <f>SUM(AP20:AP32)</f>
        <v>2946</v>
      </c>
      <c r="AQ34" s="31"/>
      <c r="AR34" s="55"/>
      <c r="AS34" s="32"/>
      <c r="AT34" s="9"/>
      <c r="AU34" s="22">
        <f>SUM(AU20:AU32)</f>
        <v>76793942.45000002</v>
      </c>
      <c r="AV34" s="9"/>
      <c r="AW34" s="23">
        <f>SUM(AW20:AW32)</f>
        <v>3644</v>
      </c>
      <c r="AX34" s="31"/>
      <c r="AY34" s="55"/>
      <c r="AZ34" s="32"/>
      <c r="BA34" s="9"/>
      <c r="BB34" s="22">
        <f>SUM(BB20:BB32)</f>
        <v>83500204.92</v>
      </c>
      <c r="BC34" s="9"/>
      <c r="BD34" s="23">
        <f>SUM(BD20:BD32)</f>
        <v>3815</v>
      </c>
      <c r="BE34" s="31"/>
      <c r="BF34" s="55"/>
      <c r="BG34" s="32"/>
      <c r="BH34" s="9"/>
      <c r="BI34" s="22">
        <f>SUM(BI20:BI32)</f>
        <v>86655942.09</v>
      </c>
      <c r="BJ34" s="9"/>
      <c r="BK34" s="23">
        <f>SUM(BK20:BK32)</f>
        <v>3859</v>
      </c>
      <c r="BL34" s="31"/>
      <c r="BM34" s="55"/>
      <c r="BN34" s="32"/>
      <c r="BO34" s="9"/>
      <c r="BP34" s="22">
        <f>SUM(BP20:BP32)</f>
        <v>102770375.48</v>
      </c>
      <c r="BQ34" s="9"/>
      <c r="BR34" s="23">
        <f>SUM(BR20:BR32)</f>
        <v>4419</v>
      </c>
      <c r="BS34" s="31"/>
      <c r="BT34" s="55"/>
      <c r="BU34" s="32"/>
      <c r="BV34" s="9"/>
      <c r="BW34" s="22">
        <f>SUM(BW20:BW32)</f>
        <v>107181937.51000002</v>
      </c>
      <c r="BX34" s="9"/>
      <c r="BY34" s="23">
        <f>SUM(BY20:BY32)</f>
        <v>4500</v>
      </c>
      <c r="BZ34" s="31"/>
      <c r="CA34" s="55"/>
      <c r="CB34" s="32"/>
      <c r="CC34" s="9"/>
      <c r="CD34" s="22">
        <f>SUM(CD20:CD32)</f>
        <v>114950057.93999997</v>
      </c>
      <c r="CE34" s="9"/>
      <c r="CF34" s="23">
        <f>SUM(CF20:CF32)</f>
        <v>4666</v>
      </c>
      <c r="CG34" s="31"/>
      <c r="CH34" s="55"/>
      <c r="CI34" s="32"/>
      <c r="CJ34" s="9"/>
      <c r="CK34" s="22">
        <f>SUM(CK20:CK32)</f>
        <v>114459639.91</v>
      </c>
      <c r="CL34" s="9"/>
      <c r="CM34" s="23">
        <f>SUM(CM20:CM32)</f>
        <v>4566</v>
      </c>
      <c r="CN34" s="31"/>
      <c r="CO34" s="55"/>
      <c r="CP34" s="32"/>
      <c r="CQ34" s="9"/>
    </row>
    <row r="35" spans="1:95" ht="13.5" thickTop="1">
      <c r="A35" s="9"/>
      <c r="B35" s="9"/>
      <c r="C35" s="9"/>
      <c r="D35" s="10"/>
      <c r="E35" s="9"/>
      <c r="F35" s="11"/>
      <c r="G35" s="9"/>
      <c r="H35" s="9"/>
      <c r="I35" s="9"/>
      <c r="J35" s="9"/>
      <c r="K35" s="9"/>
      <c r="L35" s="9"/>
      <c r="M35" s="10"/>
      <c r="N35" s="9"/>
      <c r="O35" s="11"/>
      <c r="P35" s="9"/>
      <c r="Q35" s="9"/>
      <c r="R35" s="9"/>
      <c r="S35" s="9"/>
      <c r="T35" s="9"/>
      <c r="U35" s="10"/>
      <c r="V35" s="9"/>
      <c r="W35" s="11"/>
      <c r="X35" s="9"/>
      <c r="Y35" s="9"/>
      <c r="Z35" s="9"/>
      <c r="AA35" s="9"/>
      <c r="AB35" s="10"/>
      <c r="AC35" s="9"/>
      <c r="AD35" s="11"/>
      <c r="AE35" s="11"/>
      <c r="AF35" s="9"/>
      <c r="AG35" s="9"/>
      <c r="AH35" s="9"/>
      <c r="AI35" s="9"/>
      <c r="AJ35" s="10"/>
      <c r="AK35" s="9"/>
      <c r="AL35" s="11"/>
      <c r="AM35" s="9"/>
      <c r="AN35" s="9"/>
      <c r="AO35" s="9"/>
      <c r="AP35" s="9"/>
      <c r="AQ35" s="10"/>
      <c r="AR35" s="9"/>
      <c r="AS35" s="11"/>
      <c r="AT35" s="9"/>
      <c r="AU35" s="9"/>
      <c r="AV35" s="9"/>
      <c r="AW35" s="9"/>
      <c r="AX35" s="10"/>
      <c r="AY35" s="9"/>
      <c r="AZ35" s="11"/>
      <c r="BA35" s="9"/>
      <c r="BB35" s="9"/>
      <c r="BC35" s="9"/>
      <c r="BD35" s="9"/>
      <c r="BE35" s="10"/>
      <c r="BF35" s="9"/>
      <c r="BG35" s="11"/>
      <c r="BH35" s="9"/>
      <c r="BI35" s="9"/>
      <c r="BJ35" s="9"/>
      <c r="BK35" s="9"/>
      <c r="BL35" s="10"/>
      <c r="BM35" s="9"/>
      <c r="BN35" s="11"/>
      <c r="BO35" s="9"/>
      <c r="BP35" s="9"/>
      <c r="BQ35" s="9"/>
      <c r="BR35" s="9"/>
      <c r="BS35" s="10"/>
      <c r="BT35" s="9"/>
      <c r="BU35" s="11"/>
      <c r="BV35" s="9"/>
      <c r="BW35" s="9"/>
      <c r="BX35" s="9"/>
      <c r="BY35" s="9"/>
      <c r="BZ35" s="10"/>
      <c r="CA35" s="9"/>
      <c r="CB35" s="11"/>
      <c r="CC35" s="9"/>
      <c r="CD35" s="9"/>
      <c r="CE35" s="9"/>
      <c r="CF35" s="9"/>
      <c r="CG35" s="10"/>
      <c r="CH35" s="9"/>
      <c r="CI35" s="11"/>
      <c r="CJ35" s="9"/>
      <c r="CK35" s="9"/>
      <c r="CL35" s="9"/>
      <c r="CM35" s="9"/>
      <c r="CN35" s="10"/>
      <c r="CO35" s="9"/>
      <c r="CP35" s="11"/>
      <c r="CQ35" s="9"/>
    </row>
    <row r="36" spans="1:95" ht="12.75">
      <c r="A36" s="9"/>
      <c r="B36" s="9"/>
      <c r="C36" s="9"/>
      <c r="D36" s="10"/>
      <c r="E36" s="9"/>
      <c r="F36" s="11"/>
      <c r="G36" s="9"/>
      <c r="H36" s="9"/>
      <c r="I36" s="9"/>
      <c r="J36" s="9"/>
      <c r="K36" s="9"/>
      <c r="L36" s="9"/>
      <c r="M36" s="10"/>
      <c r="N36" s="9"/>
      <c r="O36" s="11"/>
      <c r="P36" s="9"/>
      <c r="Q36" s="9"/>
      <c r="R36" s="9"/>
      <c r="S36" s="9"/>
      <c r="T36" s="9"/>
      <c r="U36" s="10"/>
      <c r="V36" s="9"/>
      <c r="W36" s="11"/>
      <c r="X36" s="9"/>
      <c r="Y36" s="9"/>
      <c r="Z36" s="9"/>
      <c r="AA36" s="9"/>
      <c r="AB36" s="10"/>
      <c r="AC36" s="9"/>
      <c r="AD36" s="11"/>
      <c r="AE36" s="11"/>
      <c r="AF36" s="9"/>
      <c r="AG36" s="9"/>
      <c r="AH36" s="9"/>
      <c r="AI36" s="9"/>
      <c r="AJ36" s="10"/>
      <c r="AK36" s="9"/>
      <c r="AL36" s="11"/>
      <c r="AM36" s="9"/>
      <c r="AN36" s="9"/>
      <c r="AO36" s="9"/>
      <c r="AP36" s="9"/>
      <c r="AQ36" s="10"/>
      <c r="AR36" s="9"/>
      <c r="AS36" s="11"/>
      <c r="AT36" s="9"/>
      <c r="AU36" s="9"/>
      <c r="AV36" s="9"/>
      <c r="AW36" s="9"/>
      <c r="AX36" s="10"/>
      <c r="AY36" s="9"/>
      <c r="AZ36" s="11"/>
      <c r="BA36" s="9"/>
      <c r="BB36" s="9"/>
      <c r="BC36" s="9"/>
      <c r="BD36" s="9"/>
      <c r="BE36" s="10"/>
      <c r="BF36" s="9"/>
      <c r="BG36" s="11"/>
      <c r="BH36" s="9"/>
      <c r="BI36" s="9"/>
      <c r="BJ36" s="9"/>
      <c r="BK36" s="9"/>
      <c r="BL36" s="10"/>
      <c r="BM36" s="9"/>
      <c r="BN36" s="11"/>
      <c r="BO36" s="9"/>
      <c r="BP36" s="9"/>
      <c r="BQ36" s="9"/>
      <c r="BR36" s="9"/>
      <c r="BS36" s="10"/>
      <c r="BT36" s="9"/>
      <c r="BU36" s="11"/>
      <c r="BV36" s="9"/>
      <c r="BW36" s="9"/>
      <c r="BX36" s="9"/>
      <c r="BY36" s="9"/>
      <c r="BZ36" s="10"/>
      <c r="CA36" s="9"/>
      <c r="CB36" s="11"/>
      <c r="CC36" s="9"/>
      <c r="CD36" s="9"/>
      <c r="CE36" s="9"/>
      <c r="CF36" s="9"/>
      <c r="CG36" s="10"/>
      <c r="CH36" s="9"/>
      <c r="CI36" s="11"/>
      <c r="CJ36" s="9"/>
      <c r="CK36" s="9"/>
      <c r="CL36" s="9"/>
      <c r="CM36" s="9"/>
      <c r="CN36" s="10"/>
      <c r="CO36" s="9"/>
      <c r="CP36" s="11"/>
      <c r="CQ36" s="9"/>
    </row>
    <row r="37" spans="1:95" ht="12.75">
      <c r="A37" s="20" t="s">
        <v>115</v>
      </c>
      <c r="B37" s="9"/>
      <c r="C37" s="9"/>
      <c r="D37" s="10"/>
      <c r="E37" s="9"/>
      <c r="F37" s="11"/>
      <c r="G37" s="9"/>
      <c r="H37" s="9"/>
      <c r="I37" s="9"/>
      <c r="J37" s="20" t="s">
        <v>115</v>
      </c>
      <c r="K37" s="9"/>
      <c r="L37" s="9"/>
      <c r="M37" s="10"/>
      <c r="N37" s="9"/>
      <c r="O37" s="11"/>
      <c r="P37" s="9"/>
      <c r="Q37" s="9"/>
      <c r="R37" s="20" t="s">
        <v>115</v>
      </c>
      <c r="S37" s="9"/>
      <c r="T37" s="9"/>
      <c r="U37" s="10"/>
      <c r="V37" s="9"/>
      <c r="W37" s="11"/>
      <c r="X37" s="9"/>
      <c r="Y37" s="20" t="s">
        <v>115</v>
      </c>
      <c r="Z37" s="9"/>
      <c r="AA37" s="9"/>
      <c r="AB37" s="10"/>
      <c r="AC37" s="9"/>
      <c r="AD37" s="11"/>
      <c r="AE37" s="11"/>
      <c r="AF37" s="9"/>
      <c r="AG37" s="20" t="s">
        <v>115</v>
      </c>
      <c r="AH37" s="9"/>
      <c r="AI37" s="9"/>
      <c r="AJ37" s="10"/>
      <c r="AK37" s="9"/>
      <c r="AL37" s="11"/>
      <c r="AM37" s="9"/>
      <c r="AN37" s="20" t="s">
        <v>115</v>
      </c>
      <c r="AO37" s="9"/>
      <c r="AP37" s="9"/>
      <c r="AQ37" s="10"/>
      <c r="AR37" s="9"/>
      <c r="AS37" s="11"/>
      <c r="AT37" s="9"/>
      <c r="AU37" s="20" t="s">
        <v>115</v>
      </c>
      <c r="AV37" s="9"/>
      <c r="AW37" s="9"/>
      <c r="AX37" s="10"/>
      <c r="AY37" s="9"/>
      <c r="AZ37" s="11"/>
      <c r="BA37" s="9"/>
      <c r="BB37" s="20" t="s">
        <v>115</v>
      </c>
      <c r="BC37" s="9"/>
      <c r="BD37" s="9"/>
      <c r="BE37" s="10"/>
      <c r="BF37" s="9"/>
      <c r="BG37" s="11"/>
      <c r="BH37" s="9"/>
      <c r="BI37" s="20" t="s">
        <v>115</v>
      </c>
      <c r="BJ37" s="9"/>
      <c r="BK37" s="9"/>
      <c r="BL37" s="10"/>
      <c r="BM37" s="9"/>
      <c r="BN37" s="11"/>
      <c r="BO37" s="9"/>
      <c r="BP37" s="20" t="s">
        <v>115</v>
      </c>
      <c r="BQ37" s="9"/>
      <c r="BR37" s="9"/>
      <c r="BS37" s="10"/>
      <c r="BT37" s="9"/>
      <c r="BU37" s="11"/>
      <c r="BV37" s="9"/>
      <c r="BW37" s="20" t="s">
        <v>115</v>
      </c>
      <c r="BX37" s="9"/>
      <c r="BY37" s="9"/>
      <c r="BZ37" s="10"/>
      <c r="CA37" s="9"/>
      <c r="CB37" s="11"/>
      <c r="CC37" s="9"/>
      <c r="CD37" s="20" t="s">
        <v>115</v>
      </c>
      <c r="CE37" s="9"/>
      <c r="CF37" s="9"/>
      <c r="CG37" s="10"/>
      <c r="CH37" s="9"/>
      <c r="CI37" s="11"/>
      <c r="CJ37" s="9"/>
      <c r="CK37" s="20" t="s">
        <v>115</v>
      </c>
      <c r="CL37" s="9"/>
      <c r="CM37" s="9"/>
      <c r="CN37" s="10"/>
      <c r="CO37" s="9"/>
      <c r="CP37" s="11"/>
      <c r="CQ37" s="9"/>
    </row>
    <row r="38" spans="1:95" ht="12.75">
      <c r="A38" s="20"/>
      <c r="B38" s="9"/>
      <c r="C38" s="9"/>
      <c r="D38" s="10"/>
      <c r="E38" s="9"/>
      <c r="F38" s="11"/>
      <c r="G38" s="9"/>
      <c r="H38" s="9"/>
      <c r="I38" s="9"/>
      <c r="J38" s="20"/>
      <c r="K38" s="9"/>
      <c r="L38" s="9"/>
      <c r="M38" s="10"/>
      <c r="N38" s="9"/>
      <c r="O38" s="11"/>
      <c r="P38" s="9"/>
      <c r="Q38" s="9"/>
      <c r="R38" s="20"/>
      <c r="S38" s="9"/>
      <c r="T38" s="9"/>
      <c r="U38" s="10"/>
      <c r="V38" s="9"/>
      <c r="W38" s="11"/>
      <c r="X38" s="9"/>
      <c r="Y38" s="20"/>
      <c r="Z38" s="9"/>
      <c r="AA38" s="9"/>
      <c r="AB38" s="10"/>
      <c r="AC38" s="9"/>
      <c r="AD38" s="11"/>
      <c r="AE38" s="11"/>
      <c r="AF38" s="9"/>
      <c r="AG38" s="20"/>
      <c r="AH38" s="9"/>
      <c r="AI38" s="9"/>
      <c r="AJ38" s="10"/>
      <c r="AK38" s="9"/>
      <c r="AL38" s="11"/>
      <c r="AM38" s="9"/>
      <c r="AN38" s="20"/>
      <c r="AO38" s="9"/>
      <c r="AP38" s="9"/>
      <c r="AQ38" s="10"/>
      <c r="AR38" s="9"/>
      <c r="AS38" s="11"/>
      <c r="AT38" s="9"/>
      <c r="AU38" s="20"/>
      <c r="AV38" s="9"/>
      <c r="AW38" s="9"/>
      <c r="AX38" s="10"/>
      <c r="AY38" s="9"/>
      <c r="AZ38" s="11"/>
      <c r="BA38" s="9"/>
      <c r="BB38" s="20"/>
      <c r="BC38" s="9"/>
      <c r="BD38" s="9"/>
      <c r="BE38" s="10"/>
      <c r="BF38" s="9"/>
      <c r="BG38" s="11"/>
      <c r="BH38" s="9"/>
      <c r="BI38" s="20"/>
      <c r="BJ38" s="9"/>
      <c r="BK38" s="9"/>
      <c r="BL38" s="10"/>
      <c r="BM38" s="9"/>
      <c r="BN38" s="11"/>
      <c r="BO38" s="9"/>
      <c r="BP38" s="20"/>
      <c r="BQ38" s="9"/>
      <c r="BR38" s="9"/>
      <c r="BS38" s="10"/>
      <c r="BT38" s="9"/>
      <c r="BU38" s="11"/>
      <c r="BV38" s="9"/>
      <c r="BW38" s="20"/>
      <c r="BX38" s="9"/>
      <c r="BY38" s="9"/>
      <c r="BZ38" s="10"/>
      <c r="CA38" s="9"/>
      <c r="CB38" s="11"/>
      <c r="CC38" s="9"/>
      <c r="CD38" s="20"/>
      <c r="CE38" s="9"/>
      <c r="CF38" s="9"/>
      <c r="CG38" s="10"/>
      <c r="CH38" s="9"/>
      <c r="CI38" s="11"/>
      <c r="CJ38" s="9"/>
      <c r="CK38" s="20"/>
      <c r="CL38" s="9"/>
      <c r="CM38" s="9"/>
      <c r="CN38" s="10"/>
      <c r="CO38" s="9"/>
      <c r="CP38" s="11"/>
      <c r="CQ38" s="9"/>
    </row>
    <row r="39" spans="1:95" s="30" customFormat="1" ht="12.75">
      <c r="A39" s="26"/>
      <c r="B39" s="27"/>
      <c r="C39" s="27"/>
      <c r="D39" s="28" t="s">
        <v>143</v>
      </c>
      <c r="E39" s="27" t="s">
        <v>96</v>
      </c>
      <c r="F39" s="29" t="s">
        <v>97</v>
      </c>
      <c r="G39" s="27" t="s">
        <v>96</v>
      </c>
      <c r="H39" s="26"/>
      <c r="I39" s="26"/>
      <c r="J39" s="28" t="s">
        <v>143</v>
      </c>
      <c r="K39" s="27" t="s">
        <v>96</v>
      </c>
      <c r="L39" s="29" t="s">
        <v>97</v>
      </c>
      <c r="M39" s="27" t="s">
        <v>96</v>
      </c>
      <c r="N39" s="65"/>
      <c r="O39" s="66"/>
      <c r="P39" s="13" t="s">
        <v>132</v>
      </c>
      <c r="Q39" s="26"/>
      <c r="R39" s="28" t="s">
        <v>143</v>
      </c>
      <c r="S39" s="27" t="s">
        <v>96</v>
      </c>
      <c r="T39" s="29" t="s">
        <v>97</v>
      </c>
      <c r="U39" s="27" t="s">
        <v>96</v>
      </c>
      <c r="V39" s="65"/>
      <c r="W39" s="66"/>
      <c r="X39" s="13"/>
      <c r="Y39" s="28" t="s">
        <v>143</v>
      </c>
      <c r="Z39" s="27" t="s">
        <v>96</v>
      </c>
      <c r="AA39" s="29" t="s">
        <v>97</v>
      </c>
      <c r="AB39" s="27" t="s">
        <v>96</v>
      </c>
      <c r="AC39" s="65"/>
      <c r="AD39" s="66"/>
      <c r="AE39" s="66"/>
      <c r="AF39" s="13"/>
      <c r="AG39" s="28" t="s">
        <v>143</v>
      </c>
      <c r="AH39" s="27" t="s">
        <v>96</v>
      </c>
      <c r="AI39" s="29" t="s">
        <v>97</v>
      </c>
      <c r="AJ39" s="27" t="s">
        <v>96</v>
      </c>
      <c r="AK39" s="65"/>
      <c r="AL39" s="66"/>
      <c r="AM39" s="13"/>
      <c r="AN39" s="94" t="s">
        <v>143</v>
      </c>
      <c r="AO39" s="45" t="s">
        <v>96</v>
      </c>
      <c r="AP39" s="93" t="s">
        <v>97</v>
      </c>
      <c r="AQ39" s="45" t="s">
        <v>96</v>
      </c>
      <c r="AR39" s="65"/>
      <c r="AS39" s="66"/>
      <c r="AT39" s="13"/>
      <c r="AU39" s="94" t="s">
        <v>143</v>
      </c>
      <c r="AV39" s="45" t="s">
        <v>96</v>
      </c>
      <c r="AW39" s="93" t="s">
        <v>97</v>
      </c>
      <c r="AX39" s="45" t="s">
        <v>96</v>
      </c>
      <c r="AY39" s="65"/>
      <c r="AZ39" s="66"/>
      <c r="BA39" s="13"/>
      <c r="BB39" s="94" t="s">
        <v>143</v>
      </c>
      <c r="BC39" s="45" t="s">
        <v>96</v>
      </c>
      <c r="BD39" s="93" t="s">
        <v>97</v>
      </c>
      <c r="BE39" s="45" t="s">
        <v>96</v>
      </c>
      <c r="BF39" s="65"/>
      <c r="BG39" s="66"/>
      <c r="BH39" s="13"/>
      <c r="BI39" s="94" t="s">
        <v>143</v>
      </c>
      <c r="BJ39" s="45" t="s">
        <v>96</v>
      </c>
      <c r="BK39" s="93" t="s">
        <v>97</v>
      </c>
      <c r="BL39" s="45" t="s">
        <v>96</v>
      </c>
      <c r="BM39" s="65"/>
      <c r="BN39" s="66"/>
      <c r="BO39" s="13"/>
      <c r="BP39" s="94" t="s">
        <v>143</v>
      </c>
      <c r="BQ39" s="45" t="s">
        <v>96</v>
      </c>
      <c r="BR39" s="93" t="s">
        <v>97</v>
      </c>
      <c r="BS39" s="45" t="s">
        <v>96</v>
      </c>
      <c r="BT39" s="65"/>
      <c r="BU39" s="66"/>
      <c r="BV39" s="13"/>
      <c r="BW39" s="94" t="s">
        <v>143</v>
      </c>
      <c r="BX39" s="45" t="s">
        <v>96</v>
      </c>
      <c r="BY39" s="93" t="s">
        <v>97</v>
      </c>
      <c r="BZ39" s="45" t="s">
        <v>96</v>
      </c>
      <c r="CA39" s="65"/>
      <c r="CB39" s="66"/>
      <c r="CC39" s="13"/>
      <c r="CD39" s="94" t="s">
        <v>143</v>
      </c>
      <c r="CE39" s="45" t="s">
        <v>96</v>
      </c>
      <c r="CF39" s="93" t="s">
        <v>97</v>
      </c>
      <c r="CG39" s="45" t="s">
        <v>96</v>
      </c>
      <c r="CH39" s="65"/>
      <c r="CI39" s="66"/>
      <c r="CJ39" s="13"/>
      <c r="CK39" s="94" t="s">
        <v>143</v>
      </c>
      <c r="CL39" s="45" t="s">
        <v>96</v>
      </c>
      <c r="CM39" s="93" t="s">
        <v>97</v>
      </c>
      <c r="CN39" s="45" t="s">
        <v>96</v>
      </c>
      <c r="CO39" s="65"/>
      <c r="CP39" s="66"/>
      <c r="CQ39" s="13"/>
    </row>
    <row r="40" spans="1:95" ht="12.75">
      <c r="A40" s="13"/>
      <c r="B40" s="9"/>
      <c r="C40" s="9"/>
      <c r="D40" s="10"/>
      <c r="E40" s="9"/>
      <c r="F40" s="11"/>
      <c r="G40" s="9"/>
      <c r="H40" s="9"/>
      <c r="I40" s="9"/>
      <c r="J40" s="10"/>
      <c r="K40" s="9"/>
      <c r="L40" s="11"/>
      <c r="N40" s="55"/>
      <c r="O40" s="56"/>
      <c r="P40" s="9"/>
      <c r="Q40" s="9"/>
      <c r="R40" s="10"/>
      <c r="S40" s="9"/>
      <c r="T40" s="11"/>
      <c r="U40" s="35"/>
      <c r="V40" s="55"/>
      <c r="W40" s="56"/>
      <c r="X40" s="9"/>
      <c r="Y40" s="10"/>
      <c r="Z40" s="9"/>
      <c r="AA40" s="11"/>
      <c r="AB40" s="35"/>
      <c r="AC40" s="55"/>
      <c r="AD40" s="56"/>
      <c r="AE40" s="56"/>
      <c r="AF40" s="9"/>
      <c r="AG40" s="10"/>
      <c r="AH40" s="9"/>
      <c r="AI40" s="11"/>
      <c r="AJ40" s="35"/>
      <c r="AK40" s="55"/>
      <c r="AL40" s="56"/>
      <c r="AM40" s="9"/>
      <c r="AN40" s="10"/>
      <c r="AO40" s="9"/>
      <c r="AP40" s="11"/>
      <c r="AQ40" s="35"/>
      <c r="AR40" s="55"/>
      <c r="AS40" s="56"/>
      <c r="AT40" s="9"/>
      <c r="AU40" s="10"/>
      <c r="AV40" s="9"/>
      <c r="AW40" s="11"/>
      <c r="AX40" s="35"/>
      <c r="AY40" s="55"/>
      <c r="AZ40" s="56"/>
      <c r="BA40" s="9"/>
      <c r="BB40" s="10"/>
      <c r="BC40" s="9"/>
      <c r="BD40" s="11"/>
      <c r="BE40" s="35"/>
      <c r="BF40" s="55"/>
      <c r="BG40" s="56"/>
      <c r="BH40" s="9"/>
      <c r="BI40" s="10"/>
      <c r="BJ40" s="9"/>
      <c r="BK40" s="11"/>
      <c r="BL40" s="35"/>
      <c r="BM40" s="55"/>
      <c r="BN40" s="56"/>
      <c r="BO40" s="9"/>
      <c r="BP40" s="10"/>
      <c r="BQ40" s="9"/>
      <c r="BR40" s="11"/>
      <c r="BS40" s="35"/>
      <c r="BT40" s="55"/>
      <c r="BU40" s="56"/>
      <c r="BV40" s="9"/>
      <c r="BW40" s="10"/>
      <c r="BX40" s="9"/>
      <c r="BY40" s="11"/>
      <c r="BZ40" s="35"/>
      <c r="CA40" s="55"/>
      <c r="CB40" s="56"/>
      <c r="CC40" s="9"/>
      <c r="CD40" s="10"/>
      <c r="CE40" s="9"/>
      <c r="CF40" s="11"/>
      <c r="CG40" s="35"/>
      <c r="CH40" s="55"/>
      <c r="CI40" s="56"/>
      <c r="CJ40" s="9"/>
      <c r="CK40" s="10"/>
      <c r="CL40" s="9"/>
      <c r="CM40" s="11"/>
      <c r="CN40" s="35"/>
      <c r="CO40" s="55"/>
      <c r="CP40" s="56"/>
      <c r="CQ40" s="9"/>
    </row>
    <row r="41" spans="1:95" ht="12.75">
      <c r="A41" s="9" t="s">
        <v>15</v>
      </c>
      <c r="B41" s="9"/>
      <c r="C41" s="9"/>
      <c r="D41" s="10">
        <v>0</v>
      </c>
      <c r="E41" s="15">
        <v>0</v>
      </c>
      <c r="F41" s="11">
        <v>0</v>
      </c>
      <c r="G41" s="15">
        <v>0</v>
      </c>
      <c r="H41" s="9"/>
      <c r="I41" s="9"/>
      <c r="J41" s="10">
        <v>3395.07</v>
      </c>
      <c r="K41" s="15">
        <v>0.00036707764585774147</v>
      </c>
      <c r="L41" s="11">
        <v>8</v>
      </c>
      <c r="M41" s="15">
        <v>0.014571948998178506</v>
      </c>
      <c r="N41" s="57"/>
      <c r="O41" s="56"/>
      <c r="P41" s="15">
        <v>0.003912800447177194</v>
      </c>
      <c r="Q41" s="9"/>
      <c r="R41" s="10">
        <v>23992.57</v>
      </c>
      <c r="S41" s="15">
        <v>0.0010223670734151383</v>
      </c>
      <c r="T41" s="11">
        <v>40</v>
      </c>
      <c r="U41" s="15">
        <v>0.029940119760479042</v>
      </c>
      <c r="V41" s="57"/>
      <c r="W41" s="56"/>
      <c r="X41" s="15"/>
      <c r="Y41" s="10">
        <v>13445.72</v>
      </c>
      <c r="Z41" s="15">
        <v>0.00033154205619719115</v>
      </c>
      <c r="AA41" s="11">
        <v>35</v>
      </c>
      <c r="AB41" s="15">
        <v>0.01607717041800643</v>
      </c>
      <c r="AC41" s="57"/>
      <c r="AD41" s="56"/>
      <c r="AE41" s="56"/>
      <c r="AF41" s="15"/>
      <c r="AG41" s="10">
        <v>36371.02</v>
      </c>
      <c r="AH41" s="15">
        <v>0.0006515919854194034</v>
      </c>
      <c r="AI41" s="11">
        <v>84</v>
      </c>
      <c r="AJ41" s="15">
        <v>0.028416779431664412</v>
      </c>
      <c r="AK41" s="57"/>
      <c r="AL41" s="56"/>
      <c r="AM41" s="15"/>
      <c r="AN41" s="10">
        <v>1946.8</v>
      </c>
      <c r="AO41" s="15">
        <v>3.2874316075546606E-05</v>
      </c>
      <c r="AP41" s="11">
        <v>1</v>
      </c>
      <c r="AQ41" s="15">
        <v>0.00033944331296673454</v>
      </c>
      <c r="AR41" s="57"/>
      <c r="AS41" s="56"/>
      <c r="AT41" s="15"/>
      <c r="AU41" s="10">
        <v>11267.91</v>
      </c>
      <c r="AV41" s="15">
        <v>0.00014672915129128133</v>
      </c>
      <c r="AW41" s="11">
        <v>7</v>
      </c>
      <c r="AX41" s="15">
        <v>0.0019209659714599342</v>
      </c>
      <c r="AY41" s="57"/>
      <c r="AZ41" s="56"/>
      <c r="BA41" s="15"/>
      <c r="BB41" s="10">
        <v>7985.9</v>
      </c>
      <c r="BC41" s="15">
        <v>9.56392862466762E-05</v>
      </c>
      <c r="BD41" s="11">
        <v>5</v>
      </c>
      <c r="BE41" s="15">
        <v>0.001310615989515072</v>
      </c>
      <c r="BF41" s="57"/>
      <c r="BG41" s="56"/>
      <c r="BH41" s="15"/>
      <c r="BI41" s="10">
        <v>12082.08</v>
      </c>
      <c r="BJ41" s="15">
        <v>0.0001394258686548197</v>
      </c>
      <c r="BK41" s="11">
        <v>7</v>
      </c>
      <c r="BL41" s="15">
        <v>0.001813941435605079</v>
      </c>
      <c r="BM41" s="57"/>
      <c r="BN41" s="56"/>
      <c r="BO41" s="15"/>
      <c r="BP41" s="10">
        <v>27326.79</v>
      </c>
      <c r="BQ41" s="15">
        <v>0.0002659014319288735</v>
      </c>
      <c r="BR41" s="11">
        <v>16</v>
      </c>
      <c r="BS41" s="15">
        <v>0.0036207286716451684</v>
      </c>
      <c r="BT41" s="57"/>
      <c r="BU41" s="56"/>
      <c r="BV41" s="15"/>
      <c r="BW41" s="10">
        <v>22752.3</v>
      </c>
      <c r="BX41" s="15">
        <v>0.00021227737180882014</v>
      </c>
      <c r="BY41" s="11">
        <v>14</v>
      </c>
      <c r="BZ41" s="15">
        <v>0.003111111111111111</v>
      </c>
      <c r="CA41" s="57"/>
      <c r="CB41" s="56"/>
      <c r="CC41" s="15"/>
      <c r="CD41" s="10">
        <v>21844.02</v>
      </c>
      <c r="CE41" s="15">
        <v>0.00019003052622558778</v>
      </c>
      <c r="CF41" s="11">
        <v>15</v>
      </c>
      <c r="CG41" s="15">
        <v>0.0032147449635662236</v>
      </c>
      <c r="CH41" s="57"/>
      <c r="CI41" s="56"/>
      <c r="CJ41" s="15"/>
      <c r="CK41" s="10">
        <v>20896.56</v>
      </c>
      <c r="CL41" s="15">
        <v>0.00018256706046280616</v>
      </c>
      <c r="CM41" s="11">
        <v>17</v>
      </c>
      <c r="CN41" s="15">
        <v>0.0037231712658782304</v>
      </c>
      <c r="CO41" s="57"/>
      <c r="CP41" s="56"/>
      <c r="CQ41" s="15"/>
    </row>
    <row r="42" spans="1:95" ht="12.75">
      <c r="A42" s="9" t="s">
        <v>16</v>
      </c>
      <c r="B42" s="9"/>
      <c r="C42" s="9"/>
      <c r="D42" s="10">
        <v>57031.88</v>
      </c>
      <c r="E42" s="15">
        <v>0.005947583979766326</v>
      </c>
      <c r="F42" s="11">
        <v>17</v>
      </c>
      <c r="G42" s="15">
        <v>0.030575539568345324</v>
      </c>
      <c r="H42" s="9"/>
      <c r="I42" s="9"/>
      <c r="J42" s="10">
        <v>56748.97</v>
      </c>
      <c r="K42" s="15">
        <v>0.0061357433904018445</v>
      </c>
      <c r="L42" s="11">
        <v>17</v>
      </c>
      <c r="M42" s="15">
        <v>0.030965391621129327</v>
      </c>
      <c r="N42" s="57"/>
      <c r="O42" s="56"/>
      <c r="P42" s="15">
        <v>0.046953605366126326</v>
      </c>
      <c r="Q42" s="9"/>
      <c r="R42" s="10">
        <v>115779.65</v>
      </c>
      <c r="S42" s="15">
        <v>0.004933581601784595</v>
      </c>
      <c r="T42" s="11">
        <v>35</v>
      </c>
      <c r="U42" s="15">
        <v>0.02619760479041916</v>
      </c>
      <c r="V42" s="57"/>
      <c r="W42" s="56"/>
      <c r="X42" s="15"/>
      <c r="Y42" s="10">
        <v>195358.93</v>
      </c>
      <c r="Z42" s="15">
        <v>0.004817124062429024</v>
      </c>
      <c r="AA42" s="11">
        <v>60</v>
      </c>
      <c r="AB42" s="15">
        <v>0.02756086357372531</v>
      </c>
      <c r="AC42" s="57"/>
      <c r="AD42" s="56"/>
      <c r="AE42" s="56"/>
      <c r="AF42" s="15"/>
      <c r="AG42" s="10">
        <v>253229.05</v>
      </c>
      <c r="AH42" s="15">
        <v>0.004536634371413543</v>
      </c>
      <c r="AI42" s="11">
        <v>79</v>
      </c>
      <c r="AJ42" s="15">
        <v>0.02672530446549391</v>
      </c>
      <c r="AK42" s="57"/>
      <c r="AL42" s="56"/>
      <c r="AM42" s="15"/>
      <c r="AN42" s="10">
        <v>234755.28</v>
      </c>
      <c r="AO42" s="15">
        <v>0.003964156192276271</v>
      </c>
      <c r="AP42" s="11">
        <v>74</v>
      </c>
      <c r="AQ42" s="15">
        <v>0.025118805159538356</v>
      </c>
      <c r="AR42" s="57"/>
      <c r="AS42" s="56"/>
      <c r="AT42" s="15"/>
      <c r="AU42" s="10">
        <v>270701.78</v>
      </c>
      <c r="AV42" s="15">
        <v>0.003525040795714481</v>
      </c>
      <c r="AW42" s="11">
        <v>83</v>
      </c>
      <c r="AX42" s="15">
        <v>0.022777167947310648</v>
      </c>
      <c r="AY42" s="57"/>
      <c r="AZ42" s="56"/>
      <c r="BA42" s="15"/>
      <c r="BB42" s="10">
        <v>278347.05</v>
      </c>
      <c r="BC42" s="15">
        <v>0.00333348942396823</v>
      </c>
      <c r="BD42" s="11">
        <v>87</v>
      </c>
      <c r="BE42" s="15">
        <v>0.022804718217562255</v>
      </c>
      <c r="BF42" s="57"/>
      <c r="BG42" s="56"/>
      <c r="BH42" s="15"/>
      <c r="BI42" s="10">
        <v>308915.55</v>
      </c>
      <c r="BJ42" s="15">
        <v>0.003564851325246267</v>
      </c>
      <c r="BK42" s="11">
        <v>98</v>
      </c>
      <c r="BL42" s="15">
        <v>0.025395180098471106</v>
      </c>
      <c r="BM42" s="57"/>
      <c r="BN42" s="56"/>
      <c r="BO42" s="15"/>
      <c r="BP42" s="10">
        <v>325253.75</v>
      </c>
      <c r="BQ42" s="15">
        <v>0.003164859021686624</v>
      </c>
      <c r="BR42" s="11">
        <v>103</v>
      </c>
      <c r="BS42" s="15">
        <v>0.023308440823715772</v>
      </c>
      <c r="BT42" s="57"/>
      <c r="BU42" s="56"/>
      <c r="BV42" s="15"/>
      <c r="BW42" s="10">
        <v>326716.22</v>
      </c>
      <c r="BX42" s="15">
        <v>0.0030482395410095803</v>
      </c>
      <c r="BY42" s="11">
        <v>104</v>
      </c>
      <c r="BZ42" s="15">
        <v>0.02311111111111111</v>
      </c>
      <c r="CA42" s="57"/>
      <c r="CB42" s="56"/>
      <c r="CC42" s="15"/>
      <c r="CD42" s="10">
        <v>319712.87</v>
      </c>
      <c r="CE42" s="15">
        <v>0.0027813197812121093</v>
      </c>
      <c r="CF42" s="11">
        <v>101</v>
      </c>
      <c r="CG42" s="15">
        <v>0.021645949421345907</v>
      </c>
      <c r="CH42" s="57"/>
      <c r="CI42" s="56"/>
      <c r="CJ42" s="15"/>
      <c r="CK42" s="10">
        <v>335424.84</v>
      </c>
      <c r="CL42" s="15">
        <v>0.0029305075593785354</v>
      </c>
      <c r="CM42" s="11">
        <v>105</v>
      </c>
      <c r="CN42" s="15">
        <v>0.022996057818659658</v>
      </c>
      <c r="CO42" s="57"/>
      <c r="CP42" s="56"/>
      <c r="CQ42" s="15"/>
    </row>
    <row r="43" spans="1:95" ht="12.75">
      <c r="A43" s="9" t="s">
        <v>17</v>
      </c>
      <c r="B43" s="9"/>
      <c r="C43" s="9"/>
      <c r="D43" s="10">
        <v>356304.7</v>
      </c>
      <c r="E43" s="15">
        <v>0.03715732544035804</v>
      </c>
      <c r="F43" s="11">
        <v>67</v>
      </c>
      <c r="G43" s="15">
        <v>0.12050359712230216</v>
      </c>
      <c r="H43" s="9"/>
      <c r="I43" s="9"/>
      <c r="J43" s="10">
        <v>357383.06</v>
      </c>
      <c r="K43" s="15">
        <v>0.03864053829059077</v>
      </c>
      <c r="L43" s="11">
        <v>68</v>
      </c>
      <c r="M43" s="15">
        <v>0.12386156648451731</v>
      </c>
      <c r="N43" s="57"/>
      <c r="O43" s="56"/>
      <c r="P43" s="15">
        <v>0.14197875908328675</v>
      </c>
      <c r="Q43" s="9"/>
      <c r="R43" s="10">
        <v>646244.68</v>
      </c>
      <c r="S43" s="15">
        <v>0.027537661959585926</v>
      </c>
      <c r="T43" s="11">
        <v>124</v>
      </c>
      <c r="U43" s="15">
        <v>0.09281437125748503</v>
      </c>
      <c r="V43" s="57"/>
      <c r="W43" s="56"/>
      <c r="X43" s="15"/>
      <c r="Y43" s="10">
        <v>941611.42</v>
      </c>
      <c r="Z43" s="15">
        <v>0.023218078788310108</v>
      </c>
      <c r="AA43" s="11">
        <v>182</v>
      </c>
      <c r="AB43" s="15">
        <v>0.08360128617363344</v>
      </c>
      <c r="AC43" s="57"/>
      <c r="AD43" s="56"/>
      <c r="AE43" s="56"/>
      <c r="AF43" s="15"/>
      <c r="AG43" s="10">
        <v>1307403.52</v>
      </c>
      <c r="AH43" s="15">
        <v>0.023422319619881893</v>
      </c>
      <c r="AI43" s="11">
        <v>254</v>
      </c>
      <c r="AJ43" s="15">
        <v>0.08592692828146144</v>
      </c>
      <c r="AK43" s="57"/>
      <c r="AL43" s="56"/>
      <c r="AM43" s="15"/>
      <c r="AN43" s="10">
        <v>1396844.07</v>
      </c>
      <c r="AO43" s="15">
        <v>0.023587576261266133</v>
      </c>
      <c r="AP43" s="11">
        <v>273</v>
      </c>
      <c r="AQ43" s="15">
        <v>0.09266802443991853</v>
      </c>
      <c r="AR43" s="57"/>
      <c r="AS43" s="56"/>
      <c r="AT43" s="15"/>
      <c r="AU43" s="10">
        <v>1435586.37</v>
      </c>
      <c r="AV43" s="15">
        <v>0.018694005336875357</v>
      </c>
      <c r="AW43" s="11">
        <v>280</v>
      </c>
      <c r="AX43" s="15">
        <v>0.07683863885839737</v>
      </c>
      <c r="AY43" s="57"/>
      <c r="AZ43" s="56"/>
      <c r="BA43" s="15"/>
      <c r="BB43" s="10">
        <v>1342296.37</v>
      </c>
      <c r="BC43" s="15">
        <v>0.016075366177676204</v>
      </c>
      <c r="BD43" s="11">
        <v>265</v>
      </c>
      <c r="BE43" s="15">
        <v>0.06946264744429882</v>
      </c>
      <c r="BF43" s="57"/>
      <c r="BG43" s="56"/>
      <c r="BH43" s="15"/>
      <c r="BI43" s="10">
        <v>1178057.97</v>
      </c>
      <c r="BJ43" s="15">
        <v>0.013594658849551038</v>
      </c>
      <c r="BK43" s="11">
        <v>233</v>
      </c>
      <c r="BL43" s="15">
        <v>0.06037833635656906</v>
      </c>
      <c r="BM43" s="57"/>
      <c r="BN43" s="56"/>
      <c r="BO43" s="15"/>
      <c r="BP43" s="10">
        <v>1129754.7</v>
      </c>
      <c r="BQ43" s="15">
        <v>0.01099299963363333</v>
      </c>
      <c r="BR43" s="11">
        <v>224</v>
      </c>
      <c r="BS43" s="15">
        <v>0.05069020140303236</v>
      </c>
      <c r="BT43" s="57"/>
      <c r="BU43" s="56"/>
      <c r="BV43" s="15"/>
      <c r="BW43" s="10">
        <v>1155715.95</v>
      </c>
      <c r="BX43" s="15">
        <v>0.010782749191226107</v>
      </c>
      <c r="BY43" s="11">
        <v>225</v>
      </c>
      <c r="BZ43" s="15">
        <v>0.05</v>
      </c>
      <c r="CA43" s="57"/>
      <c r="CB43" s="56"/>
      <c r="CC43" s="15"/>
      <c r="CD43" s="10">
        <v>1110196.88</v>
      </c>
      <c r="CE43" s="15">
        <v>0.009658080212360443</v>
      </c>
      <c r="CF43" s="11">
        <v>215</v>
      </c>
      <c r="CG43" s="15">
        <v>0.046078011144449205</v>
      </c>
      <c r="CH43" s="57"/>
      <c r="CI43" s="56"/>
      <c r="CJ43" s="15"/>
      <c r="CK43" s="10">
        <v>1023831.32</v>
      </c>
      <c r="CL43" s="15">
        <v>0.008944911243867638</v>
      </c>
      <c r="CM43" s="11">
        <v>198</v>
      </c>
      <c r="CN43" s="15">
        <v>0.04336399474375821</v>
      </c>
      <c r="CO43" s="57"/>
      <c r="CP43" s="56"/>
      <c r="CQ43" s="15"/>
    </row>
    <row r="44" spans="1:95" ht="12.75">
      <c r="A44" s="9" t="s">
        <v>18</v>
      </c>
      <c r="B44" s="9"/>
      <c r="C44" s="9"/>
      <c r="D44" s="10">
        <v>318262.89</v>
      </c>
      <c r="E44" s="15">
        <v>0.033190125696682844</v>
      </c>
      <c r="F44" s="11">
        <v>46</v>
      </c>
      <c r="G44" s="15">
        <v>0.08273381294964029</v>
      </c>
      <c r="H44" s="9"/>
      <c r="I44" s="9"/>
      <c r="J44" s="10">
        <v>328540.62</v>
      </c>
      <c r="K44" s="15">
        <v>0.035522070931745975</v>
      </c>
      <c r="L44" s="11">
        <v>47</v>
      </c>
      <c r="M44" s="15">
        <v>0.08561020036429873</v>
      </c>
      <c r="N44" s="57"/>
      <c r="O44" s="56"/>
      <c r="P44" s="15">
        <v>0.11794298490776971</v>
      </c>
      <c r="Q44" s="9"/>
      <c r="R44" s="10">
        <v>598497.34</v>
      </c>
      <c r="S44" s="15">
        <v>0.025503060903544095</v>
      </c>
      <c r="T44" s="11">
        <v>85</v>
      </c>
      <c r="U44" s="15">
        <v>0.06362275449101797</v>
      </c>
      <c r="V44" s="57"/>
      <c r="W44" s="56"/>
      <c r="X44" s="15"/>
      <c r="Y44" s="10">
        <v>949377.22</v>
      </c>
      <c r="Z44" s="15">
        <v>0.023409566436425357</v>
      </c>
      <c r="AA44" s="11">
        <v>136</v>
      </c>
      <c r="AB44" s="15">
        <v>0.0624712907671107</v>
      </c>
      <c r="AC44" s="57"/>
      <c r="AD44" s="56"/>
      <c r="AE44" s="56"/>
      <c r="AF44" s="15"/>
      <c r="AG44" s="10">
        <v>1230494.98</v>
      </c>
      <c r="AH44" s="15">
        <v>0.022044492210193976</v>
      </c>
      <c r="AI44" s="11">
        <v>176</v>
      </c>
      <c r="AJ44" s="15">
        <v>0.05953991880920163</v>
      </c>
      <c r="AK44" s="57"/>
      <c r="AL44" s="56"/>
      <c r="AM44" s="15"/>
      <c r="AN44" s="10">
        <v>1071045.45</v>
      </c>
      <c r="AO44" s="15">
        <v>0.018086031772434785</v>
      </c>
      <c r="AP44" s="11">
        <v>152</v>
      </c>
      <c r="AQ44" s="15">
        <v>0.051595383570943655</v>
      </c>
      <c r="AR44" s="57"/>
      <c r="AS44" s="56"/>
      <c r="AT44" s="15"/>
      <c r="AU44" s="10">
        <v>1340350.96</v>
      </c>
      <c r="AV44" s="15">
        <v>0.017453863120423758</v>
      </c>
      <c r="AW44" s="11">
        <v>190</v>
      </c>
      <c r="AX44" s="15">
        <v>0.05214050493962678</v>
      </c>
      <c r="AY44" s="57"/>
      <c r="AZ44" s="56"/>
      <c r="BA44" s="15"/>
      <c r="BB44" s="10">
        <v>1386310.22</v>
      </c>
      <c r="BC44" s="15">
        <v>0.016602476860125046</v>
      </c>
      <c r="BD44" s="11">
        <v>196</v>
      </c>
      <c r="BE44" s="15">
        <v>0.05137614678899083</v>
      </c>
      <c r="BF44" s="57"/>
      <c r="BG44" s="56"/>
      <c r="BH44" s="15"/>
      <c r="BI44" s="10">
        <v>1432273.07</v>
      </c>
      <c r="BJ44" s="15">
        <v>0.01652827302382167</v>
      </c>
      <c r="BK44" s="11">
        <v>203</v>
      </c>
      <c r="BL44" s="15">
        <v>0.05260430163254729</v>
      </c>
      <c r="BM44" s="57"/>
      <c r="BN44" s="56"/>
      <c r="BO44" s="15"/>
      <c r="BP44" s="10">
        <v>1380275.51</v>
      </c>
      <c r="BQ44" s="15">
        <v>0.013430674973729302</v>
      </c>
      <c r="BR44" s="11">
        <v>198</v>
      </c>
      <c r="BS44" s="15">
        <v>0.04480651731160896</v>
      </c>
      <c r="BT44" s="57"/>
      <c r="BU44" s="56"/>
      <c r="BV44" s="15"/>
      <c r="BW44" s="10">
        <v>1238600.72</v>
      </c>
      <c r="BX44" s="15">
        <v>0.011556058313318312</v>
      </c>
      <c r="BY44" s="11">
        <v>178</v>
      </c>
      <c r="BZ44" s="15">
        <v>0.03955555555555555</v>
      </c>
      <c r="CA44" s="57"/>
      <c r="CB44" s="56"/>
      <c r="CC44" s="15"/>
      <c r="CD44" s="10">
        <v>1155557.77</v>
      </c>
      <c r="CE44" s="15">
        <v>0.010052694106541128</v>
      </c>
      <c r="CF44" s="11">
        <v>165</v>
      </c>
      <c r="CG44" s="15">
        <v>0.03536219459922846</v>
      </c>
      <c r="CH44" s="57"/>
      <c r="CI44" s="56"/>
      <c r="CJ44" s="15"/>
      <c r="CK44" s="10">
        <v>1162046.48</v>
      </c>
      <c r="CL44" s="15">
        <v>0.010152456192538451</v>
      </c>
      <c r="CM44" s="11">
        <v>166</v>
      </c>
      <c r="CN44" s="15">
        <v>0.036355672360928605</v>
      </c>
      <c r="CO44" s="57"/>
      <c r="CP44" s="56"/>
      <c r="CQ44" s="15"/>
    </row>
    <row r="45" spans="1:95" ht="12.75">
      <c r="A45" s="9" t="s">
        <v>19</v>
      </c>
      <c r="B45" s="9"/>
      <c r="C45" s="9"/>
      <c r="D45" s="10">
        <v>425056.45</v>
      </c>
      <c r="E45" s="15">
        <v>0.04432711901687875</v>
      </c>
      <c r="F45" s="11">
        <v>47</v>
      </c>
      <c r="G45" s="15">
        <v>0.08453237410071943</v>
      </c>
      <c r="H45" s="9"/>
      <c r="I45" s="9"/>
      <c r="J45" s="10">
        <v>449504.17</v>
      </c>
      <c r="K45" s="15">
        <v>0.0486007453533618</v>
      </c>
      <c r="L45" s="11">
        <v>49</v>
      </c>
      <c r="M45" s="15">
        <v>0.08925318761384335</v>
      </c>
      <c r="N45" s="57"/>
      <c r="O45" s="56"/>
      <c r="P45" s="15">
        <v>0.1291224147568474</v>
      </c>
      <c r="Q45" s="9"/>
      <c r="R45" s="10">
        <v>955602.15</v>
      </c>
      <c r="S45" s="15">
        <v>0.040719946777052804</v>
      </c>
      <c r="T45" s="11">
        <v>104</v>
      </c>
      <c r="U45" s="15">
        <v>0.07784431137724551</v>
      </c>
      <c r="V45" s="57"/>
      <c r="W45" s="56"/>
      <c r="X45" s="15"/>
      <c r="Y45" s="10">
        <v>1421765.74</v>
      </c>
      <c r="Z45" s="15">
        <v>0.03505763446437388</v>
      </c>
      <c r="AA45" s="11">
        <v>155</v>
      </c>
      <c r="AB45" s="15">
        <v>0.07119889756545705</v>
      </c>
      <c r="AC45" s="57"/>
      <c r="AD45" s="56"/>
      <c r="AE45" s="56"/>
      <c r="AF45" s="15"/>
      <c r="AG45" s="10">
        <v>1814179.86</v>
      </c>
      <c r="AH45" s="15">
        <v>0.03250128967747662</v>
      </c>
      <c r="AI45" s="11">
        <v>198</v>
      </c>
      <c r="AJ45" s="15">
        <v>0.06698240866035182</v>
      </c>
      <c r="AK45" s="57"/>
      <c r="AL45" s="56"/>
      <c r="AM45" s="15"/>
      <c r="AN45" s="10">
        <v>1758348.76</v>
      </c>
      <c r="AO45" s="15">
        <v>0.029692065393099175</v>
      </c>
      <c r="AP45" s="11">
        <v>194</v>
      </c>
      <c r="AQ45" s="15">
        <v>0.0658520027155465</v>
      </c>
      <c r="AR45" s="57"/>
      <c r="AS45" s="56"/>
      <c r="AT45" s="15"/>
      <c r="AU45" s="10">
        <v>2159590.25</v>
      </c>
      <c r="AV45" s="15">
        <v>0.02812188280873968</v>
      </c>
      <c r="AW45" s="11">
        <v>238</v>
      </c>
      <c r="AX45" s="15">
        <v>0.06531284302963776</v>
      </c>
      <c r="AY45" s="57"/>
      <c r="AZ45" s="56"/>
      <c r="BA45" s="15"/>
      <c r="BB45" s="10">
        <v>2026262.59</v>
      </c>
      <c r="BC45" s="15">
        <v>0.024266558290980542</v>
      </c>
      <c r="BD45" s="11">
        <v>222</v>
      </c>
      <c r="BE45" s="15">
        <v>0.0581913499344692</v>
      </c>
      <c r="BF45" s="57"/>
      <c r="BG45" s="56"/>
      <c r="BH45" s="15"/>
      <c r="BI45" s="10">
        <v>1677015.84</v>
      </c>
      <c r="BJ45" s="15">
        <v>0.019352577556173457</v>
      </c>
      <c r="BK45" s="11">
        <v>184</v>
      </c>
      <c r="BL45" s="15">
        <v>0.04768074630733351</v>
      </c>
      <c r="BM45" s="57"/>
      <c r="BN45" s="56"/>
      <c r="BO45" s="15"/>
      <c r="BP45" s="10">
        <v>1804899.45</v>
      </c>
      <c r="BQ45" s="15">
        <v>0.017562448726785543</v>
      </c>
      <c r="BR45" s="11">
        <v>199</v>
      </c>
      <c r="BS45" s="15">
        <v>0.04503281285358678</v>
      </c>
      <c r="BT45" s="57"/>
      <c r="BU45" s="56"/>
      <c r="BV45" s="15"/>
      <c r="BW45" s="10">
        <v>1752423.07</v>
      </c>
      <c r="BX45" s="15">
        <v>0.016349984994780485</v>
      </c>
      <c r="BY45" s="11">
        <v>193</v>
      </c>
      <c r="BZ45" s="15">
        <v>0.042888888888888886</v>
      </c>
      <c r="CA45" s="57"/>
      <c r="CB45" s="56"/>
      <c r="CC45" s="15"/>
      <c r="CD45" s="10">
        <v>1771891.07</v>
      </c>
      <c r="CE45" s="15">
        <v>0.015414442600149602</v>
      </c>
      <c r="CF45" s="11">
        <v>194</v>
      </c>
      <c r="CG45" s="15">
        <v>0.041577368195456495</v>
      </c>
      <c r="CH45" s="57"/>
      <c r="CI45" s="56"/>
      <c r="CJ45" s="15"/>
      <c r="CK45" s="10">
        <v>1590756.21</v>
      </c>
      <c r="CL45" s="15">
        <v>0.013897966228539742</v>
      </c>
      <c r="CM45" s="11">
        <v>176</v>
      </c>
      <c r="CN45" s="15">
        <v>0.038545773105562856</v>
      </c>
      <c r="CO45" s="57"/>
      <c r="CP45" s="56"/>
      <c r="CQ45" s="15"/>
    </row>
    <row r="46" spans="1:95" ht="12.75">
      <c r="A46" s="9" t="s">
        <v>20</v>
      </c>
      <c r="B46" s="9"/>
      <c r="C46" s="9"/>
      <c r="D46" s="10">
        <v>615801.48</v>
      </c>
      <c r="E46" s="15">
        <v>0.06421901254463981</v>
      </c>
      <c r="F46" s="11">
        <v>56</v>
      </c>
      <c r="G46" s="15">
        <v>0.10071942446043165</v>
      </c>
      <c r="H46" s="9"/>
      <c r="I46" s="9"/>
      <c r="J46" s="10">
        <v>528281.63</v>
      </c>
      <c r="K46" s="15">
        <v>0.05711822645491565</v>
      </c>
      <c r="L46" s="11">
        <v>48</v>
      </c>
      <c r="M46" s="15">
        <v>0.08743169398907104</v>
      </c>
      <c r="N46" s="57"/>
      <c r="O46" s="56"/>
      <c r="P46" s="15">
        <v>0.10955841252096143</v>
      </c>
      <c r="Q46" s="9"/>
      <c r="R46" s="10">
        <v>1433164.69</v>
      </c>
      <c r="S46" s="15">
        <v>0.061069755755103046</v>
      </c>
      <c r="T46" s="11">
        <v>129</v>
      </c>
      <c r="U46" s="15">
        <v>0.09655688622754491</v>
      </c>
      <c r="V46" s="57"/>
      <c r="W46" s="56"/>
      <c r="X46" s="15"/>
      <c r="Y46" s="10">
        <v>2066384.27</v>
      </c>
      <c r="Z46" s="15">
        <v>0.05095251795882497</v>
      </c>
      <c r="AA46" s="11">
        <v>186</v>
      </c>
      <c r="AB46" s="15">
        <v>0.08543867707854846</v>
      </c>
      <c r="AC46" s="57"/>
      <c r="AD46" s="56"/>
      <c r="AE46" s="56"/>
      <c r="AF46" s="15"/>
      <c r="AG46" s="10">
        <v>2605380.33</v>
      </c>
      <c r="AH46" s="15">
        <v>0.046675758392185865</v>
      </c>
      <c r="AI46" s="11">
        <v>235</v>
      </c>
      <c r="AJ46" s="15">
        <v>0.07949932341001353</v>
      </c>
      <c r="AK46" s="57"/>
      <c r="AL46" s="56"/>
      <c r="AM46" s="15"/>
      <c r="AN46" s="10">
        <v>2656876.9</v>
      </c>
      <c r="AO46" s="15">
        <v>0.04486491215554677</v>
      </c>
      <c r="AP46" s="11">
        <v>240</v>
      </c>
      <c r="AQ46" s="15">
        <v>0.0814663951120163</v>
      </c>
      <c r="AR46" s="57"/>
      <c r="AS46" s="56"/>
      <c r="AT46" s="15"/>
      <c r="AU46" s="10">
        <v>3062358.07</v>
      </c>
      <c r="AV46" s="15">
        <v>0.03987759935614555</v>
      </c>
      <c r="AW46" s="11">
        <v>277</v>
      </c>
      <c r="AX46" s="15">
        <v>0.07601536772777168</v>
      </c>
      <c r="AY46" s="57"/>
      <c r="AZ46" s="56"/>
      <c r="BA46" s="15"/>
      <c r="BB46" s="10">
        <v>2921287.98</v>
      </c>
      <c r="BC46" s="15">
        <v>0.03498539893164134</v>
      </c>
      <c r="BD46" s="11">
        <v>264</v>
      </c>
      <c r="BE46" s="15">
        <v>0.0692005242463958</v>
      </c>
      <c r="BF46" s="57"/>
      <c r="BG46" s="56"/>
      <c r="BH46" s="15"/>
      <c r="BI46" s="10">
        <v>2879950.71</v>
      </c>
      <c r="BJ46" s="15">
        <v>0.033234313083907306</v>
      </c>
      <c r="BK46" s="11">
        <v>260</v>
      </c>
      <c r="BL46" s="15">
        <v>0.06737496760818865</v>
      </c>
      <c r="BM46" s="57"/>
      <c r="BN46" s="56"/>
      <c r="BO46" s="15"/>
      <c r="BP46" s="10">
        <v>3310245.88</v>
      </c>
      <c r="BQ46" s="15">
        <v>0.032210117599932274</v>
      </c>
      <c r="BR46" s="11">
        <v>298</v>
      </c>
      <c r="BS46" s="15">
        <v>0.06743607150939127</v>
      </c>
      <c r="BT46" s="57"/>
      <c r="BU46" s="56"/>
      <c r="BV46" s="15"/>
      <c r="BW46" s="10">
        <v>3156686.75</v>
      </c>
      <c r="BX46" s="15">
        <v>0.029451667168318207</v>
      </c>
      <c r="BY46" s="11">
        <v>284</v>
      </c>
      <c r="BZ46" s="15">
        <v>0.06311111111111112</v>
      </c>
      <c r="CA46" s="57"/>
      <c r="CB46" s="56"/>
      <c r="CC46" s="15"/>
      <c r="CD46" s="10">
        <v>3095659.28</v>
      </c>
      <c r="CE46" s="15">
        <v>0.026930471680282494</v>
      </c>
      <c r="CF46" s="11">
        <v>278</v>
      </c>
      <c r="CG46" s="15">
        <v>0.05957993999142735</v>
      </c>
      <c r="CH46" s="57"/>
      <c r="CI46" s="56"/>
      <c r="CJ46" s="15"/>
      <c r="CK46" s="10">
        <v>2967856.42</v>
      </c>
      <c r="CL46" s="15">
        <v>0.025929283215757406</v>
      </c>
      <c r="CM46" s="11">
        <v>268</v>
      </c>
      <c r="CN46" s="15">
        <v>0.058694699956197985</v>
      </c>
      <c r="CO46" s="57"/>
      <c r="CP46" s="56"/>
      <c r="CQ46" s="15"/>
    </row>
    <row r="47" spans="1:95" ht="12.75">
      <c r="A47" s="9" t="s">
        <v>21</v>
      </c>
      <c r="B47" s="9"/>
      <c r="C47" s="9"/>
      <c r="D47" s="10">
        <v>426070.8</v>
      </c>
      <c r="E47" s="15">
        <v>0.04443290076227931</v>
      </c>
      <c r="F47" s="11">
        <v>33</v>
      </c>
      <c r="G47" s="15">
        <v>0.05935251798561151</v>
      </c>
      <c r="H47" s="9"/>
      <c r="I47" s="9"/>
      <c r="J47" s="10">
        <v>372041.62</v>
      </c>
      <c r="K47" s="15">
        <v>0.04022543335798687</v>
      </c>
      <c r="L47" s="11">
        <v>29</v>
      </c>
      <c r="M47" s="15">
        <v>0.052823315118397086</v>
      </c>
      <c r="N47" s="57"/>
      <c r="O47" s="56"/>
      <c r="P47" s="15">
        <v>0.07434320849636669</v>
      </c>
      <c r="Q47" s="9"/>
      <c r="R47" s="10">
        <v>1042327.79</v>
      </c>
      <c r="S47" s="15">
        <v>0.04441548413536227</v>
      </c>
      <c r="T47" s="11">
        <v>80</v>
      </c>
      <c r="U47" s="15">
        <v>0.059880239520958084</v>
      </c>
      <c r="V47" s="57"/>
      <c r="W47" s="56"/>
      <c r="X47" s="15"/>
      <c r="Y47" s="10">
        <v>1533074.45</v>
      </c>
      <c r="Z47" s="15">
        <v>0.03780226387700904</v>
      </c>
      <c r="AA47" s="11">
        <v>118</v>
      </c>
      <c r="AB47" s="15">
        <v>0.05420303169499311</v>
      </c>
      <c r="AC47" s="57"/>
      <c r="AD47" s="56"/>
      <c r="AE47" s="56"/>
      <c r="AF47" s="15"/>
      <c r="AG47" s="10">
        <v>1868229.17</v>
      </c>
      <c r="AH47" s="15">
        <v>0.03346959073731625</v>
      </c>
      <c r="AI47" s="11">
        <v>144</v>
      </c>
      <c r="AJ47" s="15">
        <v>0.04871447902571042</v>
      </c>
      <c r="AK47" s="57"/>
      <c r="AL47" s="56"/>
      <c r="AM47" s="15"/>
      <c r="AN47" s="10">
        <v>1921191.06</v>
      </c>
      <c r="AO47" s="15">
        <v>0.032441874947582924</v>
      </c>
      <c r="AP47" s="11">
        <v>147</v>
      </c>
      <c r="AQ47" s="15">
        <v>0.04989816700610998</v>
      </c>
      <c r="AR47" s="57"/>
      <c r="AS47" s="56"/>
      <c r="AT47" s="15"/>
      <c r="AU47" s="10">
        <v>2465472.67</v>
      </c>
      <c r="AV47" s="15">
        <v>0.03210504098816456</v>
      </c>
      <c r="AW47" s="11">
        <v>188</v>
      </c>
      <c r="AX47" s="15">
        <v>0.05159165751920966</v>
      </c>
      <c r="AY47" s="57"/>
      <c r="AZ47" s="56"/>
      <c r="BA47" s="15"/>
      <c r="BB47" s="10">
        <v>2596711.18</v>
      </c>
      <c r="BC47" s="15">
        <v>0.031098261165800268</v>
      </c>
      <c r="BD47" s="11">
        <v>198</v>
      </c>
      <c r="BE47" s="15">
        <v>0.051900393184796854</v>
      </c>
      <c r="BF47" s="57"/>
      <c r="BG47" s="56"/>
      <c r="BH47" s="15"/>
      <c r="BI47" s="10">
        <v>2301810.01</v>
      </c>
      <c r="BJ47" s="15">
        <v>0.026562633265349102</v>
      </c>
      <c r="BK47" s="11">
        <v>177</v>
      </c>
      <c r="BL47" s="15">
        <v>0.04586680487172843</v>
      </c>
      <c r="BM47" s="57"/>
      <c r="BN47" s="56"/>
      <c r="BO47" s="15"/>
      <c r="BP47" s="10">
        <v>2579993.86</v>
      </c>
      <c r="BQ47" s="15">
        <v>0.025104451043891404</v>
      </c>
      <c r="BR47" s="11">
        <v>198</v>
      </c>
      <c r="BS47" s="15">
        <v>0.04480651731160896</v>
      </c>
      <c r="BT47" s="57"/>
      <c r="BU47" s="56"/>
      <c r="BV47" s="15"/>
      <c r="BW47" s="10">
        <v>2645622.74</v>
      </c>
      <c r="BX47" s="15">
        <v>0.02468347560663535</v>
      </c>
      <c r="BY47" s="11">
        <v>203</v>
      </c>
      <c r="BZ47" s="15">
        <v>0.04511111111111111</v>
      </c>
      <c r="CA47" s="57"/>
      <c r="CB47" s="56"/>
      <c r="CC47" s="15"/>
      <c r="CD47" s="10">
        <v>2674777.77</v>
      </c>
      <c r="CE47" s="15">
        <v>0.023269042381832857</v>
      </c>
      <c r="CF47" s="11">
        <v>206</v>
      </c>
      <c r="CG47" s="15">
        <v>0.04414916416630947</v>
      </c>
      <c r="CH47" s="57"/>
      <c r="CI47" s="56"/>
      <c r="CJ47" s="15"/>
      <c r="CK47" s="10">
        <v>2619105.37</v>
      </c>
      <c r="CL47" s="15">
        <v>0.022882348503449865</v>
      </c>
      <c r="CM47" s="11">
        <v>201</v>
      </c>
      <c r="CN47" s="15">
        <v>0.04402102496714849</v>
      </c>
      <c r="CO47" s="57"/>
      <c r="CP47" s="56"/>
      <c r="CQ47" s="15"/>
    </row>
    <row r="48" spans="1:95" ht="12.75">
      <c r="A48" s="9" t="s">
        <v>22</v>
      </c>
      <c r="B48" s="9"/>
      <c r="C48" s="9"/>
      <c r="D48" s="10">
        <v>467822.37</v>
      </c>
      <c r="E48" s="15">
        <v>0.04878697376253974</v>
      </c>
      <c r="F48" s="11">
        <v>31</v>
      </c>
      <c r="G48" s="15">
        <v>0.05575539568345324</v>
      </c>
      <c r="H48" s="9"/>
      <c r="I48" s="9"/>
      <c r="J48" s="10">
        <v>556391.24</v>
      </c>
      <c r="K48" s="15">
        <v>0.060157459656227895</v>
      </c>
      <c r="L48" s="11">
        <v>37</v>
      </c>
      <c r="M48" s="15">
        <v>0.06739526411657559</v>
      </c>
      <c r="N48" s="57"/>
      <c r="O48" s="56"/>
      <c r="P48" s="15">
        <v>0.0665176076020123</v>
      </c>
      <c r="Q48" s="9"/>
      <c r="R48" s="10">
        <v>1330453.25</v>
      </c>
      <c r="S48" s="15">
        <v>0.056693034365145493</v>
      </c>
      <c r="T48" s="11">
        <v>89</v>
      </c>
      <c r="U48" s="15">
        <v>0.06661676646706587</v>
      </c>
      <c r="V48" s="57"/>
      <c r="W48" s="56"/>
      <c r="X48" s="15"/>
      <c r="Y48" s="10">
        <v>2291672.15</v>
      </c>
      <c r="Z48" s="15">
        <v>0.056507624488747216</v>
      </c>
      <c r="AA48" s="11">
        <v>154</v>
      </c>
      <c r="AB48" s="15">
        <v>0.0707395498392283</v>
      </c>
      <c r="AC48" s="57"/>
      <c r="AD48" s="56"/>
      <c r="AE48" s="56"/>
      <c r="AF48" s="15"/>
      <c r="AG48" s="10">
        <v>2913238.34</v>
      </c>
      <c r="AH48" s="15">
        <v>0.052191078335458475</v>
      </c>
      <c r="AI48" s="11">
        <v>196</v>
      </c>
      <c r="AJ48" s="15">
        <v>0.06630581867388363</v>
      </c>
      <c r="AK48" s="57"/>
      <c r="AL48" s="56"/>
      <c r="AM48" s="15"/>
      <c r="AN48" s="10">
        <v>2850421.08</v>
      </c>
      <c r="AO48" s="15">
        <v>0.048133163926608255</v>
      </c>
      <c r="AP48" s="11">
        <v>192</v>
      </c>
      <c r="AQ48" s="15">
        <v>0.06517311608961303</v>
      </c>
      <c r="AR48" s="57"/>
      <c r="AS48" s="56"/>
      <c r="AT48" s="15"/>
      <c r="AU48" s="10">
        <v>3400753.82</v>
      </c>
      <c r="AV48" s="15">
        <v>0.04428414158075305</v>
      </c>
      <c r="AW48" s="11">
        <v>228</v>
      </c>
      <c r="AX48" s="15">
        <v>0.06256860592755215</v>
      </c>
      <c r="AY48" s="57"/>
      <c r="AZ48" s="56"/>
      <c r="BA48" s="15"/>
      <c r="BB48" s="10">
        <v>3580976.33</v>
      </c>
      <c r="BC48" s="15">
        <v>0.0428858388243582</v>
      </c>
      <c r="BD48" s="11">
        <v>239</v>
      </c>
      <c r="BE48" s="15">
        <v>0.06264744429882045</v>
      </c>
      <c r="BF48" s="57"/>
      <c r="BG48" s="56"/>
      <c r="BH48" s="15"/>
      <c r="BI48" s="10">
        <v>3742836.14</v>
      </c>
      <c r="BJ48" s="15">
        <v>0.043191915634737746</v>
      </c>
      <c r="BK48" s="11">
        <v>251</v>
      </c>
      <c r="BL48" s="15">
        <v>0.06504275719098213</v>
      </c>
      <c r="BM48" s="57"/>
      <c r="BN48" s="56"/>
      <c r="BO48" s="15"/>
      <c r="BP48" s="10">
        <v>4266615.52</v>
      </c>
      <c r="BQ48" s="15">
        <v>0.041516005950861946</v>
      </c>
      <c r="BR48" s="11">
        <v>286</v>
      </c>
      <c r="BS48" s="15">
        <v>0.06472052500565739</v>
      </c>
      <c r="BT48" s="57"/>
      <c r="BU48" s="56"/>
      <c r="BV48" s="15"/>
      <c r="BW48" s="10">
        <v>4158472.66</v>
      </c>
      <c r="BX48" s="15">
        <v>0.038798259824441204</v>
      </c>
      <c r="BY48" s="11">
        <v>279</v>
      </c>
      <c r="BZ48" s="15">
        <v>0.062</v>
      </c>
      <c r="CA48" s="57"/>
      <c r="CB48" s="56"/>
      <c r="CC48" s="15"/>
      <c r="CD48" s="10">
        <v>4529715.59</v>
      </c>
      <c r="CE48" s="15">
        <v>0.03940594438294547</v>
      </c>
      <c r="CF48" s="11">
        <v>304</v>
      </c>
      <c r="CG48" s="15">
        <v>0.06515216459494214</v>
      </c>
      <c r="CH48" s="57"/>
      <c r="CI48" s="56"/>
      <c r="CJ48" s="15"/>
      <c r="CK48" s="10">
        <v>4342620.13</v>
      </c>
      <c r="CL48" s="15">
        <v>0.03794018689395332</v>
      </c>
      <c r="CM48" s="11">
        <v>291</v>
      </c>
      <c r="CN48" s="15">
        <v>0.06373193166885677</v>
      </c>
      <c r="CO48" s="57"/>
      <c r="CP48" s="56"/>
      <c r="CQ48" s="15"/>
    </row>
    <row r="49" spans="1:95" ht="12.75">
      <c r="A49" s="9" t="s">
        <v>0</v>
      </c>
      <c r="B49" s="9"/>
      <c r="C49" s="9"/>
      <c r="D49" s="10">
        <v>594215.15</v>
      </c>
      <c r="E49" s="15">
        <v>0.0619678766801032</v>
      </c>
      <c r="F49" s="11">
        <v>35</v>
      </c>
      <c r="G49" s="15">
        <v>0.06294964028776978</v>
      </c>
      <c r="H49" s="9"/>
      <c r="I49" s="9"/>
      <c r="J49" s="10">
        <v>441465.7</v>
      </c>
      <c r="K49" s="15">
        <v>0.047731619637574475</v>
      </c>
      <c r="L49" s="11">
        <v>26</v>
      </c>
      <c r="M49" s="15">
        <v>0.04735883424408015</v>
      </c>
      <c r="N49" s="57"/>
      <c r="O49" s="56"/>
      <c r="P49" s="15">
        <v>0.05980994969256568</v>
      </c>
      <c r="Q49" s="9"/>
      <c r="R49" s="10">
        <v>1768188.86</v>
      </c>
      <c r="S49" s="15">
        <v>0.07534574537214853</v>
      </c>
      <c r="T49" s="11">
        <v>104</v>
      </c>
      <c r="U49" s="15">
        <v>0.07784431137724551</v>
      </c>
      <c r="V49" s="57"/>
      <c r="W49" s="56"/>
      <c r="X49" s="15"/>
      <c r="Y49" s="10">
        <v>3376720.17</v>
      </c>
      <c r="Z49" s="15">
        <v>0.08326253620961384</v>
      </c>
      <c r="AA49" s="11">
        <v>198</v>
      </c>
      <c r="AB49" s="15">
        <v>0.09095084979329353</v>
      </c>
      <c r="AC49" s="57"/>
      <c r="AD49" s="56"/>
      <c r="AE49" s="56"/>
      <c r="AF49" s="15"/>
      <c r="AG49" s="10">
        <v>4505197.8</v>
      </c>
      <c r="AH49" s="15">
        <v>0.08071125800731267</v>
      </c>
      <c r="AI49" s="11">
        <v>265</v>
      </c>
      <c r="AJ49" s="15">
        <v>0.08964817320703654</v>
      </c>
      <c r="AK49" s="57"/>
      <c r="AL49" s="56"/>
      <c r="AM49" s="15"/>
      <c r="AN49" s="10">
        <v>4664752.21</v>
      </c>
      <c r="AO49" s="15">
        <v>0.07877056634767039</v>
      </c>
      <c r="AP49" s="11">
        <v>275</v>
      </c>
      <c r="AQ49" s="15">
        <v>0.09334691106585201</v>
      </c>
      <c r="AR49" s="57"/>
      <c r="AS49" s="56"/>
      <c r="AT49" s="15"/>
      <c r="AU49" s="10">
        <v>5627643.079999998</v>
      </c>
      <c r="AV49" s="15">
        <v>0.07328238270439258</v>
      </c>
      <c r="AW49" s="11">
        <v>332</v>
      </c>
      <c r="AX49" s="15">
        <v>0.09110867178924259</v>
      </c>
      <c r="AY49" s="57"/>
      <c r="AZ49" s="56"/>
      <c r="BA49" s="15"/>
      <c r="BB49" s="10">
        <v>5787283.649999993</v>
      </c>
      <c r="BC49" s="15">
        <v>0.06930861613507035</v>
      </c>
      <c r="BD49" s="11">
        <v>341</v>
      </c>
      <c r="BE49" s="15">
        <v>0.08938401048492792</v>
      </c>
      <c r="BF49" s="57"/>
      <c r="BG49" s="56"/>
      <c r="BH49" s="15"/>
      <c r="BI49" s="10">
        <v>5805031.759999998</v>
      </c>
      <c r="BJ49" s="15">
        <v>0.06698942530647178</v>
      </c>
      <c r="BK49" s="11">
        <v>341</v>
      </c>
      <c r="BL49" s="15">
        <v>0.08836486136304743</v>
      </c>
      <c r="BM49" s="57"/>
      <c r="BN49" s="56"/>
      <c r="BO49" s="15"/>
      <c r="BP49" s="10">
        <v>6751998.329999995</v>
      </c>
      <c r="BQ49" s="15">
        <v>0.0656998507445756</v>
      </c>
      <c r="BR49" s="11">
        <v>396</v>
      </c>
      <c r="BS49" s="15">
        <v>0.08961303462321792</v>
      </c>
      <c r="BT49" s="57"/>
      <c r="BU49" s="56"/>
      <c r="BV49" s="15"/>
      <c r="BW49" s="10">
        <v>6730074.089999995</v>
      </c>
      <c r="BX49" s="15">
        <v>0.06279112177247292</v>
      </c>
      <c r="BY49" s="11">
        <v>396</v>
      </c>
      <c r="BZ49" s="15">
        <v>0.088</v>
      </c>
      <c r="CA49" s="57"/>
      <c r="CB49" s="56"/>
      <c r="CC49" s="15"/>
      <c r="CD49" s="10">
        <v>6454634.769999993</v>
      </c>
      <c r="CE49" s="15">
        <v>0.05615164433730946</v>
      </c>
      <c r="CF49" s="11">
        <v>379</v>
      </c>
      <c r="CG49" s="15">
        <v>0.08122588941277326</v>
      </c>
      <c r="CH49" s="57"/>
      <c r="CI49" s="56"/>
      <c r="CJ49" s="15"/>
      <c r="CK49" s="10">
        <v>5963059.519999996</v>
      </c>
      <c r="CL49" s="15">
        <v>0.05209748628152918</v>
      </c>
      <c r="CM49" s="11">
        <v>350</v>
      </c>
      <c r="CN49" s="15">
        <v>0.07665352606219886</v>
      </c>
      <c r="CO49" s="57"/>
      <c r="CP49" s="56"/>
      <c r="CQ49" s="15"/>
    </row>
    <row r="50" spans="1:95" ht="12.75">
      <c r="A50" s="9" t="s">
        <v>1</v>
      </c>
      <c r="B50" s="9"/>
      <c r="C50" s="9"/>
      <c r="D50" s="10">
        <v>446568.71</v>
      </c>
      <c r="E50" s="15">
        <v>0.04657053047279721</v>
      </c>
      <c r="F50" s="11">
        <v>23</v>
      </c>
      <c r="G50" s="15">
        <v>0.04136690647482014</v>
      </c>
      <c r="H50" s="9"/>
      <c r="I50" s="9"/>
      <c r="J50" s="10">
        <v>739240</v>
      </c>
      <c r="K50" s="15">
        <v>0.07992721178764407</v>
      </c>
      <c r="L50" s="11">
        <v>38</v>
      </c>
      <c r="M50" s="15">
        <v>0.0692167577413479</v>
      </c>
      <c r="N50" s="57"/>
      <c r="O50" s="56"/>
      <c r="P50" s="15">
        <v>0.05869200670765791</v>
      </c>
      <c r="Q50" s="9"/>
      <c r="R50" s="10">
        <v>1928609.48</v>
      </c>
      <c r="S50" s="15">
        <v>0.08218155995078023</v>
      </c>
      <c r="T50" s="11">
        <v>100</v>
      </c>
      <c r="U50" s="15">
        <v>0.0748502994011976</v>
      </c>
      <c r="V50" s="57"/>
      <c r="W50" s="56"/>
      <c r="X50" s="15"/>
      <c r="Y50" s="10">
        <v>3094227.46</v>
      </c>
      <c r="Z50" s="15">
        <v>0.07629688364998026</v>
      </c>
      <c r="AA50" s="11">
        <v>161</v>
      </c>
      <c r="AB50" s="15">
        <v>0.07395498392282958</v>
      </c>
      <c r="AC50" s="57"/>
      <c r="AD50" s="56"/>
      <c r="AE50" s="56"/>
      <c r="AF50" s="15"/>
      <c r="AG50" s="10">
        <v>4002094.76</v>
      </c>
      <c r="AH50" s="15">
        <v>0.07169809564056742</v>
      </c>
      <c r="AI50" s="11">
        <v>209</v>
      </c>
      <c r="AJ50" s="15">
        <v>0.07070365358592692</v>
      </c>
      <c r="AK50" s="57"/>
      <c r="AL50" s="56"/>
      <c r="AM50" s="15"/>
      <c r="AN50" s="10">
        <v>3548791.38</v>
      </c>
      <c r="AO50" s="15">
        <v>0.05992607844272407</v>
      </c>
      <c r="AP50" s="11">
        <v>186</v>
      </c>
      <c r="AQ50" s="15">
        <v>0.06313645621181263</v>
      </c>
      <c r="AR50" s="57"/>
      <c r="AS50" s="56"/>
      <c r="AT50" s="15"/>
      <c r="AU50" s="10">
        <v>4358887.48</v>
      </c>
      <c r="AV50" s="15">
        <v>0.056760824368901834</v>
      </c>
      <c r="AW50" s="11">
        <v>229</v>
      </c>
      <c r="AX50" s="15">
        <v>0.0628430296377607</v>
      </c>
      <c r="AY50" s="57"/>
      <c r="AZ50" s="56"/>
      <c r="BA50" s="15"/>
      <c r="BB50" s="10">
        <v>4644300.81</v>
      </c>
      <c r="BC50" s="15">
        <v>0.05562023248265817</v>
      </c>
      <c r="BD50" s="11">
        <v>244</v>
      </c>
      <c r="BE50" s="15">
        <v>0.06395806028833552</v>
      </c>
      <c r="BF50" s="57"/>
      <c r="BG50" s="56"/>
      <c r="BH50" s="15"/>
      <c r="BI50" s="10">
        <v>4556179.78</v>
      </c>
      <c r="BJ50" s="15">
        <v>0.052577811401184706</v>
      </c>
      <c r="BK50" s="11">
        <v>240</v>
      </c>
      <c r="BL50" s="15">
        <v>0.062192277792174136</v>
      </c>
      <c r="BM50" s="57"/>
      <c r="BN50" s="56"/>
      <c r="BO50" s="15"/>
      <c r="BP50" s="10">
        <v>4955915.68</v>
      </c>
      <c r="BQ50" s="15">
        <v>0.04822319327775989</v>
      </c>
      <c r="BR50" s="11">
        <v>260</v>
      </c>
      <c r="BS50" s="15">
        <v>0.05883684091423399</v>
      </c>
      <c r="BT50" s="57"/>
      <c r="BU50" s="56"/>
      <c r="BV50" s="15"/>
      <c r="BW50" s="10">
        <v>5170860.4</v>
      </c>
      <c r="BX50" s="15">
        <v>0.04824376681488482</v>
      </c>
      <c r="BY50" s="11">
        <v>271</v>
      </c>
      <c r="BZ50" s="15">
        <v>0.060222222222222226</v>
      </c>
      <c r="CA50" s="57"/>
      <c r="CB50" s="56"/>
      <c r="CC50" s="15"/>
      <c r="CD50" s="10">
        <v>5324280.97</v>
      </c>
      <c r="CE50" s="15">
        <v>0.046318210407332645</v>
      </c>
      <c r="CF50" s="11">
        <v>279</v>
      </c>
      <c r="CG50" s="15">
        <v>0.05979425632233176</v>
      </c>
      <c r="CH50" s="57"/>
      <c r="CI50" s="56"/>
      <c r="CJ50" s="15"/>
      <c r="CK50" s="10">
        <v>5088675.19</v>
      </c>
      <c r="CL50" s="15">
        <v>0.044458249161025164</v>
      </c>
      <c r="CM50" s="11">
        <v>266</v>
      </c>
      <c r="CN50" s="15">
        <v>0.05825667980727114</v>
      </c>
      <c r="CO50" s="57"/>
      <c r="CP50" s="56"/>
      <c r="CQ50" s="15"/>
    </row>
    <row r="51" spans="1:95" ht="12.75">
      <c r="A51" s="9" t="s">
        <v>2</v>
      </c>
      <c r="B51" s="9"/>
      <c r="C51" s="9"/>
      <c r="D51" s="10">
        <v>1728453.77</v>
      </c>
      <c r="E51" s="15">
        <v>0.1802522370333699</v>
      </c>
      <c r="F51" s="11">
        <v>78</v>
      </c>
      <c r="G51" s="15">
        <v>0.14028776978417265</v>
      </c>
      <c r="H51" s="9"/>
      <c r="I51" s="9"/>
      <c r="J51" s="10">
        <v>1664086.4</v>
      </c>
      <c r="K51" s="15">
        <v>0.17992233391826504</v>
      </c>
      <c r="L51" s="11">
        <v>73</v>
      </c>
      <c r="M51" s="15">
        <v>0.13296903460837886</v>
      </c>
      <c r="N51" s="57"/>
      <c r="O51" s="56"/>
      <c r="P51" s="15">
        <v>0.08831749580771381</v>
      </c>
      <c r="Q51" s="9"/>
      <c r="R51" s="10">
        <v>3761209.08</v>
      </c>
      <c r="S51" s="15">
        <v>0.16027196417982917</v>
      </c>
      <c r="T51" s="11">
        <v>165</v>
      </c>
      <c r="U51" s="15">
        <v>0.12350299401197605</v>
      </c>
      <c r="V51" s="57"/>
      <c r="W51" s="56"/>
      <c r="X51" s="15"/>
      <c r="Y51" s="10">
        <v>6094939.379999995</v>
      </c>
      <c r="Z51" s="15">
        <v>0.15028787855484368</v>
      </c>
      <c r="AA51" s="11">
        <v>267</v>
      </c>
      <c r="AB51" s="15">
        <v>0.12264584290307763</v>
      </c>
      <c r="AC51" s="57"/>
      <c r="AD51" s="56"/>
      <c r="AE51" s="56"/>
      <c r="AF51" s="15"/>
      <c r="AG51" s="10">
        <v>8163782</v>
      </c>
      <c r="AH51" s="15">
        <v>0.14625531321121013</v>
      </c>
      <c r="AI51" s="11">
        <v>357</v>
      </c>
      <c r="AJ51" s="15">
        <v>0.12077131258457374</v>
      </c>
      <c r="AK51" s="57"/>
      <c r="AL51" s="56"/>
      <c r="AM51" s="15"/>
      <c r="AN51" s="10">
        <v>8463382.14</v>
      </c>
      <c r="AO51" s="15">
        <v>0.14291550212579415</v>
      </c>
      <c r="AP51" s="11">
        <v>371</v>
      </c>
      <c r="AQ51" s="15">
        <v>0.12593346911065853</v>
      </c>
      <c r="AR51" s="57"/>
      <c r="AS51" s="56"/>
      <c r="AT51" s="15"/>
      <c r="AU51" s="10">
        <v>9913454.62</v>
      </c>
      <c r="AV51" s="15">
        <v>0.12909162238225472</v>
      </c>
      <c r="AW51" s="11">
        <v>435</v>
      </c>
      <c r="AX51" s="15">
        <v>0.11937431394072448</v>
      </c>
      <c r="AY51" s="57"/>
      <c r="AZ51" s="56"/>
      <c r="BA51" s="15"/>
      <c r="BB51" s="10">
        <v>10408250.709999997</v>
      </c>
      <c r="BC51" s="15">
        <v>0.12464940319574006</v>
      </c>
      <c r="BD51" s="11">
        <v>457</v>
      </c>
      <c r="BE51" s="15">
        <v>0.11979030144167759</v>
      </c>
      <c r="BF51" s="57"/>
      <c r="BG51" s="56"/>
      <c r="BH51" s="15"/>
      <c r="BI51" s="10">
        <v>11022272.649999999</v>
      </c>
      <c r="BJ51" s="15">
        <v>0.12719580889851015</v>
      </c>
      <c r="BK51" s="11">
        <v>482</v>
      </c>
      <c r="BL51" s="15">
        <v>0.12490282456594973</v>
      </c>
      <c r="BM51" s="57"/>
      <c r="BN51" s="56"/>
      <c r="BO51" s="15"/>
      <c r="BP51" s="10">
        <v>12902354.79</v>
      </c>
      <c r="BQ51" s="15">
        <v>0.1255454670642018</v>
      </c>
      <c r="BR51" s="11">
        <v>566</v>
      </c>
      <c r="BS51" s="15">
        <v>0.12808327675944783</v>
      </c>
      <c r="BT51" s="57"/>
      <c r="BU51" s="56"/>
      <c r="BV51" s="15"/>
      <c r="BW51" s="10">
        <v>13195998.239999998</v>
      </c>
      <c r="BX51" s="15">
        <v>0.12311774303173814</v>
      </c>
      <c r="BY51" s="11">
        <v>580</v>
      </c>
      <c r="BZ51" s="15">
        <v>0.1288888888888889</v>
      </c>
      <c r="CA51" s="57"/>
      <c r="CB51" s="56"/>
      <c r="CC51" s="15"/>
      <c r="CD51" s="10">
        <v>13781652.330000004</v>
      </c>
      <c r="CE51" s="15">
        <v>0.11989252182189902</v>
      </c>
      <c r="CF51" s="11">
        <v>605</v>
      </c>
      <c r="CG51" s="15">
        <v>0.12966138019717102</v>
      </c>
      <c r="CH51" s="57"/>
      <c r="CI51" s="56"/>
      <c r="CJ51" s="15"/>
      <c r="CK51" s="10">
        <v>13019205.27000002</v>
      </c>
      <c r="CL51" s="15">
        <v>0.11374494345986991</v>
      </c>
      <c r="CM51" s="11">
        <v>573</v>
      </c>
      <c r="CN51" s="15">
        <v>0.12549277266754272</v>
      </c>
      <c r="CO51" s="57"/>
      <c r="CP51" s="56"/>
      <c r="CQ51" s="15"/>
    </row>
    <row r="52" spans="1:95" ht="12.75">
      <c r="A52" s="9" t="s">
        <v>3</v>
      </c>
      <c r="B52" s="9"/>
      <c r="C52" s="9"/>
      <c r="D52" s="10">
        <v>1286696.41</v>
      </c>
      <c r="E52" s="15">
        <v>0.1341834594079459</v>
      </c>
      <c r="F52" s="11">
        <v>47</v>
      </c>
      <c r="G52" s="15">
        <v>0.08453237410071943</v>
      </c>
      <c r="H52" s="9"/>
      <c r="I52" s="9"/>
      <c r="J52" s="10">
        <v>1122795.56</v>
      </c>
      <c r="K52" s="15">
        <v>0.12139754141868193</v>
      </c>
      <c r="L52" s="11">
        <v>40</v>
      </c>
      <c r="M52" s="15">
        <v>0.07285974499089254</v>
      </c>
      <c r="N52" s="57"/>
      <c r="O52" s="56"/>
      <c r="P52" s="15">
        <v>0.043040804918949134</v>
      </c>
      <c r="Q52" s="9"/>
      <c r="R52" s="10">
        <v>3002838.67</v>
      </c>
      <c r="S52" s="15">
        <v>0.1279564207996769</v>
      </c>
      <c r="T52" s="11">
        <v>107</v>
      </c>
      <c r="U52" s="15">
        <v>0.08008982035928144</v>
      </c>
      <c r="V52" s="57"/>
      <c r="W52" s="56"/>
      <c r="X52" s="15"/>
      <c r="Y52" s="10">
        <v>5447851.529999999</v>
      </c>
      <c r="Z52" s="15">
        <v>0.13433210702834913</v>
      </c>
      <c r="AA52" s="11">
        <v>195</v>
      </c>
      <c r="AB52" s="15">
        <v>0.08957280661460726</v>
      </c>
      <c r="AC52" s="57"/>
      <c r="AD52" s="56"/>
      <c r="AE52" s="56"/>
      <c r="AF52" s="15"/>
      <c r="AG52" s="10">
        <v>7502533.8999999985</v>
      </c>
      <c r="AH52" s="15">
        <v>0.13440895964912117</v>
      </c>
      <c r="AI52" s="11">
        <v>269</v>
      </c>
      <c r="AJ52" s="15">
        <v>0.09100135317997293</v>
      </c>
      <c r="AK52" s="57"/>
      <c r="AL52" s="56"/>
      <c r="AM52" s="15"/>
      <c r="AN52" s="10">
        <v>8177998.46</v>
      </c>
      <c r="AO52" s="15">
        <v>0.13809641783407303</v>
      </c>
      <c r="AP52" s="11">
        <v>293</v>
      </c>
      <c r="AQ52" s="15">
        <v>0.09945689069925323</v>
      </c>
      <c r="AR52" s="57"/>
      <c r="AS52" s="56"/>
      <c r="AT52" s="15"/>
      <c r="AU52" s="10">
        <v>11194722.310000002</v>
      </c>
      <c r="AV52" s="15">
        <v>0.14577611140733931</v>
      </c>
      <c r="AW52" s="11">
        <v>402</v>
      </c>
      <c r="AX52" s="15">
        <v>0.11031833150384193</v>
      </c>
      <c r="AY52" s="57"/>
      <c r="AZ52" s="56"/>
      <c r="BA52" s="15"/>
      <c r="BB52" s="10">
        <v>12587448.999999998</v>
      </c>
      <c r="BC52" s="15">
        <v>0.15074752226129026</v>
      </c>
      <c r="BD52" s="11">
        <v>453</v>
      </c>
      <c r="BE52" s="15">
        <v>0.11874180865006553</v>
      </c>
      <c r="BF52" s="57"/>
      <c r="BG52" s="56"/>
      <c r="BH52" s="15"/>
      <c r="BI52" s="10">
        <v>13364547.789999986</v>
      </c>
      <c r="BJ52" s="15">
        <v>0.15422540529441944</v>
      </c>
      <c r="BK52" s="11">
        <v>482</v>
      </c>
      <c r="BL52" s="15">
        <v>0.12490282456594973</v>
      </c>
      <c r="BM52" s="57"/>
      <c r="BN52" s="56"/>
      <c r="BO52" s="15"/>
      <c r="BP52" s="10">
        <v>15556277.360000012</v>
      </c>
      <c r="BQ52" s="15">
        <v>0.1513692762855322</v>
      </c>
      <c r="BR52" s="11">
        <v>561</v>
      </c>
      <c r="BS52" s="15">
        <v>0.12695179904955872</v>
      </c>
      <c r="BT52" s="57"/>
      <c r="BU52" s="56"/>
      <c r="BV52" s="15"/>
      <c r="BW52" s="10">
        <v>15604218.799999993</v>
      </c>
      <c r="BX52" s="15">
        <v>0.14558627286005282</v>
      </c>
      <c r="BY52" s="11">
        <v>561</v>
      </c>
      <c r="BZ52" s="15">
        <v>0.12466666666666666</v>
      </c>
      <c r="CA52" s="57"/>
      <c r="CB52" s="56"/>
      <c r="CC52" s="15"/>
      <c r="CD52" s="10">
        <v>15541578.119999992</v>
      </c>
      <c r="CE52" s="15">
        <v>0.1352028733044412</v>
      </c>
      <c r="CF52" s="11">
        <v>558</v>
      </c>
      <c r="CG52" s="15">
        <v>0.11958851264466352</v>
      </c>
      <c r="CH52" s="57"/>
      <c r="CI52" s="56"/>
      <c r="CJ52" s="15"/>
      <c r="CK52" s="10">
        <v>15159889.579999987</v>
      </c>
      <c r="CL52" s="15">
        <v>0.1324474687489866</v>
      </c>
      <c r="CM52" s="11">
        <v>545</v>
      </c>
      <c r="CN52" s="15">
        <v>0.1193604905825668</v>
      </c>
      <c r="CO52" s="57"/>
      <c r="CP52" s="56"/>
      <c r="CQ52" s="15"/>
    </row>
    <row r="53" spans="1:95" ht="12.75">
      <c r="A53" s="9" t="s">
        <v>4</v>
      </c>
      <c r="B53" s="9"/>
      <c r="C53" s="9"/>
      <c r="D53" s="10">
        <v>2262932.66</v>
      </c>
      <c r="E53" s="15">
        <v>0.2359905027838114</v>
      </c>
      <c r="F53" s="11">
        <v>64</v>
      </c>
      <c r="G53" s="15">
        <v>0.11510791366906475</v>
      </c>
      <c r="H53" s="9"/>
      <c r="I53" s="9"/>
      <c r="J53" s="10">
        <v>2030624.28</v>
      </c>
      <c r="K53" s="15">
        <v>0.21955269856703136</v>
      </c>
      <c r="L53" s="11">
        <v>57</v>
      </c>
      <c r="M53" s="15">
        <v>0.10382513661202186</v>
      </c>
      <c r="N53" s="57"/>
      <c r="O53" s="56"/>
      <c r="P53" s="15">
        <v>0.05142537730575741</v>
      </c>
      <c r="Q53" s="9"/>
      <c r="R53" s="10">
        <v>4932108.67</v>
      </c>
      <c r="S53" s="15">
        <v>0.21016612670978266</v>
      </c>
      <c r="T53" s="11">
        <v>136</v>
      </c>
      <c r="U53" s="15">
        <v>0.10179640718562874</v>
      </c>
      <c r="V53" s="57"/>
      <c r="W53" s="56"/>
      <c r="X53" s="15"/>
      <c r="Y53" s="10">
        <v>9348443.07</v>
      </c>
      <c r="Z53" s="15">
        <v>0.23051216577990497</v>
      </c>
      <c r="AA53" s="11">
        <v>256</v>
      </c>
      <c r="AB53" s="15">
        <v>0.11759301791456132</v>
      </c>
      <c r="AC53" s="57"/>
      <c r="AD53" s="56"/>
      <c r="AE53" s="56"/>
      <c r="AF53" s="15"/>
      <c r="AG53" s="10">
        <v>13454148.86</v>
      </c>
      <c r="AH53" s="15">
        <v>0.24103298636704726</v>
      </c>
      <c r="AI53" s="11">
        <v>371</v>
      </c>
      <c r="AJ53" s="15">
        <v>0.12550744248985116</v>
      </c>
      <c r="AK53" s="57"/>
      <c r="AL53" s="56"/>
      <c r="AM53" s="15"/>
      <c r="AN53" s="10">
        <v>14326016.100000001</v>
      </c>
      <c r="AO53" s="15">
        <v>0.24191390043906388</v>
      </c>
      <c r="AP53" s="11">
        <v>395</v>
      </c>
      <c r="AQ53" s="15">
        <v>0.13408010862186015</v>
      </c>
      <c r="AR53" s="57"/>
      <c r="AS53" s="56"/>
      <c r="AT53" s="15"/>
      <c r="AU53" s="10">
        <v>18755012.679999992</v>
      </c>
      <c r="AV53" s="15">
        <v>0.24422515737112016</v>
      </c>
      <c r="AW53" s="11">
        <v>517</v>
      </c>
      <c r="AX53" s="15">
        <v>0.14187705817782656</v>
      </c>
      <c r="AY53" s="57"/>
      <c r="AZ53" s="56"/>
      <c r="BA53" s="15"/>
      <c r="BB53" s="10">
        <v>20259298.430000015</v>
      </c>
      <c r="BC53" s="15">
        <v>0.24262573306748256</v>
      </c>
      <c r="BD53" s="11">
        <v>556</v>
      </c>
      <c r="BE53" s="15">
        <v>0.14574049803407602</v>
      </c>
      <c r="BF53" s="57"/>
      <c r="BG53" s="56"/>
      <c r="BH53" s="15"/>
      <c r="BI53" s="10">
        <v>21292159.939999998</v>
      </c>
      <c r="BJ53" s="15">
        <v>0.24570917384853053</v>
      </c>
      <c r="BK53" s="11">
        <v>587</v>
      </c>
      <c r="BL53" s="15">
        <v>0.1521119461000259</v>
      </c>
      <c r="BM53" s="57"/>
      <c r="BN53" s="56"/>
      <c r="BO53" s="15"/>
      <c r="BP53" s="10">
        <v>26488158.540000025</v>
      </c>
      <c r="BQ53" s="15">
        <v>0.2577411867601363</v>
      </c>
      <c r="BR53" s="11">
        <v>727</v>
      </c>
      <c r="BS53" s="15">
        <v>0.16451685901787735</v>
      </c>
      <c r="BT53" s="57"/>
      <c r="BU53" s="56"/>
      <c r="BV53" s="15"/>
      <c r="BW53" s="10">
        <v>28483882.76</v>
      </c>
      <c r="BX53" s="15">
        <v>0.2657526391267416</v>
      </c>
      <c r="BY53" s="11">
        <v>783</v>
      </c>
      <c r="BZ53" s="15">
        <v>0.174</v>
      </c>
      <c r="CA53" s="57"/>
      <c r="CB53" s="56"/>
      <c r="CC53" s="15"/>
      <c r="CD53" s="10">
        <v>31593377.570000008</v>
      </c>
      <c r="CE53" s="15">
        <v>0.274844381431201</v>
      </c>
      <c r="CF53" s="11">
        <v>866</v>
      </c>
      <c r="CG53" s="15">
        <v>0.18559794256322332</v>
      </c>
      <c r="CH53" s="57"/>
      <c r="CI53" s="56"/>
      <c r="CJ53" s="15"/>
      <c r="CK53" s="10">
        <v>32377809.04</v>
      </c>
      <c r="CL53" s="15">
        <v>0.28287533549344357</v>
      </c>
      <c r="CM53" s="11">
        <v>888</v>
      </c>
      <c r="CN53" s="15">
        <v>0.19448094612352168</v>
      </c>
      <c r="CO53" s="57"/>
      <c r="CP53" s="56"/>
      <c r="CQ53" s="15"/>
    </row>
    <row r="54" spans="1:95" ht="12.75">
      <c r="A54" s="9" t="s">
        <v>5</v>
      </c>
      <c r="B54" s="9"/>
      <c r="C54" s="9"/>
      <c r="D54" s="10">
        <v>603866.33</v>
      </c>
      <c r="E54" s="15">
        <v>0.0629743524188276</v>
      </c>
      <c r="F54" s="11">
        <v>12</v>
      </c>
      <c r="G54" s="15">
        <v>0.02158273381294964</v>
      </c>
      <c r="H54" s="9"/>
      <c r="I54" s="9"/>
      <c r="J54" s="10">
        <v>598416.83</v>
      </c>
      <c r="K54" s="15">
        <v>0.06470129958971457</v>
      </c>
      <c r="L54" s="11">
        <v>12</v>
      </c>
      <c r="M54" s="15">
        <v>0.02185792349726776</v>
      </c>
      <c r="N54" s="57"/>
      <c r="O54" s="56"/>
      <c r="P54" s="15">
        <v>0.008384572386808273</v>
      </c>
      <c r="Q54" s="9"/>
      <c r="R54" s="10">
        <v>1928650.09</v>
      </c>
      <c r="S54" s="15">
        <v>0.08218329041678916</v>
      </c>
      <c r="T54" s="11">
        <v>38</v>
      </c>
      <c r="U54" s="15">
        <v>0.02844311377245509</v>
      </c>
      <c r="V54" s="57"/>
      <c r="W54" s="56"/>
      <c r="X54" s="15"/>
      <c r="Y54" s="10">
        <v>3780224.74</v>
      </c>
      <c r="Z54" s="15">
        <v>0.09321207664499137</v>
      </c>
      <c r="AA54" s="11">
        <v>74</v>
      </c>
      <c r="AB54" s="15">
        <v>0.033991731740927886</v>
      </c>
      <c r="AC54" s="57"/>
      <c r="AD54" s="56"/>
      <c r="AE54" s="56"/>
      <c r="AF54" s="15"/>
      <c r="AG54" s="10">
        <v>6162420.160000003</v>
      </c>
      <c r="AH54" s="15">
        <v>0.11040063179539533</v>
      </c>
      <c r="AI54" s="11">
        <v>119</v>
      </c>
      <c r="AJ54" s="15">
        <v>0.040257104194857916</v>
      </c>
      <c r="AK54" s="57"/>
      <c r="AL54" s="56"/>
      <c r="AM54" s="15"/>
      <c r="AN54" s="10">
        <v>8147113.249999995</v>
      </c>
      <c r="AO54" s="15">
        <v>0.13757487984578468</v>
      </c>
      <c r="AP54" s="11">
        <v>153</v>
      </c>
      <c r="AQ54" s="15">
        <v>0.051934826883910386</v>
      </c>
      <c r="AR54" s="57"/>
      <c r="AS54" s="56"/>
      <c r="AT54" s="15"/>
      <c r="AU54" s="10">
        <v>12798140.449999996</v>
      </c>
      <c r="AV54" s="15">
        <v>0.16665559862788368</v>
      </c>
      <c r="AW54" s="11">
        <v>238</v>
      </c>
      <c r="AX54" s="15">
        <v>0.06531284302963776</v>
      </c>
      <c r="AY54" s="57"/>
      <c r="AZ54" s="56"/>
      <c r="BA54" s="15"/>
      <c r="BB54" s="10">
        <v>15673444.699999997</v>
      </c>
      <c r="BC54" s="15">
        <v>0.1877054638969621</v>
      </c>
      <c r="BD54" s="11">
        <v>288</v>
      </c>
      <c r="BE54" s="15">
        <v>0.07549148099606816</v>
      </c>
      <c r="BF54" s="57"/>
      <c r="BG54" s="56"/>
      <c r="BH54" s="15"/>
      <c r="BI54" s="10">
        <v>17082808.799999997</v>
      </c>
      <c r="BJ54" s="15">
        <v>0.19713372664344203</v>
      </c>
      <c r="BK54" s="11">
        <v>314</v>
      </c>
      <c r="BL54" s="15">
        <v>0.08136823011142783</v>
      </c>
      <c r="BM54" s="57"/>
      <c r="BN54" s="56"/>
      <c r="BO54" s="15"/>
      <c r="BP54" s="10">
        <v>21291305.32000002</v>
      </c>
      <c r="BQ54" s="15">
        <v>0.20717356748534485</v>
      </c>
      <c r="BR54" s="11">
        <v>387</v>
      </c>
      <c r="BS54" s="15">
        <v>0.08757637474541752</v>
      </c>
      <c r="BT54" s="57"/>
      <c r="BU54" s="56"/>
      <c r="BV54" s="15"/>
      <c r="BW54" s="10">
        <v>23539912.81000001</v>
      </c>
      <c r="BX54" s="15">
        <v>0.21962574438257143</v>
      </c>
      <c r="BY54" s="11">
        <v>429</v>
      </c>
      <c r="BZ54" s="15">
        <v>0.09533333333333334</v>
      </c>
      <c r="CA54" s="57"/>
      <c r="CB54" s="56"/>
      <c r="CC54" s="15"/>
      <c r="CD54" s="10">
        <v>27575178.929999974</v>
      </c>
      <c r="CE54" s="15">
        <v>0.23988834302626696</v>
      </c>
      <c r="CF54" s="11">
        <v>501</v>
      </c>
      <c r="CG54" s="15">
        <v>0.10737248178311187</v>
      </c>
      <c r="CH54" s="57"/>
      <c r="CI54" s="56"/>
      <c r="CJ54" s="15"/>
      <c r="CK54" s="10">
        <v>28788463.98</v>
      </c>
      <c r="CL54" s="15">
        <v>0.2515162899571977</v>
      </c>
      <c r="CM54" s="11">
        <v>522</v>
      </c>
      <c r="CN54" s="15">
        <v>0.11432325886990802</v>
      </c>
      <c r="CO54" s="57"/>
      <c r="CP54" s="56"/>
      <c r="CQ54" s="15"/>
    </row>
    <row r="55" spans="1:95" ht="12.75">
      <c r="A55" s="9"/>
      <c r="B55" s="9"/>
      <c r="C55" s="9"/>
      <c r="D55" s="10"/>
      <c r="E55" s="9"/>
      <c r="F55" s="11"/>
      <c r="G55" s="9"/>
      <c r="H55" s="9"/>
      <c r="I55" s="9"/>
      <c r="J55" s="10"/>
      <c r="K55" s="9"/>
      <c r="L55" s="11"/>
      <c r="M55" s="64"/>
      <c r="N55" s="55"/>
      <c r="O55" s="56"/>
      <c r="P55" s="9"/>
      <c r="Q55" s="9"/>
      <c r="R55" s="10"/>
      <c r="S55" s="9"/>
      <c r="T55" s="11"/>
      <c r="U55" s="64"/>
      <c r="V55" s="55"/>
      <c r="W55" s="56"/>
      <c r="X55" s="9"/>
      <c r="Y55" s="10"/>
      <c r="Z55" s="9"/>
      <c r="AA55" s="11"/>
      <c r="AB55" s="64"/>
      <c r="AC55" s="55"/>
      <c r="AD55" s="56"/>
      <c r="AE55" s="56"/>
      <c r="AF55" s="9"/>
      <c r="AG55" s="10"/>
      <c r="AH55" s="9"/>
      <c r="AI55" s="11"/>
      <c r="AJ55" s="64"/>
      <c r="AK55" s="55"/>
      <c r="AL55" s="56"/>
      <c r="AM55" s="9"/>
      <c r="AN55" s="10"/>
      <c r="AO55" s="9"/>
      <c r="AP55" s="11"/>
      <c r="AQ55" s="64"/>
      <c r="AR55" s="55"/>
      <c r="AS55" s="56"/>
      <c r="AT55" s="9"/>
      <c r="AU55" s="10"/>
      <c r="AV55" s="9"/>
      <c r="AW55" s="11"/>
      <c r="AX55" s="64"/>
      <c r="AY55" s="55"/>
      <c r="AZ55" s="56"/>
      <c r="BA55" s="9"/>
      <c r="BB55" s="10"/>
      <c r="BC55" s="9"/>
      <c r="BD55" s="11"/>
      <c r="BE55" s="64"/>
      <c r="BF55" s="55"/>
      <c r="BG55" s="56"/>
      <c r="BH55" s="9"/>
      <c r="BI55" s="10"/>
      <c r="BJ55" s="9"/>
      <c r="BK55" s="11"/>
      <c r="BL55" s="64"/>
      <c r="BM55" s="55"/>
      <c r="BN55" s="56"/>
      <c r="BO55" s="9"/>
      <c r="BP55" s="10"/>
      <c r="BQ55" s="9"/>
      <c r="BR55" s="11"/>
      <c r="BS55" s="64"/>
      <c r="BT55" s="55"/>
      <c r="BU55" s="56"/>
      <c r="BV55" s="9"/>
      <c r="BW55" s="10"/>
      <c r="BX55" s="9"/>
      <c r="BY55" s="11"/>
      <c r="BZ55" s="64"/>
      <c r="CA55" s="55"/>
      <c r="CB55" s="56"/>
      <c r="CC55" s="9"/>
      <c r="CD55" s="10"/>
      <c r="CE55" s="9"/>
      <c r="CF55" s="11"/>
      <c r="CG55" s="64"/>
      <c r="CH55" s="55"/>
      <c r="CI55" s="56"/>
      <c r="CJ55" s="9"/>
      <c r="CK55" s="10"/>
      <c r="CL55" s="9"/>
      <c r="CM55" s="11"/>
      <c r="CN55" s="64"/>
      <c r="CO55" s="55"/>
      <c r="CP55" s="56"/>
      <c r="CQ55" s="9"/>
    </row>
    <row r="56" spans="1:95" ht="13.5" thickBot="1">
      <c r="A56" s="9"/>
      <c r="B56" s="13"/>
      <c r="C56" s="13"/>
      <c r="D56" s="22">
        <f>SUM(D41:D55)</f>
        <v>9589083.6</v>
      </c>
      <c r="E56" s="24"/>
      <c r="F56" s="23">
        <f>SUM(F41:F54)</f>
        <v>556</v>
      </c>
      <c r="G56" s="13"/>
      <c r="H56" s="9"/>
      <c r="I56" s="9"/>
      <c r="J56" s="22">
        <f>SUM(J41:J54)</f>
        <v>9248915.15</v>
      </c>
      <c r="K56" s="24"/>
      <c r="L56" s="23">
        <f>SUM(L41:L54)</f>
        <v>549</v>
      </c>
      <c r="M56" s="31"/>
      <c r="N56" s="58"/>
      <c r="O56" s="32"/>
      <c r="P56" s="13"/>
      <c r="Q56" s="9"/>
      <c r="R56" s="22">
        <f>SUM(R41:R54)</f>
        <v>23467666.970000003</v>
      </c>
      <c r="S56" s="24"/>
      <c r="T56" s="23">
        <f>SUM(T41:T54)</f>
        <v>1336</v>
      </c>
      <c r="U56" s="31"/>
      <c r="V56" s="58"/>
      <c r="W56" s="32"/>
      <c r="X56" s="13"/>
      <c r="Y56" s="22">
        <f>SUM(Y41:Y54)</f>
        <v>40555096.25</v>
      </c>
      <c r="Z56" s="24"/>
      <c r="AA56" s="23">
        <f>SUM(AA41:AA54)</f>
        <v>2177</v>
      </c>
      <c r="AB56" s="31"/>
      <c r="AC56" s="58"/>
      <c r="AD56" s="32"/>
      <c r="AE56" s="32"/>
      <c r="AF56" s="13"/>
      <c r="AG56" s="22">
        <f>SUM(AG41:AG54)</f>
        <v>55818703.75</v>
      </c>
      <c r="AH56" s="24"/>
      <c r="AI56" s="23">
        <f>SUM(AI41:AI54)</f>
        <v>2956</v>
      </c>
      <c r="AJ56" s="31"/>
      <c r="AK56" s="58"/>
      <c r="AL56" s="32"/>
      <c r="AM56" s="13"/>
      <c r="AN56" s="22">
        <f>SUM(AN41:AN54)</f>
        <v>59219482.93999999</v>
      </c>
      <c r="AO56" s="24"/>
      <c r="AP56" s="23">
        <f>SUM(AP41:AP54)</f>
        <v>2946</v>
      </c>
      <c r="AQ56" s="31"/>
      <c r="AR56" s="58"/>
      <c r="AS56" s="32"/>
      <c r="AT56" s="13"/>
      <c r="AU56" s="22">
        <f>SUM(AU41:AU54)</f>
        <v>76793942.44999999</v>
      </c>
      <c r="AV56" s="24"/>
      <c r="AW56" s="23">
        <f>SUM(AW41:AW54)</f>
        <v>3644</v>
      </c>
      <c r="AX56" s="31"/>
      <c r="AY56" s="58"/>
      <c r="AZ56" s="32"/>
      <c r="BA56" s="13"/>
      <c r="BB56" s="22">
        <f>SUM(BB41:BB54)</f>
        <v>83500204.92</v>
      </c>
      <c r="BC56" s="24"/>
      <c r="BD56" s="23">
        <f>SUM(BD41:BD54)</f>
        <v>3815</v>
      </c>
      <c r="BE56" s="31"/>
      <c r="BF56" s="58"/>
      <c r="BG56" s="32"/>
      <c r="BH56" s="13"/>
      <c r="BI56" s="22">
        <f>SUM(BI41:BI54)</f>
        <v>86655942.08999999</v>
      </c>
      <c r="BJ56" s="24"/>
      <c r="BK56" s="23">
        <f>SUM(BK41:BK54)</f>
        <v>3859</v>
      </c>
      <c r="BL56" s="31"/>
      <c r="BM56" s="58"/>
      <c r="BN56" s="32"/>
      <c r="BO56" s="13"/>
      <c r="BP56" s="22">
        <f>SUM(BP41:BP54)</f>
        <v>102770375.48000005</v>
      </c>
      <c r="BQ56" s="24"/>
      <c r="BR56" s="23">
        <f>SUM(BR41:BR54)</f>
        <v>4419</v>
      </c>
      <c r="BS56" s="31"/>
      <c r="BT56" s="58"/>
      <c r="BU56" s="32"/>
      <c r="BV56" s="13"/>
      <c r="BW56" s="22">
        <f>SUM(BW41:BW54)</f>
        <v>107181937.51000002</v>
      </c>
      <c r="BX56" s="24"/>
      <c r="BY56" s="23">
        <f>SUM(BY41:BY54)</f>
        <v>4500</v>
      </c>
      <c r="BZ56" s="31"/>
      <c r="CA56" s="58"/>
      <c r="CB56" s="32"/>
      <c r="CC56" s="13"/>
      <c r="CD56" s="22">
        <f>SUM(CD41:CD54)</f>
        <v>114950057.93999997</v>
      </c>
      <c r="CE56" s="24"/>
      <c r="CF56" s="23">
        <f>SUM(CF41:CF54)</f>
        <v>4666</v>
      </c>
      <c r="CG56" s="31"/>
      <c r="CH56" s="58"/>
      <c r="CI56" s="32"/>
      <c r="CJ56" s="13"/>
      <c r="CK56" s="22">
        <f>SUM(CK41:CK54)</f>
        <v>114459639.91000001</v>
      </c>
      <c r="CL56" s="24"/>
      <c r="CM56" s="23">
        <f>SUM(CM41:CM54)</f>
        <v>4566</v>
      </c>
      <c r="CN56" s="31"/>
      <c r="CO56" s="58"/>
      <c r="CP56" s="32"/>
      <c r="CQ56" s="13"/>
    </row>
    <row r="57" spans="1:95" ht="13.5" thickTop="1">
      <c r="A57" s="9"/>
      <c r="B57" s="9"/>
      <c r="C57" s="9"/>
      <c r="D57" s="10"/>
      <c r="E57" s="9"/>
      <c r="F57" s="11"/>
      <c r="G57" s="9"/>
      <c r="H57" s="9"/>
      <c r="I57" s="9"/>
      <c r="J57" s="10"/>
      <c r="K57" s="9"/>
      <c r="L57" s="11"/>
      <c r="M57" s="64"/>
      <c r="N57" s="55"/>
      <c r="O57" s="56"/>
      <c r="P57" s="9"/>
      <c r="Q57" s="9"/>
      <c r="R57" s="10"/>
      <c r="S57" s="9"/>
      <c r="T57" s="11"/>
      <c r="U57" s="64"/>
      <c r="V57" s="55"/>
      <c r="W57" s="56"/>
      <c r="X57" s="9"/>
      <c r="Y57" s="10"/>
      <c r="Z57" s="9"/>
      <c r="AA57" s="11"/>
      <c r="AB57" s="64"/>
      <c r="AC57" s="55"/>
      <c r="AD57" s="56"/>
      <c r="AE57" s="56"/>
      <c r="AF57" s="9"/>
      <c r="AG57" s="10"/>
      <c r="AH57" s="9"/>
      <c r="AI57" s="11"/>
      <c r="AJ57" s="64"/>
      <c r="AK57" s="55"/>
      <c r="AL57" s="56"/>
      <c r="AM57" s="9"/>
      <c r="AN57" s="10"/>
      <c r="AO57" s="9"/>
      <c r="AP57" s="11"/>
      <c r="AQ57" s="64"/>
      <c r="AR57" s="55"/>
      <c r="AS57" s="56"/>
      <c r="AT57" s="9"/>
      <c r="AU57" s="10"/>
      <c r="AV57" s="9"/>
      <c r="AW57" s="11"/>
      <c r="AX57" s="64"/>
      <c r="AY57" s="55"/>
      <c r="AZ57" s="56"/>
      <c r="BA57" s="9"/>
      <c r="BB57" s="10"/>
      <c r="BC57" s="9"/>
      <c r="BD57" s="11"/>
      <c r="BE57" s="64"/>
      <c r="BF57" s="55"/>
      <c r="BG57" s="56"/>
      <c r="BH57" s="9"/>
      <c r="BI57" s="10"/>
      <c r="BJ57" s="9"/>
      <c r="BK57" s="11"/>
      <c r="BL57" s="64"/>
      <c r="BM57" s="55"/>
      <c r="BN57" s="56"/>
      <c r="BO57" s="9"/>
      <c r="BP57" s="10"/>
      <c r="BQ57" s="9"/>
      <c r="BR57" s="11"/>
      <c r="BS57" s="64"/>
      <c r="BT57" s="55"/>
      <c r="BU57" s="56"/>
      <c r="BV57" s="9"/>
      <c r="BW57" s="10"/>
      <c r="BX57" s="9"/>
      <c r="BY57" s="11"/>
      <c r="BZ57" s="64"/>
      <c r="CA57" s="55"/>
      <c r="CB57" s="56"/>
      <c r="CC57" s="9"/>
      <c r="CD57" s="10"/>
      <c r="CE57" s="9"/>
      <c r="CF57" s="11"/>
      <c r="CG57" s="64"/>
      <c r="CH57" s="55"/>
      <c r="CI57" s="56"/>
      <c r="CJ57" s="9"/>
      <c r="CK57" s="10"/>
      <c r="CL57" s="9"/>
      <c r="CM57" s="11"/>
      <c r="CN57" s="64"/>
      <c r="CO57" s="55"/>
      <c r="CP57" s="56"/>
      <c r="CQ57" s="9"/>
    </row>
    <row r="58" spans="1:95" ht="12.75">
      <c r="A58" s="9"/>
      <c r="B58" s="9"/>
      <c r="C58" s="9"/>
      <c r="D58" s="10"/>
      <c r="E58" s="9"/>
      <c r="F58" s="11"/>
      <c r="G58" s="9"/>
      <c r="H58" s="9"/>
      <c r="I58" s="9"/>
      <c r="J58" s="9"/>
      <c r="K58" s="9"/>
      <c r="L58" s="9"/>
      <c r="M58" s="10"/>
      <c r="N58" s="9"/>
      <c r="O58" s="11"/>
      <c r="P58" s="9"/>
      <c r="Q58" s="9"/>
      <c r="R58" s="9"/>
      <c r="S58" s="9"/>
      <c r="T58" s="9"/>
      <c r="U58" s="10"/>
      <c r="V58" s="9"/>
      <c r="W58" s="11"/>
      <c r="X58" s="9"/>
      <c r="Y58" s="9"/>
      <c r="Z58" s="9"/>
      <c r="AA58" s="9"/>
      <c r="AB58" s="10"/>
      <c r="AC58" s="9"/>
      <c r="AD58" s="11"/>
      <c r="AE58" s="11"/>
      <c r="AF58" s="9"/>
      <c r="AG58" s="9"/>
      <c r="AH58" s="9"/>
      <c r="AI58" s="9"/>
      <c r="AJ58" s="10"/>
      <c r="AK58" s="9"/>
      <c r="AL58" s="11"/>
      <c r="AM58" s="9"/>
      <c r="AN58" s="9"/>
      <c r="AO58" s="9"/>
      <c r="AP58" s="9"/>
      <c r="AQ58" s="10"/>
      <c r="AR58" s="9"/>
      <c r="AS58" s="11"/>
      <c r="AT58" s="9"/>
      <c r="AU58" s="9"/>
      <c r="AV58" s="9"/>
      <c r="AW58" s="9"/>
      <c r="AX58" s="10"/>
      <c r="AY58" s="9"/>
      <c r="AZ58" s="11"/>
      <c r="BA58" s="9"/>
      <c r="BB58" s="9"/>
      <c r="BC58" s="9"/>
      <c r="BD58" s="9"/>
      <c r="BE58" s="10"/>
      <c r="BF58" s="9"/>
      <c r="BG58" s="11"/>
      <c r="BH58" s="9"/>
      <c r="BI58" s="9"/>
      <c r="BJ58" s="9"/>
      <c r="BK58" s="9"/>
      <c r="BL58" s="10"/>
      <c r="BM58" s="9"/>
      <c r="BN58" s="11"/>
      <c r="BO58" s="9"/>
      <c r="BP58" s="9"/>
      <c r="BQ58" s="9"/>
      <c r="BR58" s="9"/>
      <c r="BS58" s="10"/>
      <c r="BT58" s="9"/>
      <c r="BU58" s="11"/>
      <c r="BV58" s="9"/>
      <c r="BW58" s="9"/>
      <c r="BX58" s="9"/>
      <c r="BY58" s="9"/>
      <c r="BZ58" s="10"/>
      <c r="CA58" s="9"/>
      <c r="CB58" s="11"/>
      <c r="CC58" s="9"/>
      <c r="CD58" s="9"/>
      <c r="CE58" s="9"/>
      <c r="CF58" s="9"/>
      <c r="CG58" s="10"/>
      <c r="CH58" s="9"/>
      <c r="CI58" s="11"/>
      <c r="CJ58" s="9"/>
      <c r="CK58" s="9"/>
      <c r="CL58" s="9"/>
      <c r="CM58" s="9"/>
      <c r="CN58" s="10"/>
      <c r="CO58" s="9"/>
      <c r="CP58" s="11"/>
      <c r="CQ58" s="9"/>
    </row>
    <row r="59" spans="1:95" ht="12.75">
      <c r="A59" s="20" t="s">
        <v>105</v>
      </c>
      <c r="B59" s="9"/>
      <c r="C59" s="9"/>
      <c r="D59" s="10"/>
      <c r="E59" s="9"/>
      <c r="F59" s="11"/>
      <c r="G59" s="9"/>
      <c r="H59" s="9"/>
      <c r="I59" s="9"/>
      <c r="J59" s="20" t="s">
        <v>105</v>
      </c>
      <c r="K59" s="9"/>
      <c r="L59" s="9"/>
      <c r="M59" s="10"/>
      <c r="N59" s="9"/>
      <c r="O59" s="11"/>
      <c r="P59" s="9"/>
      <c r="Q59" s="9"/>
      <c r="R59" s="20" t="s">
        <v>105</v>
      </c>
      <c r="S59" s="9"/>
      <c r="T59" s="9"/>
      <c r="U59" s="10"/>
      <c r="V59" s="9"/>
      <c r="W59" s="11"/>
      <c r="X59" s="9"/>
      <c r="Y59" s="20" t="s">
        <v>105</v>
      </c>
      <c r="Z59" s="9"/>
      <c r="AA59" s="9"/>
      <c r="AB59" s="10"/>
      <c r="AC59" s="9"/>
      <c r="AD59" s="11"/>
      <c r="AE59" s="11"/>
      <c r="AF59" s="9"/>
      <c r="AG59" s="20" t="s">
        <v>105</v>
      </c>
      <c r="AH59" s="9"/>
      <c r="AI59" s="9"/>
      <c r="AJ59" s="10"/>
      <c r="AK59" s="9"/>
      <c r="AL59" s="11"/>
      <c r="AM59" s="9"/>
      <c r="AN59" s="20" t="s">
        <v>105</v>
      </c>
      <c r="AO59" s="9"/>
      <c r="AP59" s="9"/>
      <c r="AQ59" s="10"/>
      <c r="AR59" s="9"/>
      <c r="AS59" s="11"/>
      <c r="AT59" s="9"/>
      <c r="AU59" s="20" t="s">
        <v>105</v>
      </c>
      <c r="AV59" s="9"/>
      <c r="AW59" s="9"/>
      <c r="AX59" s="10"/>
      <c r="AY59" s="9"/>
      <c r="AZ59" s="11"/>
      <c r="BA59" s="9"/>
      <c r="BB59" s="20" t="s">
        <v>105</v>
      </c>
      <c r="BC59" s="9"/>
      <c r="BD59" s="9"/>
      <c r="BE59" s="10"/>
      <c r="BF59" s="9"/>
      <c r="BG59" s="11"/>
      <c r="BH59" s="9"/>
      <c r="BI59" s="20" t="s">
        <v>105</v>
      </c>
      <c r="BJ59" s="9"/>
      <c r="BK59" s="9"/>
      <c r="BL59" s="10"/>
      <c r="BM59" s="9"/>
      <c r="BN59" s="11"/>
      <c r="BO59" s="9"/>
      <c r="BP59" s="20" t="s">
        <v>105</v>
      </c>
      <c r="BQ59" s="9"/>
      <c r="BR59" s="9"/>
      <c r="BS59" s="10"/>
      <c r="BT59" s="9"/>
      <c r="BU59" s="11"/>
      <c r="BV59" s="9"/>
      <c r="BW59" s="20" t="s">
        <v>105</v>
      </c>
      <c r="BX59" s="9"/>
      <c r="BY59" s="9"/>
      <c r="BZ59" s="10"/>
      <c r="CA59" s="9"/>
      <c r="CB59" s="11"/>
      <c r="CC59" s="9"/>
      <c r="CD59" s="20" t="s">
        <v>105</v>
      </c>
      <c r="CE59" s="9"/>
      <c r="CF59" s="9"/>
      <c r="CG59" s="10"/>
      <c r="CH59" s="9"/>
      <c r="CI59" s="11"/>
      <c r="CJ59" s="9"/>
      <c r="CK59" s="20" t="s">
        <v>105</v>
      </c>
      <c r="CL59" s="9"/>
      <c r="CM59" s="9"/>
      <c r="CN59" s="10"/>
      <c r="CO59" s="9"/>
      <c r="CP59" s="11"/>
      <c r="CQ59" s="9"/>
    </row>
    <row r="60" spans="1:95" ht="12.75">
      <c r="A60" s="20"/>
      <c r="B60" s="9"/>
      <c r="C60" s="9"/>
      <c r="D60" s="10"/>
      <c r="E60" s="9"/>
      <c r="F60" s="11"/>
      <c r="G60" s="9"/>
      <c r="H60" s="9"/>
      <c r="I60" s="9"/>
      <c r="J60" s="20"/>
      <c r="K60" s="9"/>
      <c r="L60" s="9"/>
      <c r="M60" s="10"/>
      <c r="N60" s="9"/>
      <c r="O60" s="11"/>
      <c r="P60" s="9"/>
      <c r="Q60" s="9"/>
      <c r="R60" s="20"/>
      <c r="S60" s="9"/>
      <c r="T60" s="9"/>
      <c r="U60" s="10"/>
      <c r="V60" s="9"/>
      <c r="W60" s="11"/>
      <c r="X60" s="9"/>
      <c r="Y60" s="20"/>
      <c r="Z60" s="9"/>
      <c r="AA60" s="9"/>
      <c r="AB60" s="10"/>
      <c r="AC60" s="9"/>
      <c r="AD60" s="11"/>
      <c r="AE60" s="11"/>
      <c r="AF60" s="9"/>
      <c r="AG60" s="20"/>
      <c r="AH60" s="9"/>
      <c r="AI60" s="9"/>
      <c r="AJ60" s="10"/>
      <c r="AK60" s="9"/>
      <c r="AL60" s="11"/>
      <c r="AM60" s="9"/>
      <c r="AN60" s="20"/>
      <c r="AO60" s="9"/>
      <c r="AP60" s="9"/>
      <c r="AQ60" s="10"/>
      <c r="AR60" s="9"/>
      <c r="AS60" s="11"/>
      <c r="AT60" s="9"/>
      <c r="AU60" s="20"/>
      <c r="AV60" s="9"/>
      <c r="AW60" s="9"/>
      <c r="AX60" s="10"/>
      <c r="AY60" s="9"/>
      <c r="AZ60" s="11"/>
      <c r="BA60" s="9"/>
      <c r="BB60" s="20"/>
      <c r="BC60" s="9"/>
      <c r="BD60" s="9"/>
      <c r="BE60" s="10"/>
      <c r="BF60" s="9"/>
      <c r="BG60" s="11"/>
      <c r="BH60" s="9"/>
      <c r="BI60" s="20"/>
      <c r="BJ60" s="9"/>
      <c r="BK60" s="9"/>
      <c r="BL60" s="10"/>
      <c r="BM60" s="9"/>
      <c r="BN60" s="11"/>
      <c r="BO60" s="9"/>
      <c r="BP60" s="20"/>
      <c r="BQ60" s="9"/>
      <c r="BR60" s="9"/>
      <c r="BS60" s="10"/>
      <c r="BT60" s="9"/>
      <c r="BU60" s="11"/>
      <c r="BV60" s="9"/>
      <c r="BW60" s="20"/>
      <c r="BX60" s="9"/>
      <c r="BY60" s="9"/>
      <c r="BZ60" s="10"/>
      <c r="CA60" s="9"/>
      <c r="CB60" s="11"/>
      <c r="CC60" s="9"/>
      <c r="CD60" s="20"/>
      <c r="CE60" s="9"/>
      <c r="CF60" s="9"/>
      <c r="CG60" s="10"/>
      <c r="CH60" s="9"/>
      <c r="CI60" s="11"/>
      <c r="CJ60" s="9"/>
      <c r="CK60" s="20"/>
      <c r="CL60" s="9"/>
      <c r="CM60" s="9"/>
      <c r="CN60" s="10"/>
      <c r="CO60" s="9"/>
      <c r="CP60" s="11"/>
      <c r="CQ60" s="9"/>
    </row>
    <row r="61" spans="1:95" s="30" customFormat="1" ht="12.75">
      <c r="A61" s="26"/>
      <c r="B61" s="27"/>
      <c r="C61" s="27"/>
      <c r="D61" s="28" t="s">
        <v>143</v>
      </c>
      <c r="E61" s="27" t="s">
        <v>96</v>
      </c>
      <c r="F61" s="29" t="s">
        <v>97</v>
      </c>
      <c r="G61" s="27" t="s">
        <v>96</v>
      </c>
      <c r="H61" s="26"/>
      <c r="I61" s="26"/>
      <c r="J61" s="28" t="s">
        <v>143</v>
      </c>
      <c r="K61" s="27" t="s">
        <v>96</v>
      </c>
      <c r="L61" s="29" t="s">
        <v>97</v>
      </c>
      <c r="M61" s="27" t="s">
        <v>96</v>
      </c>
      <c r="N61" s="65"/>
      <c r="O61" s="66"/>
      <c r="P61" s="13" t="s">
        <v>132</v>
      </c>
      <c r="Q61" s="26"/>
      <c r="R61" s="28" t="s">
        <v>143</v>
      </c>
      <c r="S61" s="27" t="s">
        <v>96</v>
      </c>
      <c r="T61" s="29" t="s">
        <v>97</v>
      </c>
      <c r="U61" s="27" t="s">
        <v>96</v>
      </c>
      <c r="V61" s="65"/>
      <c r="W61" s="66"/>
      <c r="X61" s="13"/>
      <c r="Y61" s="28" t="s">
        <v>143</v>
      </c>
      <c r="Z61" s="27" t="s">
        <v>96</v>
      </c>
      <c r="AA61" s="29" t="s">
        <v>97</v>
      </c>
      <c r="AB61" s="27" t="s">
        <v>96</v>
      </c>
      <c r="AC61" s="65"/>
      <c r="AD61" s="66"/>
      <c r="AE61" s="66"/>
      <c r="AF61" s="13"/>
      <c r="AG61" s="28" t="s">
        <v>143</v>
      </c>
      <c r="AH61" s="27" t="s">
        <v>96</v>
      </c>
      <c r="AI61" s="29" t="s">
        <v>97</v>
      </c>
      <c r="AJ61" s="27" t="s">
        <v>96</v>
      </c>
      <c r="AK61" s="65"/>
      <c r="AL61" s="66"/>
      <c r="AM61" s="13"/>
      <c r="AN61" s="94" t="s">
        <v>143</v>
      </c>
      <c r="AO61" s="45" t="s">
        <v>96</v>
      </c>
      <c r="AP61" s="93" t="s">
        <v>97</v>
      </c>
      <c r="AQ61" s="45" t="s">
        <v>96</v>
      </c>
      <c r="AR61" s="65"/>
      <c r="AS61" s="66"/>
      <c r="AT61" s="13"/>
      <c r="AU61" s="94" t="s">
        <v>143</v>
      </c>
      <c r="AV61" s="45" t="s">
        <v>96</v>
      </c>
      <c r="AW61" s="93" t="s">
        <v>97</v>
      </c>
      <c r="AX61" s="45" t="s">
        <v>96</v>
      </c>
      <c r="AY61" s="65"/>
      <c r="AZ61" s="66"/>
      <c r="BA61" s="13"/>
      <c r="BB61" s="94" t="s">
        <v>143</v>
      </c>
      <c r="BC61" s="45" t="s">
        <v>96</v>
      </c>
      <c r="BD61" s="93" t="s">
        <v>97</v>
      </c>
      <c r="BE61" s="45" t="s">
        <v>96</v>
      </c>
      <c r="BF61" s="65"/>
      <c r="BG61" s="66"/>
      <c r="BH61" s="13"/>
      <c r="BI61" s="94" t="s">
        <v>143</v>
      </c>
      <c r="BJ61" s="45" t="s">
        <v>96</v>
      </c>
      <c r="BK61" s="93" t="s">
        <v>97</v>
      </c>
      <c r="BL61" s="45" t="s">
        <v>96</v>
      </c>
      <c r="BM61" s="65"/>
      <c r="BN61" s="66"/>
      <c r="BO61" s="13"/>
      <c r="BP61" s="94" t="s">
        <v>143</v>
      </c>
      <c r="BQ61" s="45" t="s">
        <v>96</v>
      </c>
      <c r="BR61" s="93" t="s">
        <v>97</v>
      </c>
      <c r="BS61" s="45" t="s">
        <v>96</v>
      </c>
      <c r="BT61" s="65"/>
      <c r="BU61" s="66"/>
      <c r="BV61" s="13"/>
      <c r="BW61" s="94" t="s">
        <v>143</v>
      </c>
      <c r="BX61" s="45" t="s">
        <v>96</v>
      </c>
      <c r="BY61" s="93" t="s">
        <v>97</v>
      </c>
      <c r="BZ61" s="45" t="s">
        <v>96</v>
      </c>
      <c r="CA61" s="65"/>
      <c r="CB61" s="66"/>
      <c r="CC61" s="13"/>
      <c r="CD61" s="94" t="s">
        <v>143</v>
      </c>
      <c r="CE61" s="45" t="s">
        <v>96</v>
      </c>
      <c r="CF61" s="93" t="s">
        <v>97</v>
      </c>
      <c r="CG61" s="45" t="s">
        <v>96</v>
      </c>
      <c r="CH61" s="65"/>
      <c r="CI61" s="66"/>
      <c r="CJ61" s="13"/>
      <c r="CK61" s="94" t="s">
        <v>143</v>
      </c>
      <c r="CL61" s="45" t="s">
        <v>96</v>
      </c>
      <c r="CM61" s="93" t="s">
        <v>97</v>
      </c>
      <c r="CN61" s="45" t="s">
        <v>96</v>
      </c>
      <c r="CO61" s="65"/>
      <c r="CP61" s="66"/>
      <c r="CQ61" s="13"/>
    </row>
    <row r="62" spans="1:95" ht="12.75">
      <c r="A62" s="13"/>
      <c r="B62" s="9"/>
      <c r="C62" s="9"/>
      <c r="D62" s="10"/>
      <c r="E62" s="9"/>
      <c r="F62" s="11"/>
      <c r="G62" s="9"/>
      <c r="H62" s="9"/>
      <c r="I62" s="9"/>
      <c r="J62" s="10"/>
      <c r="K62" s="9"/>
      <c r="L62" s="11"/>
      <c r="N62" s="55"/>
      <c r="O62" s="56"/>
      <c r="P62" s="9"/>
      <c r="Q62" s="9"/>
      <c r="R62" s="10"/>
      <c r="S62" s="9"/>
      <c r="T62" s="11"/>
      <c r="U62" s="35"/>
      <c r="V62" s="55"/>
      <c r="W62" s="56"/>
      <c r="X62" s="9"/>
      <c r="Y62" s="10"/>
      <c r="Z62" s="9"/>
      <c r="AA62" s="11"/>
      <c r="AB62" s="35"/>
      <c r="AC62" s="55"/>
      <c r="AD62" s="56"/>
      <c r="AE62" s="56"/>
      <c r="AF62" s="9"/>
      <c r="AG62" s="10"/>
      <c r="AH62" s="9"/>
      <c r="AI62" s="11"/>
      <c r="AJ62" s="35"/>
      <c r="AK62" s="55"/>
      <c r="AL62" s="56"/>
      <c r="AM62" s="9"/>
      <c r="AN62" s="10"/>
      <c r="AO62" s="9"/>
      <c r="AP62" s="11"/>
      <c r="AQ62" s="35"/>
      <c r="AR62" s="55"/>
      <c r="AS62" s="56"/>
      <c r="AT62" s="9"/>
      <c r="AU62" s="10"/>
      <c r="AV62" s="9"/>
      <c r="AW62" s="11"/>
      <c r="AX62" s="35"/>
      <c r="AY62" s="55"/>
      <c r="AZ62" s="56"/>
      <c r="BA62" s="9"/>
      <c r="BB62" s="10"/>
      <c r="BC62" s="9"/>
      <c r="BD62" s="11"/>
      <c r="BE62" s="35"/>
      <c r="BF62" s="55"/>
      <c r="BG62" s="56"/>
      <c r="BH62" s="9"/>
      <c r="BI62" s="10"/>
      <c r="BJ62" s="9"/>
      <c r="BK62" s="11"/>
      <c r="BL62" s="35"/>
      <c r="BM62" s="55"/>
      <c r="BN62" s="56"/>
      <c r="BO62" s="9"/>
      <c r="BP62" s="10"/>
      <c r="BQ62" s="9"/>
      <c r="BR62" s="11"/>
      <c r="BS62" s="35"/>
      <c r="BT62" s="55"/>
      <c r="BU62" s="56"/>
      <c r="BV62" s="9"/>
      <c r="BW62" s="10"/>
      <c r="BX62" s="9"/>
      <c r="BY62" s="11"/>
      <c r="BZ62" s="35"/>
      <c r="CA62" s="55"/>
      <c r="CB62" s="56"/>
      <c r="CC62" s="9"/>
      <c r="CD62" s="10"/>
      <c r="CE62" s="9"/>
      <c r="CF62" s="11"/>
      <c r="CG62" s="35"/>
      <c r="CH62" s="55"/>
      <c r="CI62" s="56"/>
      <c r="CJ62" s="9"/>
      <c r="CK62" s="10"/>
      <c r="CL62" s="9"/>
      <c r="CM62" s="11"/>
      <c r="CN62" s="35"/>
      <c r="CO62" s="55"/>
      <c r="CP62" s="56"/>
      <c r="CQ62" s="9"/>
    </row>
    <row r="63" spans="1:95" ht="12.75">
      <c r="A63" s="9" t="s">
        <v>23</v>
      </c>
      <c r="B63" s="9"/>
      <c r="C63" s="9"/>
      <c r="D63" s="10">
        <v>2955026.85</v>
      </c>
      <c r="E63" s="15">
        <v>0.30816571981914936</v>
      </c>
      <c r="F63" s="11">
        <v>95</v>
      </c>
      <c r="G63" s="15">
        <v>0.17086330935251798</v>
      </c>
      <c r="H63" s="9"/>
      <c r="I63" s="9"/>
      <c r="J63" s="10">
        <v>2890926.06</v>
      </c>
      <c r="K63" s="15">
        <v>0.3125692054813585</v>
      </c>
      <c r="L63" s="11">
        <v>95</v>
      </c>
      <c r="M63" s="15">
        <v>0.17304189435336975</v>
      </c>
      <c r="N63" s="57"/>
      <c r="O63" s="56"/>
      <c r="P63" s="15">
        <v>0.05366126327557295</v>
      </c>
      <c r="Q63" s="9"/>
      <c r="R63" s="10">
        <v>10402452.470000003</v>
      </c>
      <c r="S63" s="15">
        <v>0.44326743187970186</v>
      </c>
      <c r="T63" s="11">
        <v>402</v>
      </c>
      <c r="U63" s="15">
        <v>0.3008982035928144</v>
      </c>
      <c r="V63" s="57"/>
      <c r="W63" s="56"/>
      <c r="X63" s="15"/>
      <c r="Y63" s="10">
        <v>20840610.170000024</v>
      </c>
      <c r="Z63" s="15">
        <v>0.5138838788972179</v>
      </c>
      <c r="AA63" s="11">
        <v>749</v>
      </c>
      <c r="AB63" s="15">
        <v>0.3440514469453376</v>
      </c>
      <c r="AC63" s="57"/>
      <c r="AD63" s="56"/>
      <c r="AE63" s="56"/>
      <c r="AF63" s="15"/>
      <c r="AG63" s="10">
        <v>31924640.890000034</v>
      </c>
      <c r="AH63" s="15">
        <v>0.5719344725915463</v>
      </c>
      <c r="AI63" s="11">
        <v>1151</v>
      </c>
      <c r="AJ63" s="15">
        <v>0.3893775372124493</v>
      </c>
      <c r="AK63" s="57"/>
      <c r="AL63" s="56"/>
      <c r="AM63" s="15"/>
      <c r="AN63" s="10">
        <v>37976772.709999986</v>
      </c>
      <c r="AO63" s="15">
        <v>0.6412884885955067</v>
      </c>
      <c r="AP63" s="11">
        <v>1346</v>
      </c>
      <c r="AQ63" s="15">
        <v>0.45689069925322473</v>
      </c>
      <c r="AR63" s="57"/>
      <c r="AS63" s="56"/>
      <c r="AT63" s="15"/>
      <c r="AU63" s="10">
        <v>56024882.7800001</v>
      </c>
      <c r="AV63" s="15">
        <v>0.7295482038375285</v>
      </c>
      <c r="AW63" s="11">
        <v>2038</v>
      </c>
      <c r="AX63" s="15">
        <v>0.5592755214050494</v>
      </c>
      <c r="AY63" s="57"/>
      <c r="AZ63" s="56"/>
      <c r="BA63" s="15"/>
      <c r="BB63" s="10">
        <v>65177973.60000017</v>
      </c>
      <c r="BC63" s="15">
        <v>0.7805726185037013</v>
      </c>
      <c r="BD63" s="11">
        <v>2375</v>
      </c>
      <c r="BE63" s="15">
        <v>0.6225425950196593</v>
      </c>
      <c r="BF63" s="57"/>
      <c r="BG63" s="56"/>
      <c r="BH63" s="15"/>
      <c r="BI63" s="10">
        <v>70325594.45000003</v>
      </c>
      <c r="BJ63" s="15">
        <v>0.8115495920286754</v>
      </c>
      <c r="BK63" s="11">
        <v>2569</v>
      </c>
      <c r="BL63" s="15">
        <v>0.665716506867064</v>
      </c>
      <c r="BM63" s="57"/>
      <c r="BN63" s="56"/>
      <c r="BO63" s="15"/>
      <c r="BP63" s="10">
        <v>87179624.64999983</v>
      </c>
      <c r="BQ63" s="15">
        <v>0.8482952820092194</v>
      </c>
      <c r="BR63" s="11">
        <v>3195</v>
      </c>
      <c r="BS63" s="15">
        <v>0.7230142566191446</v>
      </c>
      <c r="BT63" s="57"/>
      <c r="BU63" s="56"/>
      <c r="BV63" s="15"/>
      <c r="BW63" s="10">
        <v>93129318.14000021</v>
      </c>
      <c r="BX63" s="15">
        <v>0.8688900415829031</v>
      </c>
      <c r="BY63" s="11">
        <v>3396</v>
      </c>
      <c r="BZ63" s="15">
        <v>0.7546666666666667</v>
      </c>
      <c r="CA63" s="57"/>
      <c r="CB63" s="56"/>
      <c r="CC63" s="15"/>
      <c r="CD63" s="10">
        <v>55078766.06999986</v>
      </c>
      <c r="CE63" s="15">
        <v>0.4791538782759825</v>
      </c>
      <c r="CF63" s="11">
        <v>1845</v>
      </c>
      <c r="CG63" s="15">
        <v>0.39541363051864553</v>
      </c>
      <c r="CH63" s="57"/>
      <c r="CI63" s="56"/>
      <c r="CJ63" s="15"/>
      <c r="CK63" s="10">
        <v>56955960.899999924</v>
      </c>
      <c r="CL63" s="15">
        <v>0.49760737448400666</v>
      </c>
      <c r="CM63" s="11">
        <v>1894</v>
      </c>
      <c r="CN63" s="15">
        <v>0.41480508103372754</v>
      </c>
      <c r="CO63" s="57"/>
      <c r="CP63" s="56"/>
      <c r="CQ63" s="15"/>
    </row>
    <row r="64" spans="1:95" ht="12.75">
      <c r="A64" s="9" t="s">
        <v>64</v>
      </c>
      <c r="B64" s="9"/>
      <c r="C64" s="9"/>
      <c r="D64" s="10">
        <v>2321148.06</v>
      </c>
      <c r="E64" s="15">
        <v>0.242061510445065</v>
      </c>
      <c r="F64" s="11">
        <v>114</v>
      </c>
      <c r="G64" s="15">
        <v>0.20503597122302158</v>
      </c>
      <c r="H64" s="9"/>
      <c r="I64" s="9"/>
      <c r="J64" s="10">
        <v>2232170.81</v>
      </c>
      <c r="K64" s="15">
        <v>0.24134406833649036</v>
      </c>
      <c r="L64" s="11">
        <v>110</v>
      </c>
      <c r="M64" s="15">
        <v>0.20036429872495445</v>
      </c>
      <c r="N64" s="57"/>
      <c r="O64" s="56"/>
      <c r="P64" s="15">
        <v>0.18390162101732813</v>
      </c>
      <c r="Q64" s="9"/>
      <c r="R64" s="10">
        <v>5303230.17</v>
      </c>
      <c r="S64" s="15">
        <v>0.22598028925412184</v>
      </c>
      <c r="T64" s="11">
        <v>287</v>
      </c>
      <c r="U64" s="15">
        <v>0.2148203592814371</v>
      </c>
      <c r="V64" s="57"/>
      <c r="W64" s="56"/>
      <c r="X64" s="15"/>
      <c r="Y64" s="10">
        <v>8303666.800000005</v>
      </c>
      <c r="Z64" s="15">
        <v>0.2047502673600485</v>
      </c>
      <c r="AA64" s="11">
        <v>452</v>
      </c>
      <c r="AB64" s="15">
        <v>0.20762517225539734</v>
      </c>
      <c r="AC64" s="57"/>
      <c r="AD64" s="56"/>
      <c r="AE64" s="56"/>
      <c r="AF64" s="15"/>
      <c r="AG64" s="10">
        <v>11371877.800000003</v>
      </c>
      <c r="AH64" s="15">
        <v>0.20372880479153005</v>
      </c>
      <c r="AI64" s="11">
        <v>644</v>
      </c>
      <c r="AJ64" s="15">
        <v>0.2178619756427605</v>
      </c>
      <c r="AK64" s="57"/>
      <c r="AL64" s="56"/>
      <c r="AM64" s="15"/>
      <c r="AN64" s="10">
        <v>10288795.250000004</v>
      </c>
      <c r="AO64" s="15">
        <v>0.17374003856846248</v>
      </c>
      <c r="AP64" s="11">
        <v>607</v>
      </c>
      <c r="AQ64" s="15">
        <v>0.20604209097080786</v>
      </c>
      <c r="AR64" s="57"/>
      <c r="AS64" s="56"/>
      <c r="AT64" s="15"/>
      <c r="AU64" s="10">
        <v>10639038.700000003</v>
      </c>
      <c r="AV64" s="15">
        <v>0.13854007699796106</v>
      </c>
      <c r="AW64" s="11">
        <v>688</v>
      </c>
      <c r="AX64" s="15">
        <v>0.18880351262349068</v>
      </c>
      <c r="AY64" s="57"/>
      <c r="AZ64" s="56"/>
      <c r="BA64" s="15"/>
      <c r="BB64" s="10">
        <v>9709577.22</v>
      </c>
      <c r="BC64" s="15">
        <v>0.116282076544633</v>
      </c>
      <c r="BD64" s="11">
        <v>659</v>
      </c>
      <c r="BE64" s="15">
        <v>0.1727391874180865</v>
      </c>
      <c r="BF64" s="57"/>
      <c r="BG64" s="56"/>
      <c r="BH64" s="15"/>
      <c r="BI64" s="10">
        <v>8664414.119999997</v>
      </c>
      <c r="BJ64" s="15">
        <v>0.09998638190328854</v>
      </c>
      <c r="BK64" s="11">
        <v>608</v>
      </c>
      <c r="BL64" s="15">
        <v>0.15755377040684115</v>
      </c>
      <c r="BM64" s="57"/>
      <c r="BN64" s="56"/>
      <c r="BO64" s="15"/>
      <c r="BP64" s="10">
        <v>8514616.799999999</v>
      </c>
      <c r="BQ64" s="15">
        <v>0.08285088733238141</v>
      </c>
      <c r="BR64" s="11">
        <v>602</v>
      </c>
      <c r="BS64" s="15">
        <v>0.13622991627064948</v>
      </c>
      <c r="BT64" s="57"/>
      <c r="BU64" s="56"/>
      <c r="BV64" s="15"/>
      <c r="BW64" s="10">
        <v>7735825.6899999995</v>
      </c>
      <c r="BX64" s="15">
        <v>0.07217471403965091</v>
      </c>
      <c r="BY64" s="11">
        <v>570</v>
      </c>
      <c r="BZ64" s="15">
        <v>0.12666666666666668</v>
      </c>
      <c r="CA64" s="57"/>
      <c r="CB64" s="56"/>
      <c r="CC64" s="15"/>
      <c r="CD64" s="10">
        <v>47580269.25000007</v>
      </c>
      <c r="CE64" s="15">
        <v>0.4139212289465341</v>
      </c>
      <c r="CF64" s="11">
        <v>1870</v>
      </c>
      <c r="CG64" s="15">
        <v>0.4007715387912559</v>
      </c>
      <c r="CH64" s="57"/>
      <c r="CI64" s="56"/>
      <c r="CJ64" s="15"/>
      <c r="CK64" s="10">
        <v>46386694.56000007</v>
      </c>
      <c r="CL64" s="15">
        <v>0.40526682240547046</v>
      </c>
      <c r="CM64" s="11">
        <v>1799</v>
      </c>
      <c r="CN64" s="15">
        <v>0.39399912395970216</v>
      </c>
      <c r="CO64" s="57"/>
      <c r="CP64" s="56"/>
      <c r="CQ64" s="15"/>
    </row>
    <row r="65" spans="1:95" ht="12.75">
      <c r="A65" s="9" t="s">
        <v>65</v>
      </c>
      <c r="B65" s="9"/>
      <c r="C65" s="9"/>
      <c r="D65" s="10">
        <v>377432.49</v>
      </c>
      <c r="E65" s="15">
        <v>0.03936064234542707</v>
      </c>
      <c r="F65" s="11">
        <v>36</v>
      </c>
      <c r="G65" s="15">
        <v>0.06474820143884892</v>
      </c>
      <c r="H65" s="9"/>
      <c r="I65" s="9"/>
      <c r="J65" s="10">
        <v>364081.43</v>
      </c>
      <c r="K65" s="15">
        <v>0.03936477133753358</v>
      </c>
      <c r="L65" s="11">
        <v>36</v>
      </c>
      <c r="M65" s="15">
        <v>0.06557377049180328</v>
      </c>
      <c r="N65" s="57"/>
      <c r="O65" s="56"/>
      <c r="P65" s="15">
        <v>0.004471771939631079</v>
      </c>
      <c r="Q65" s="9"/>
      <c r="R65" s="10">
        <v>2838232.27</v>
      </c>
      <c r="S65" s="15">
        <v>0.12094224251725856</v>
      </c>
      <c r="T65" s="11">
        <v>273</v>
      </c>
      <c r="U65" s="15">
        <v>0.20434131736526945</v>
      </c>
      <c r="V65" s="57"/>
      <c r="W65" s="56"/>
      <c r="X65" s="15"/>
      <c r="Y65" s="10">
        <v>5641842.319999997</v>
      </c>
      <c r="Z65" s="15">
        <v>0.13911549574980958</v>
      </c>
      <c r="AA65" s="11">
        <v>545</v>
      </c>
      <c r="AB65" s="15">
        <v>0.25034451079467157</v>
      </c>
      <c r="AC65" s="57"/>
      <c r="AD65" s="56"/>
      <c r="AE65" s="56"/>
      <c r="AF65" s="15"/>
      <c r="AG65" s="10">
        <v>7159720.7299999995</v>
      </c>
      <c r="AH65" s="15">
        <v>0.12826741305328138</v>
      </c>
      <c r="AI65" s="11">
        <v>751</v>
      </c>
      <c r="AJ65" s="15">
        <v>0.2540595399188092</v>
      </c>
      <c r="AK65" s="57"/>
      <c r="AL65" s="56"/>
      <c r="AM65" s="15"/>
      <c r="AN65" s="10">
        <v>6434863.87</v>
      </c>
      <c r="AO65" s="15">
        <v>0.10866126400528821</v>
      </c>
      <c r="AP65" s="11">
        <v>653</v>
      </c>
      <c r="AQ65" s="15">
        <v>0.22165648336727767</v>
      </c>
      <c r="AR65" s="57"/>
      <c r="AS65" s="56"/>
      <c r="AT65" s="15"/>
      <c r="AU65" s="10">
        <v>5795992.169999996</v>
      </c>
      <c r="AV65" s="15">
        <v>0.07547460105689612</v>
      </c>
      <c r="AW65" s="11">
        <v>608</v>
      </c>
      <c r="AX65" s="15">
        <v>0.1668496158068057</v>
      </c>
      <c r="AY65" s="57"/>
      <c r="AZ65" s="56"/>
      <c r="BA65" s="15"/>
      <c r="BB65" s="10">
        <v>4941460.63</v>
      </c>
      <c r="BC65" s="15">
        <v>0.05917902398843589</v>
      </c>
      <c r="BD65" s="11">
        <v>518</v>
      </c>
      <c r="BE65" s="15">
        <v>0.13577981651376148</v>
      </c>
      <c r="BF65" s="57"/>
      <c r="BG65" s="56"/>
      <c r="BH65" s="15"/>
      <c r="BI65" s="10">
        <v>4315291.5</v>
      </c>
      <c r="BJ65" s="15">
        <v>0.04979798725767907</v>
      </c>
      <c r="BK65" s="11">
        <v>448</v>
      </c>
      <c r="BL65" s="15">
        <v>0.11609225187872506</v>
      </c>
      <c r="BM65" s="57"/>
      <c r="BN65" s="56"/>
      <c r="BO65" s="15"/>
      <c r="BP65" s="10">
        <v>3930139.1</v>
      </c>
      <c r="BQ65" s="15">
        <v>0.038241945518286476</v>
      </c>
      <c r="BR65" s="11">
        <v>410</v>
      </c>
      <c r="BS65" s="15">
        <v>0.09278117221090744</v>
      </c>
      <c r="BT65" s="57"/>
      <c r="BU65" s="56"/>
      <c r="BV65" s="15"/>
      <c r="BW65" s="10">
        <v>3350539</v>
      </c>
      <c r="BX65" s="15">
        <v>0.03126029513776414</v>
      </c>
      <c r="BY65" s="11">
        <v>347</v>
      </c>
      <c r="BZ65" s="15">
        <v>0.07711111111111112</v>
      </c>
      <c r="CA65" s="57"/>
      <c r="CB65" s="56"/>
      <c r="CC65" s="15"/>
      <c r="CD65" s="10">
        <v>6991882.390000002</v>
      </c>
      <c r="CE65" s="15">
        <v>0.06082539248174656</v>
      </c>
      <c r="CF65" s="11">
        <v>520</v>
      </c>
      <c r="CG65" s="15">
        <v>0.11144449207029576</v>
      </c>
      <c r="CH65" s="57"/>
      <c r="CI65" s="56"/>
      <c r="CJ65" s="15"/>
      <c r="CK65" s="10">
        <v>6400312.619999998</v>
      </c>
      <c r="CL65" s="15">
        <v>0.05591763721284276</v>
      </c>
      <c r="CM65" s="11">
        <v>492</v>
      </c>
      <c r="CN65" s="15">
        <v>0.10775295663600526</v>
      </c>
      <c r="CO65" s="57"/>
      <c r="CP65" s="56"/>
      <c r="CQ65" s="15"/>
    </row>
    <row r="66" spans="1:95" ht="12.75">
      <c r="A66" s="9" t="s">
        <v>66</v>
      </c>
      <c r="B66" s="9"/>
      <c r="C66" s="9"/>
      <c r="D66" s="10">
        <v>3694588.26</v>
      </c>
      <c r="E66" s="15">
        <v>0.3852910678555351</v>
      </c>
      <c r="F66" s="11">
        <v>288</v>
      </c>
      <c r="G66" s="15">
        <v>0.5179856115107914</v>
      </c>
      <c r="H66" s="9"/>
      <c r="I66" s="9"/>
      <c r="J66" s="10">
        <v>3546214.97</v>
      </c>
      <c r="K66" s="15">
        <v>0.38341955921176313</v>
      </c>
      <c r="L66" s="11">
        <v>285</v>
      </c>
      <c r="M66" s="15">
        <v>0.5191256830601093</v>
      </c>
      <c r="N66" s="57"/>
      <c r="O66" s="56"/>
      <c r="P66" s="15">
        <v>0.6987143655673561</v>
      </c>
      <c r="Q66" s="9"/>
      <c r="R66" s="10">
        <v>4587322.09</v>
      </c>
      <c r="S66" s="15">
        <v>0.19547414303536104</v>
      </c>
      <c r="T66" s="11">
        <v>340</v>
      </c>
      <c r="U66" s="15">
        <v>0.25449101796407186</v>
      </c>
      <c r="V66" s="57"/>
      <c r="W66" s="56"/>
      <c r="X66" s="15"/>
      <c r="Y66" s="10">
        <v>5266315.2</v>
      </c>
      <c r="Z66" s="15">
        <v>0.12985581805887098</v>
      </c>
      <c r="AA66" s="11">
        <v>383</v>
      </c>
      <c r="AB66" s="15">
        <v>0.17593017914561324</v>
      </c>
      <c r="AC66" s="57"/>
      <c r="AD66" s="56"/>
      <c r="AE66" s="56"/>
      <c r="AF66" s="15"/>
      <c r="AG66" s="10">
        <v>4744212.88</v>
      </c>
      <c r="AH66" s="15">
        <v>0.08499324708879497</v>
      </c>
      <c r="AI66" s="11">
        <v>353</v>
      </c>
      <c r="AJ66" s="15">
        <v>0.11941813261163735</v>
      </c>
      <c r="AK66" s="57"/>
      <c r="AL66" s="56"/>
      <c r="AM66" s="15"/>
      <c r="AN66" s="10">
        <v>3990571.65</v>
      </c>
      <c r="AO66" s="15">
        <v>0.06738612787354409</v>
      </c>
      <c r="AP66" s="11">
        <v>290</v>
      </c>
      <c r="AQ66" s="15">
        <v>0.09843856076035302</v>
      </c>
      <c r="AR66" s="57"/>
      <c r="AS66" s="56"/>
      <c r="AT66" s="15"/>
      <c r="AU66" s="10">
        <v>3828211.99</v>
      </c>
      <c r="AV66" s="15">
        <v>0.0498504422076327</v>
      </c>
      <c r="AW66" s="11">
        <v>263</v>
      </c>
      <c r="AX66" s="15">
        <v>0.07217343578485182</v>
      </c>
      <c r="AY66" s="57"/>
      <c r="AZ66" s="56"/>
      <c r="BA66" s="15"/>
      <c r="BB66" s="10">
        <v>3216387.27</v>
      </c>
      <c r="BC66" s="15">
        <v>0.03851951349199148</v>
      </c>
      <c r="BD66" s="11">
        <v>221</v>
      </c>
      <c r="BE66" s="15">
        <v>0.05792922673656618</v>
      </c>
      <c r="BF66" s="57"/>
      <c r="BG66" s="56"/>
      <c r="BH66" s="15"/>
      <c r="BI66" s="10">
        <v>2960434.38</v>
      </c>
      <c r="BJ66" s="15">
        <v>0.03416308574575673</v>
      </c>
      <c r="BK66" s="11">
        <v>198</v>
      </c>
      <c r="BL66" s="15">
        <v>0.05130862917854367</v>
      </c>
      <c r="BM66" s="57"/>
      <c r="BN66" s="56"/>
      <c r="BO66" s="15"/>
      <c r="BP66" s="10">
        <v>2797483.43</v>
      </c>
      <c r="BQ66" s="15">
        <v>0.027220718197574545</v>
      </c>
      <c r="BR66" s="11">
        <v>178</v>
      </c>
      <c r="BS66" s="15">
        <v>0.0402806064720525</v>
      </c>
      <c r="BT66" s="57"/>
      <c r="BU66" s="56"/>
      <c r="BV66" s="15"/>
      <c r="BW66" s="10">
        <v>2694332.89</v>
      </c>
      <c r="BX66" s="15">
        <v>0.025137937908135084</v>
      </c>
      <c r="BY66" s="11">
        <v>157</v>
      </c>
      <c r="BZ66" s="15">
        <v>0.034888888888888886</v>
      </c>
      <c r="CA66" s="57"/>
      <c r="CB66" s="56"/>
      <c r="CC66" s="15"/>
      <c r="CD66" s="10">
        <v>2763472.83</v>
      </c>
      <c r="CE66" s="15">
        <v>0.024040638861116903</v>
      </c>
      <c r="CF66" s="11">
        <v>281</v>
      </c>
      <c r="CG66" s="15">
        <v>0.06022288898414059</v>
      </c>
      <c r="CH66" s="57"/>
      <c r="CI66" s="56"/>
      <c r="CJ66" s="15"/>
      <c r="CK66" s="10">
        <v>2462393.53</v>
      </c>
      <c r="CL66" s="15">
        <v>0.021513203535640943</v>
      </c>
      <c r="CM66" s="11">
        <v>244</v>
      </c>
      <c r="CN66" s="15">
        <v>0.053438458169075775</v>
      </c>
      <c r="CO66" s="57"/>
      <c r="CP66" s="56"/>
      <c r="CQ66" s="15"/>
    </row>
    <row r="67" spans="1:95" ht="12.75">
      <c r="A67" s="9" t="s">
        <v>67</v>
      </c>
      <c r="B67" s="9"/>
      <c r="C67" s="9"/>
      <c r="D67" s="10">
        <v>0</v>
      </c>
      <c r="E67" s="15">
        <v>0</v>
      </c>
      <c r="F67" s="11">
        <v>0</v>
      </c>
      <c r="G67" s="15">
        <v>0</v>
      </c>
      <c r="H67" s="9"/>
      <c r="I67" s="9"/>
      <c r="J67" s="10">
        <v>0</v>
      </c>
      <c r="K67" s="15">
        <v>0</v>
      </c>
      <c r="L67" s="11">
        <v>0</v>
      </c>
      <c r="M67" s="15">
        <v>0</v>
      </c>
      <c r="N67" s="57"/>
      <c r="O67" s="56"/>
      <c r="P67" s="15">
        <v>0.0022358859698155395</v>
      </c>
      <c r="Q67" s="9"/>
      <c r="R67" s="10">
        <v>0</v>
      </c>
      <c r="S67" s="15">
        <v>0</v>
      </c>
      <c r="T67" s="11">
        <v>0</v>
      </c>
      <c r="U67" s="15">
        <v>0</v>
      </c>
      <c r="V67" s="57"/>
      <c r="W67" s="56"/>
      <c r="X67" s="15"/>
      <c r="Y67" s="10">
        <v>0</v>
      </c>
      <c r="Z67" s="15">
        <v>0</v>
      </c>
      <c r="AA67" s="11">
        <v>0</v>
      </c>
      <c r="AB67" s="15">
        <v>0</v>
      </c>
      <c r="AC67" s="57"/>
      <c r="AD67" s="56"/>
      <c r="AE67" s="56"/>
      <c r="AF67" s="15"/>
      <c r="AG67" s="10">
        <v>0</v>
      </c>
      <c r="AH67" s="15">
        <v>0</v>
      </c>
      <c r="AI67" s="11">
        <v>0</v>
      </c>
      <c r="AJ67" s="15">
        <v>0</v>
      </c>
      <c r="AK67" s="57"/>
      <c r="AL67" s="56"/>
      <c r="AM67" s="15"/>
      <c r="AN67" s="10">
        <v>0</v>
      </c>
      <c r="AO67" s="15">
        <v>0</v>
      </c>
      <c r="AP67" s="11">
        <v>0</v>
      </c>
      <c r="AQ67" s="15">
        <v>0</v>
      </c>
      <c r="AR67" s="57"/>
      <c r="AS67" s="56"/>
      <c r="AT67" s="15"/>
      <c r="AU67" s="10">
        <v>0</v>
      </c>
      <c r="AV67" s="15">
        <v>0</v>
      </c>
      <c r="AW67" s="11">
        <v>0</v>
      </c>
      <c r="AX67" s="15">
        <v>0</v>
      </c>
      <c r="AY67" s="57"/>
      <c r="AZ67" s="56"/>
      <c r="BA67" s="15"/>
      <c r="BB67" s="10">
        <v>0</v>
      </c>
      <c r="BC67" s="15">
        <v>0</v>
      </c>
      <c r="BD67" s="11">
        <v>0</v>
      </c>
      <c r="BE67" s="15">
        <v>0</v>
      </c>
      <c r="BF67" s="57"/>
      <c r="BG67" s="56"/>
      <c r="BH67" s="15"/>
      <c r="BI67" s="10">
        <v>0</v>
      </c>
      <c r="BJ67" s="15">
        <v>0</v>
      </c>
      <c r="BK67" s="11">
        <v>0</v>
      </c>
      <c r="BL67" s="15">
        <v>0</v>
      </c>
      <c r="BM67" s="57"/>
      <c r="BN67" s="56"/>
      <c r="BO67" s="15"/>
      <c r="BP67" s="10">
        <v>0</v>
      </c>
      <c r="BQ67" s="15">
        <v>0</v>
      </c>
      <c r="BR67" s="11">
        <v>0</v>
      </c>
      <c r="BS67" s="15">
        <v>0</v>
      </c>
      <c r="BT67" s="57"/>
      <c r="BU67" s="56"/>
      <c r="BV67" s="15"/>
      <c r="BW67" s="10">
        <v>9769.75</v>
      </c>
      <c r="BX67" s="15">
        <v>9.115108596621954E-05</v>
      </c>
      <c r="BY67" s="11">
        <v>2</v>
      </c>
      <c r="BZ67" s="15">
        <v>0.00044444444444444447</v>
      </c>
      <c r="CA67" s="57"/>
      <c r="CB67" s="56"/>
      <c r="CC67" s="15"/>
      <c r="CD67" s="10">
        <v>2288916.73</v>
      </c>
      <c r="CE67" s="15">
        <v>0.019912271216033124</v>
      </c>
      <c r="CF67" s="11">
        <v>124</v>
      </c>
      <c r="CG67" s="15">
        <v>0.02657522503214745</v>
      </c>
      <c r="CH67" s="57"/>
      <c r="CI67" s="56"/>
      <c r="CJ67" s="15"/>
      <c r="CK67" s="10">
        <v>2054846.71</v>
      </c>
      <c r="CL67" s="15">
        <v>0.017952587581227173</v>
      </c>
      <c r="CM67" s="11">
        <v>115</v>
      </c>
      <c r="CN67" s="15">
        <v>0.02518615856329391</v>
      </c>
      <c r="CO67" s="57"/>
      <c r="CP67" s="56"/>
      <c r="CQ67" s="15"/>
    </row>
    <row r="68" spans="1:95" ht="12.75">
      <c r="A68" s="9" t="s">
        <v>68</v>
      </c>
      <c r="B68" s="9"/>
      <c r="C68" s="9"/>
      <c r="D68" s="10">
        <v>240887.94</v>
      </c>
      <c r="E68" s="15">
        <v>0.02512105953482355</v>
      </c>
      <c r="F68" s="11">
        <v>23</v>
      </c>
      <c r="G68" s="15">
        <v>0.04136690647482014</v>
      </c>
      <c r="H68" s="9"/>
      <c r="I68" s="9"/>
      <c r="J68" s="10">
        <v>215521.88</v>
      </c>
      <c r="K68" s="15">
        <v>0.023302395632854307</v>
      </c>
      <c r="L68" s="11">
        <v>23</v>
      </c>
      <c r="M68" s="15">
        <v>0.04189435336976321</v>
      </c>
      <c r="N68" s="57"/>
      <c r="O68" s="56"/>
      <c r="P68" s="15">
        <v>0.05701509223029626</v>
      </c>
      <c r="Q68" s="9"/>
      <c r="R68" s="10">
        <v>336429.97</v>
      </c>
      <c r="S68" s="15">
        <v>0.014335893313556771</v>
      </c>
      <c r="T68" s="11">
        <v>34</v>
      </c>
      <c r="U68" s="15">
        <v>0.025449101796407185</v>
      </c>
      <c r="V68" s="57"/>
      <c r="W68" s="56"/>
      <c r="X68" s="15"/>
      <c r="Y68" s="10">
        <v>502661.76</v>
      </c>
      <c r="Z68" s="15">
        <v>0.012394539934053289</v>
      </c>
      <c r="AA68" s="11">
        <v>48</v>
      </c>
      <c r="AB68" s="15">
        <v>0.022048690858980247</v>
      </c>
      <c r="AC68" s="57"/>
      <c r="AD68" s="56"/>
      <c r="AE68" s="56"/>
      <c r="AF68" s="15"/>
      <c r="AG68" s="10">
        <v>618251.45</v>
      </c>
      <c r="AH68" s="15">
        <v>0.011076062474847414</v>
      </c>
      <c r="AI68" s="11">
        <v>57</v>
      </c>
      <c r="AJ68" s="15">
        <v>0.019282814614343707</v>
      </c>
      <c r="AK68" s="57"/>
      <c r="AL68" s="56"/>
      <c r="AM68" s="15"/>
      <c r="AN68" s="10">
        <v>528479.46</v>
      </c>
      <c r="AO68" s="15">
        <v>0.00892408095719858</v>
      </c>
      <c r="AP68" s="11">
        <v>50</v>
      </c>
      <c r="AQ68" s="15">
        <v>0.01697216564833673</v>
      </c>
      <c r="AR68" s="57"/>
      <c r="AS68" s="56"/>
      <c r="AT68" s="15"/>
      <c r="AU68" s="10">
        <v>505816.81</v>
      </c>
      <c r="AV68" s="15">
        <v>0.006586675899981735</v>
      </c>
      <c r="AW68" s="11">
        <v>47</v>
      </c>
      <c r="AX68" s="15">
        <v>0.012897914379802415</v>
      </c>
      <c r="AY68" s="57"/>
      <c r="AZ68" s="56"/>
      <c r="BA68" s="15"/>
      <c r="BB68" s="10">
        <v>454806.2</v>
      </c>
      <c r="BC68" s="15">
        <v>0.005446767471238431</v>
      </c>
      <c r="BD68" s="11">
        <v>42</v>
      </c>
      <c r="BE68" s="15">
        <v>0.011009174311926606</v>
      </c>
      <c r="BF68" s="57"/>
      <c r="BG68" s="56"/>
      <c r="BH68" s="15"/>
      <c r="BI68" s="10">
        <v>390207.64</v>
      </c>
      <c r="BJ68" s="15">
        <v>0.004502953064600395</v>
      </c>
      <c r="BK68" s="11">
        <v>36</v>
      </c>
      <c r="BL68" s="15">
        <v>0.00932884166882612</v>
      </c>
      <c r="BM68" s="57"/>
      <c r="BN68" s="56"/>
      <c r="BO68" s="15"/>
      <c r="BP68" s="10">
        <v>348511.5</v>
      </c>
      <c r="BQ68" s="15">
        <v>0.0033911669425380655</v>
      </c>
      <c r="BR68" s="11">
        <v>34</v>
      </c>
      <c r="BS68" s="15">
        <v>0.007694048427245984</v>
      </c>
      <c r="BT68" s="57"/>
      <c r="BU68" s="56"/>
      <c r="BV68" s="15"/>
      <c r="BW68" s="10">
        <v>146350.36</v>
      </c>
      <c r="BX68" s="15">
        <v>0.0013654386494584996</v>
      </c>
      <c r="BY68" s="11">
        <v>19</v>
      </c>
      <c r="BZ68" s="15">
        <v>0.004222222222222222</v>
      </c>
      <c r="CA68" s="57"/>
      <c r="CB68" s="56"/>
      <c r="CC68" s="15"/>
      <c r="CD68" s="10">
        <v>47803.57</v>
      </c>
      <c r="CE68" s="15">
        <v>0.00041586381822401387</v>
      </c>
      <c r="CF68" s="11">
        <v>5</v>
      </c>
      <c r="CG68" s="15">
        <v>0.0010715816545220746</v>
      </c>
      <c r="CH68" s="57"/>
      <c r="CI68" s="56"/>
      <c r="CJ68" s="15"/>
      <c r="CK68" s="10">
        <v>41116.44</v>
      </c>
      <c r="CL68" s="15">
        <v>0.0003592221680264764</v>
      </c>
      <c r="CM68" s="11">
        <v>4</v>
      </c>
      <c r="CN68" s="15">
        <v>0.0008760402978537013</v>
      </c>
      <c r="CO68" s="57"/>
      <c r="CP68" s="56"/>
      <c r="CQ68" s="15"/>
    </row>
    <row r="69" spans="1:95" ht="12.75">
      <c r="A69" s="9" t="s">
        <v>63</v>
      </c>
      <c r="B69" s="9"/>
      <c r="C69" s="9"/>
      <c r="D69" s="10">
        <v>0</v>
      </c>
      <c r="E69" s="15">
        <v>0</v>
      </c>
      <c r="F69" s="11">
        <v>0</v>
      </c>
      <c r="G69" s="15">
        <v>0</v>
      </c>
      <c r="H69" s="9"/>
      <c r="I69" s="9"/>
      <c r="J69" s="10">
        <v>0</v>
      </c>
      <c r="K69" s="15">
        <v>0</v>
      </c>
      <c r="L69" s="11">
        <v>0</v>
      </c>
      <c r="M69" s="15">
        <v>0</v>
      </c>
      <c r="N69" s="57"/>
      <c r="O69" s="56"/>
      <c r="P69" s="15">
        <v>0</v>
      </c>
      <c r="Q69" s="9"/>
      <c r="R69" s="10">
        <v>0</v>
      </c>
      <c r="S69" s="15">
        <v>0</v>
      </c>
      <c r="T69" s="11">
        <v>0</v>
      </c>
      <c r="U69" s="15">
        <v>0</v>
      </c>
      <c r="V69" s="57"/>
      <c r="W69" s="56"/>
      <c r="X69" s="15"/>
      <c r="Y69" s="10">
        <v>0</v>
      </c>
      <c r="Z69" s="15">
        <v>0</v>
      </c>
      <c r="AA69" s="11">
        <v>0</v>
      </c>
      <c r="AB69" s="15">
        <v>0</v>
      </c>
      <c r="AC69" s="57"/>
      <c r="AD69" s="56"/>
      <c r="AE69" s="56"/>
      <c r="AF69" s="15"/>
      <c r="AG69" s="10">
        <v>0</v>
      </c>
      <c r="AH69" s="15">
        <v>0</v>
      </c>
      <c r="AI69" s="11">
        <v>0</v>
      </c>
      <c r="AJ69" s="15">
        <v>0</v>
      </c>
      <c r="AK69" s="57"/>
      <c r="AL69" s="56"/>
      <c r="AM69" s="15"/>
      <c r="AN69" s="10">
        <v>0</v>
      </c>
      <c r="AO69" s="15">
        <v>0</v>
      </c>
      <c r="AP69" s="11">
        <v>0</v>
      </c>
      <c r="AQ69" s="15">
        <v>0</v>
      </c>
      <c r="AR69" s="57"/>
      <c r="AS69" s="56"/>
      <c r="AT69" s="15"/>
      <c r="AU69" s="10">
        <v>0</v>
      </c>
      <c r="AV69" s="15">
        <v>0</v>
      </c>
      <c r="AW69" s="11">
        <v>0</v>
      </c>
      <c r="AX69" s="15">
        <v>0</v>
      </c>
      <c r="AY69" s="57"/>
      <c r="AZ69" s="56"/>
      <c r="BA69" s="15"/>
      <c r="BB69" s="10">
        <v>0</v>
      </c>
      <c r="BC69" s="15">
        <v>0</v>
      </c>
      <c r="BD69" s="11">
        <v>0</v>
      </c>
      <c r="BE69" s="15">
        <v>0</v>
      </c>
      <c r="BF69" s="57"/>
      <c r="BG69" s="56"/>
      <c r="BH69" s="15"/>
      <c r="BI69" s="10">
        <v>0</v>
      </c>
      <c r="BJ69" s="15">
        <v>0</v>
      </c>
      <c r="BK69" s="11">
        <v>0</v>
      </c>
      <c r="BL69" s="15">
        <v>0</v>
      </c>
      <c r="BM69" s="57"/>
      <c r="BN69" s="56"/>
      <c r="BO69" s="15"/>
      <c r="BP69" s="10">
        <v>0</v>
      </c>
      <c r="BQ69" s="15">
        <v>0</v>
      </c>
      <c r="BR69" s="11">
        <v>0</v>
      </c>
      <c r="BS69" s="15">
        <v>0</v>
      </c>
      <c r="BT69" s="57"/>
      <c r="BU69" s="56"/>
      <c r="BV69" s="15"/>
      <c r="BW69" s="10">
        <v>115801.68</v>
      </c>
      <c r="BX69" s="15">
        <v>0.001080421596121973</v>
      </c>
      <c r="BY69" s="11">
        <v>9</v>
      </c>
      <c r="BZ69" s="15">
        <v>0.002</v>
      </c>
      <c r="CA69" s="57"/>
      <c r="CB69" s="56"/>
      <c r="CC69" s="15"/>
      <c r="CD69" s="10">
        <v>198947.1</v>
      </c>
      <c r="CE69" s="15">
        <v>0.001730726400362875</v>
      </c>
      <c r="CF69" s="11">
        <v>21</v>
      </c>
      <c r="CG69" s="15">
        <v>0.004500642948992713</v>
      </c>
      <c r="CH69" s="57"/>
      <c r="CI69" s="56"/>
      <c r="CJ69" s="15"/>
      <c r="CK69" s="10">
        <v>158315.15</v>
      </c>
      <c r="CL69" s="15">
        <v>0.0013831526127854649</v>
      </c>
      <c r="CM69" s="11">
        <v>18</v>
      </c>
      <c r="CN69" s="15">
        <v>0.003942181340341655</v>
      </c>
      <c r="CO69" s="57"/>
      <c r="CP69" s="56"/>
      <c r="CQ69" s="15"/>
    </row>
    <row r="70" spans="1:95" ht="12.75">
      <c r="A70" s="9"/>
      <c r="B70" s="9"/>
      <c r="C70" s="9"/>
      <c r="D70" s="10"/>
      <c r="E70" s="9"/>
      <c r="F70" s="11"/>
      <c r="G70" s="9"/>
      <c r="H70" s="9"/>
      <c r="I70" s="9"/>
      <c r="J70" s="10"/>
      <c r="K70" s="9"/>
      <c r="L70" s="11"/>
      <c r="N70" s="55"/>
      <c r="O70" s="56"/>
      <c r="P70" s="9"/>
      <c r="Q70" s="9"/>
      <c r="R70" s="10"/>
      <c r="S70" s="9"/>
      <c r="T70" s="11"/>
      <c r="U70" s="35"/>
      <c r="V70" s="55"/>
      <c r="W70" s="56"/>
      <c r="X70" s="9"/>
      <c r="Y70" s="10"/>
      <c r="Z70" s="9"/>
      <c r="AA70" s="11"/>
      <c r="AB70" s="35"/>
      <c r="AC70" s="55"/>
      <c r="AD70" s="56"/>
      <c r="AE70" s="56"/>
      <c r="AF70" s="9"/>
      <c r="AG70" s="10"/>
      <c r="AH70" s="9"/>
      <c r="AI70" s="11"/>
      <c r="AJ70" s="35"/>
      <c r="AK70" s="55"/>
      <c r="AL70" s="56"/>
      <c r="AM70" s="9"/>
      <c r="AN70" s="10"/>
      <c r="AO70" s="9"/>
      <c r="AP70" s="11"/>
      <c r="AQ70" s="35"/>
      <c r="AR70" s="55"/>
      <c r="AS70" s="56"/>
      <c r="AT70" s="9"/>
      <c r="AU70" s="10"/>
      <c r="AV70" s="9"/>
      <c r="AW70" s="11"/>
      <c r="AX70" s="35"/>
      <c r="AY70" s="55"/>
      <c r="AZ70" s="56"/>
      <c r="BA70" s="9"/>
      <c r="BB70" s="10"/>
      <c r="BC70" s="9"/>
      <c r="BD70" s="11"/>
      <c r="BE70" s="35"/>
      <c r="BF70" s="55"/>
      <c r="BG70" s="56"/>
      <c r="BH70" s="9"/>
      <c r="BI70" s="10"/>
      <c r="BJ70" s="9"/>
      <c r="BK70" s="11"/>
      <c r="BL70" s="35"/>
      <c r="BM70" s="55"/>
      <c r="BN70" s="56"/>
      <c r="BO70" s="9"/>
      <c r="BP70" s="10"/>
      <c r="BQ70" s="9"/>
      <c r="BR70" s="11"/>
      <c r="BS70" s="35"/>
      <c r="BT70" s="55"/>
      <c r="BU70" s="56"/>
      <c r="BV70" s="9"/>
      <c r="BW70" s="10"/>
      <c r="BX70" s="9"/>
      <c r="BY70" s="11"/>
      <c r="BZ70" s="35"/>
      <c r="CA70" s="55"/>
      <c r="CB70" s="56"/>
      <c r="CC70" s="9"/>
      <c r="CD70" s="10"/>
      <c r="CE70" s="9"/>
      <c r="CF70" s="11"/>
      <c r="CG70" s="35"/>
      <c r="CH70" s="55"/>
      <c r="CI70" s="56"/>
      <c r="CJ70" s="9"/>
      <c r="CK70" s="10"/>
      <c r="CL70" s="9"/>
      <c r="CM70" s="11"/>
      <c r="CN70" s="35"/>
      <c r="CO70" s="55"/>
      <c r="CP70" s="56"/>
      <c r="CQ70" s="9"/>
    </row>
    <row r="71" spans="1:95" ht="13.5" thickBot="1">
      <c r="A71" s="9"/>
      <c r="B71" s="13"/>
      <c r="C71" s="13"/>
      <c r="D71" s="22">
        <f>SUM(D63:D70)</f>
        <v>9589083.6</v>
      </c>
      <c r="E71" s="13"/>
      <c r="F71" s="23">
        <f>SUM(F63:F69)</f>
        <v>556</v>
      </c>
      <c r="G71" s="13"/>
      <c r="H71" s="13"/>
      <c r="I71" s="13"/>
      <c r="J71" s="22">
        <f>SUM(J63:J69)</f>
        <v>9248915.15</v>
      </c>
      <c r="K71" s="13"/>
      <c r="L71" s="23">
        <f>SUM(L63:L69)</f>
        <v>549</v>
      </c>
      <c r="M71" s="31"/>
      <c r="N71" s="54"/>
      <c r="O71" s="32"/>
      <c r="P71" s="13"/>
      <c r="Q71" s="13"/>
      <c r="R71" s="22">
        <f>SUM(R63:R69)</f>
        <v>23467666.970000003</v>
      </c>
      <c r="S71" s="13"/>
      <c r="T71" s="23">
        <f>SUM(T63:T69)</f>
        <v>1336</v>
      </c>
      <c r="U71" s="31"/>
      <c r="V71" s="54"/>
      <c r="W71" s="32"/>
      <c r="X71" s="13"/>
      <c r="Y71" s="22">
        <f>SUM(Y63:Y69)</f>
        <v>40555096.25000002</v>
      </c>
      <c r="Z71" s="13"/>
      <c r="AA71" s="23">
        <f>SUM(AA63:AA69)</f>
        <v>2177</v>
      </c>
      <c r="AB71" s="31"/>
      <c r="AC71" s="54"/>
      <c r="AD71" s="32"/>
      <c r="AE71" s="32"/>
      <c r="AF71" s="13"/>
      <c r="AG71" s="22">
        <f>SUM(AG63:AG69)</f>
        <v>55818703.75000004</v>
      </c>
      <c r="AH71" s="13"/>
      <c r="AI71" s="23">
        <f>SUM(AI63:AI69)</f>
        <v>2956</v>
      </c>
      <c r="AJ71" s="31"/>
      <c r="AK71" s="54"/>
      <c r="AL71" s="32"/>
      <c r="AM71" s="13"/>
      <c r="AN71" s="22">
        <f>SUM(AN63:AN69)</f>
        <v>59219482.93999999</v>
      </c>
      <c r="AO71" s="13"/>
      <c r="AP71" s="23">
        <f>SUM(AP63:AP69)</f>
        <v>2946</v>
      </c>
      <c r="AQ71" s="31"/>
      <c r="AR71" s="54"/>
      <c r="AS71" s="32"/>
      <c r="AT71" s="13"/>
      <c r="AU71" s="22">
        <f>SUM(AU63:AU69)</f>
        <v>76793942.45000009</v>
      </c>
      <c r="AV71" s="13"/>
      <c r="AW71" s="23">
        <f>SUM(AW63:AW69)</f>
        <v>3644</v>
      </c>
      <c r="AX71" s="31"/>
      <c r="AY71" s="54"/>
      <c r="AZ71" s="32"/>
      <c r="BA71" s="13"/>
      <c r="BB71" s="22">
        <f>SUM(BB63:BB69)</f>
        <v>83500204.92000017</v>
      </c>
      <c r="BC71" s="13"/>
      <c r="BD71" s="23">
        <f>SUM(BD63:BD69)</f>
        <v>3815</v>
      </c>
      <c r="BE71" s="31"/>
      <c r="BF71" s="54"/>
      <c r="BG71" s="32"/>
      <c r="BH71" s="13"/>
      <c r="BI71" s="22">
        <f>SUM(BI63:BI69)</f>
        <v>86655942.09000002</v>
      </c>
      <c r="BJ71" s="13"/>
      <c r="BK71" s="23">
        <f>SUM(BK63:BK69)</f>
        <v>3859</v>
      </c>
      <c r="BL71" s="31"/>
      <c r="BM71" s="54"/>
      <c r="BN71" s="32"/>
      <c r="BO71" s="13"/>
      <c r="BP71" s="22">
        <f>SUM(BP63:BP69)</f>
        <v>102770375.47999983</v>
      </c>
      <c r="BQ71" s="13"/>
      <c r="BR71" s="23">
        <f>SUM(BR63:BR69)</f>
        <v>4419</v>
      </c>
      <c r="BS71" s="31"/>
      <c r="BT71" s="54"/>
      <c r="BU71" s="32"/>
      <c r="BV71" s="13"/>
      <c r="BW71" s="22">
        <f>SUM(BW63:BW69)</f>
        <v>107181937.51000021</v>
      </c>
      <c r="BX71" s="13"/>
      <c r="BY71" s="23">
        <f>SUM(BY63:BY69)</f>
        <v>4500</v>
      </c>
      <c r="BZ71" s="31"/>
      <c r="CA71" s="54"/>
      <c r="CB71" s="32"/>
      <c r="CC71" s="13"/>
      <c r="CD71" s="22">
        <f>SUM(CD63:CD69)</f>
        <v>114950057.93999992</v>
      </c>
      <c r="CE71" s="13"/>
      <c r="CF71" s="23">
        <f>SUM(CF63:CF69)</f>
        <v>4666</v>
      </c>
      <c r="CG71" s="31"/>
      <c r="CH71" s="54"/>
      <c r="CI71" s="32"/>
      <c r="CJ71" s="13"/>
      <c r="CK71" s="22">
        <f>SUM(CK63:CK69)</f>
        <v>114459639.91</v>
      </c>
      <c r="CL71" s="13"/>
      <c r="CM71" s="23">
        <f>SUM(CM63:CM69)</f>
        <v>4566</v>
      </c>
      <c r="CN71" s="31"/>
      <c r="CO71" s="54"/>
      <c r="CP71" s="32"/>
      <c r="CQ71" s="13"/>
    </row>
    <row r="72" spans="1:95" ht="13.5" thickTop="1">
      <c r="A72" s="9"/>
      <c r="B72" s="9"/>
      <c r="C72" s="9"/>
      <c r="D72" s="10"/>
      <c r="E72" s="9"/>
      <c r="F72" s="11"/>
      <c r="G72" s="9"/>
      <c r="H72" s="9"/>
      <c r="I72" s="9"/>
      <c r="J72" s="9"/>
      <c r="K72" s="9"/>
      <c r="L72" s="9"/>
      <c r="M72" s="10"/>
      <c r="N72" s="9"/>
      <c r="O72" s="11"/>
      <c r="P72" s="9"/>
      <c r="Q72" s="9"/>
      <c r="R72" s="9"/>
      <c r="S72" s="9"/>
      <c r="T72" s="9"/>
      <c r="U72" s="10"/>
      <c r="V72" s="9"/>
      <c r="W72" s="11"/>
      <c r="X72" s="9"/>
      <c r="Y72" s="9"/>
      <c r="Z72" s="9"/>
      <c r="AA72" s="9"/>
      <c r="AB72" s="10"/>
      <c r="AC72" s="9"/>
      <c r="AD72" s="11"/>
      <c r="AE72" s="11"/>
      <c r="AF72" s="9"/>
      <c r="AG72" s="9"/>
      <c r="AH72" s="9"/>
      <c r="AI72" s="9"/>
      <c r="AJ72" s="10"/>
      <c r="AK72" s="9"/>
      <c r="AL72" s="11"/>
      <c r="AM72" s="9"/>
      <c r="AN72" s="9"/>
      <c r="AO72" s="9"/>
      <c r="AP72" s="9"/>
      <c r="AQ72" s="10"/>
      <c r="AR72" s="9"/>
      <c r="AS72" s="11"/>
      <c r="AT72" s="9"/>
      <c r="AU72" s="9"/>
      <c r="AV72" s="9"/>
      <c r="AW72" s="9"/>
      <c r="AX72" s="10"/>
      <c r="AY72" s="9"/>
      <c r="AZ72" s="11"/>
      <c r="BA72" s="9"/>
      <c r="BB72" s="9"/>
      <c r="BC72" s="9"/>
      <c r="BD72" s="9"/>
      <c r="BE72" s="10"/>
      <c r="BF72" s="9"/>
      <c r="BG72" s="11"/>
      <c r="BH72" s="9"/>
      <c r="BI72" s="9"/>
      <c r="BJ72" s="9"/>
      <c r="BK72" s="9"/>
      <c r="BL72" s="10"/>
      <c r="BM72" s="9"/>
      <c r="BN72" s="11"/>
      <c r="BO72" s="9"/>
      <c r="BP72" s="9"/>
      <c r="BQ72" s="9"/>
      <c r="BR72" s="9"/>
      <c r="BS72" s="10"/>
      <c r="BT72" s="9"/>
      <c r="BU72" s="11"/>
      <c r="BV72" s="9"/>
      <c r="BW72" s="9"/>
      <c r="BX72" s="9"/>
      <c r="BY72" s="9"/>
      <c r="BZ72" s="10"/>
      <c r="CA72" s="9"/>
      <c r="CB72" s="11"/>
      <c r="CC72" s="9"/>
      <c r="CD72" s="9"/>
      <c r="CE72" s="9"/>
      <c r="CF72" s="9"/>
      <c r="CG72" s="10"/>
      <c r="CH72" s="9"/>
      <c r="CI72" s="11"/>
      <c r="CJ72" s="9"/>
      <c r="CK72" s="9"/>
      <c r="CL72" s="9"/>
      <c r="CM72" s="9"/>
      <c r="CN72" s="10"/>
      <c r="CO72" s="9"/>
      <c r="CP72" s="11"/>
      <c r="CQ72" s="9"/>
    </row>
    <row r="73" spans="1:95" ht="12.75">
      <c r="A73" s="9"/>
      <c r="B73" s="9"/>
      <c r="C73" s="9"/>
      <c r="D73" s="10"/>
      <c r="E73" s="9"/>
      <c r="F73" s="11"/>
      <c r="G73" s="9"/>
      <c r="H73" s="9"/>
      <c r="I73" s="9"/>
      <c r="J73" s="9"/>
      <c r="K73" s="9"/>
      <c r="L73" s="9"/>
      <c r="M73" s="10"/>
      <c r="N73" s="9"/>
      <c r="O73" s="11"/>
      <c r="P73" s="9"/>
      <c r="Q73" s="9"/>
      <c r="R73" s="9"/>
      <c r="S73" s="9"/>
      <c r="T73" s="9"/>
      <c r="U73" s="10"/>
      <c r="V73" s="9"/>
      <c r="W73" s="11"/>
      <c r="X73" s="9"/>
      <c r="Y73" s="9"/>
      <c r="Z73" s="9"/>
      <c r="AA73" s="9"/>
      <c r="AB73" s="10"/>
      <c r="AC73" s="9"/>
      <c r="AD73" s="11"/>
      <c r="AE73" s="11"/>
      <c r="AF73" s="9"/>
      <c r="AG73" s="9"/>
      <c r="AH73" s="9"/>
      <c r="AI73" s="9"/>
      <c r="AJ73" s="10"/>
      <c r="AK73" s="9"/>
      <c r="AL73" s="11"/>
      <c r="AM73" s="9"/>
      <c r="AN73" s="9"/>
      <c r="AO73" s="9"/>
      <c r="AP73" s="9"/>
      <c r="AQ73" s="10"/>
      <c r="AR73" s="9"/>
      <c r="AS73" s="11"/>
      <c r="AT73" s="9"/>
      <c r="AU73" s="9"/>
      <c r="AV73" s="9"/>
      <c r="AW73" s="9"/>
      <c r="AX73" s="10"/>
      <c r="AY73" s="9"/>
      <c r="AZ73" s="11"/>
      <c r="BA73" s="9"/>
      <c r="BB73" s="9"/>
      <c r="BC73" s="9"/>
      <c r="BD73" s="9"/>
      <c r="BE73" s="10"/>
      <c r="BF73" s="9"/>
      <c r="BG73" s="11"/>
      <c r="BH73" s="9"/>
      <c r="BI73" s="9"/>
      <c r="BJ73" s="9"/>
      <c r="BK73" s="9"/>
      <c r="BL73" s="10"/>
      <c r="BM73" s="9"/>
      <c r="BN73" s="11"/>
      <c r="BO73" s="9"/>
      <c r="BP73" s="9"/>
      <c r="BQ73" s="9"/>
      <c r="BR73" s="9"/>
      <c r="BS73" s="10"/>
      <c r="BT73" s="9"/>
      <c r="BU73" s="11"/>
      <c r="BV73" s="9"/>
      <c r="BW73" s="9"/>
      <c r="BX73" s="9"/>
      <c r="BY73" s="9"/>
      <c r="BZ73" s="10"/>
      <c r="CA73" s="9"/>
      <c r="CB73" s="11"/>
      <c r="CC73" s="9"/>
      <c r="CD73" s="9"/>
      <c r="CE73" s="9"/>
      <c r="CF73" s="9"/>
      <c r="CG73" s="10"/>
      <c r="CH73" s="9"/>
      <c r="CI73" s="11"/>
      <c r="CJ73" s="9"/>
      <c r="CK73" s="9"/>
      <c r="CL73" s="9"/>
      <c r="CM73" s="9"/>
      <c r="CN73" s="10"/>
      <c r="CO73" s="9"/>
      <c r="CP73" s="11"/>
      <c r="CQ73" s="9"/>
    </row>
    <row r="74" spans="1:95" ht="12.75">
      <c r="A74" s="20" t="s">
        <v>106</v>
      </c>
      <c r="B74" s="9"/>
      <c r="C74" s="9"/>
      <c r="D74" s="10"/>
      <c r="E74" s="9"/>
      <c r="F74" s="11"/>
      <c r="G74" s="9"/>
      <c r="H74" s="9"/>
      <c r="I74" s="9"/>
      <c r="J74" s="20" t="s">
        <v>106</v>
      </c>
      <c r="K74" s="9"/>
      <c r="L74" s="9"/>
      <c r="M74" s="10"/>
      <c r="N74" s="9"/>
      <c r="O74" s="11"/>
      <c r="P74" s="9"/>
      <c r="Q74" s="9"/>
      <c r="R74" s="20" t="s">
        <v>106</v>
      </c>
      <c r="S74" s="9"/>
      <c r="T74" s="9"/>
      <c r="U74" s="10"/>
      <c r="V74" s="9"/>
      <c r="W74" s="11"/>
      <c r="X74" s="9"/>
      <c r="Y74" s="20" t="s">
        <v>106</v>
      </c>
      <c r="Z74" s="9"/>
      <c r="AA74" s="9"/>
      <c r="AB74" s="10"/>
      <c r="AC74" s="9"/>
      <c r="AD74" s="11"/>
      <c r="AE74" s="11"/>
      <c r="AF74" s="9"/>
      <c r="AG74" s="20" t="s">
        <v>106</v>
      </c>
      <c r="AH74" s="9"/>
      <c r="AI74" s="9"/>
      <c r="AJ74" s="10"/>
      <c r="AK74" s="9"/>
      <c r="AL74" s="11"/>
      <c r="AM74" s="9"/>
      <c r="AN74" s="20" t="s">
        <v>106</v>
      </c>
      <c r="AO74" s="9"/>
      <c r="AP74" s="9"/>
      <c r="AQ74" s="10"/>
      <c r="AR74" s="9"/>
      <c r="AS74" s="11"/>
      <c r="AT74" s="9"/>
      <c r="AU74" s="20" t="s">
        <v>106</v>
      </c>
      <c r="AV74" s="9"/>
      <c r="AW74" s="9"/>
      <c r="AX74" s="10"/>
      <c r="AY74" s="9"/>
      <c r="AZ74" s="11"/>
      <c r="BA74" s="9"/>
      <c r="BB74" s="20" t="s">
        <v>106</v>
      </c>
      <c r="BC74" s="9"/>
      <c r="BD74" s="9"/>
      <c r="BE74" s="10"/>
      <c r="BF74" s="9"/>
      <c r="BG74" s="11"/>
      <c r="BH74" s="9"/>
      <c r="BI74" s="20" t="s">
        <v>106</v>
      </c>
      <c r="BJ74" s="9"/>
      <c r="BK74" s="9"/>
      <c r="BL74" s="10"/>
      <c r="BM74" s="9"/>
      <c r="BN74" s="11"/>
      <c r="BO74" s="9"/>
      <c r="BP74" s="20" t="s">
        <v>106</v>
      </c>
      <c r="BQ74" s="9"/>
      <c r="BR74" s="9"/>
      <c r="BS74" s="10"/>
      <c r="BT74" s="9"/>
      <c r="BU74" s="11"/>
      <c r="BV74" s="9"/>
      <c r="BW74" s="20" t="s">
        <v>106</v>
      </c>
      <c r="BX74" s="9"/>
      <c r="BY74" s="9"/>
      <c r="BZ74" s="10"/>
      <c r="CA74" s="9"/>
      <c r="CB74" s="11"/>
      <c r="CC74" s="9"/>
      <c r="CD74" s="20" t="s">
        <v>106</v>
      </c>
      <c r="CE74" s="9"/>
      <c r="CF74" s="9"/>
      <c r="CG74" s="10"/>
      <c r="CH74" s="9"/>
      <c r="CI74" s="11"/>
      <c r="CJ74" s="9"/>
      <c r="CK74" s="20" t="s">
        <v>106</v>
      </c>
      <c r="CL74" s="9"/>
      <c r="CM74" s="9"/>
      <c r="CN74" s="10"/>
      <c r="CO74" s="9"/>
      <c r="CP74" s="11"/>
      <c r="CQ74" s="9"/>
    </row>
    <row r="75" spans="1:95" ht="12.75">
      <c r="A75" s="20"/>
      <c r="B75" s="9"/>
      <c r="C75" s="9"/>
      <c r="D75" s="10"/>
      <c r="E75" s="9"/>
      <c r="F75" s="11"/>
      <c r="G75" s="9"/>
      <c r="H75" s="9"/>
      <c r="I75" s="9"/>
      <c r="J75" s="20"/>
      <c r="K75" s="9"/>
      <c r="L75" s="9"/>
      <c r="M75" s="10"/>
      <c r="N75" s="9"/>
      <c r="O75" s="11"/>
      <c r="P75" s="9"/>
      <c r="Q75" s="9"/>
      <c r="R75" s="20"/>
      <c r="S75" s="9"/>
      <c r="T75" s="9"/>
      <c r="U75" s="10"/>
      <c r="V75" s="9"/>
      <c r="W75" s="11"/>
      <c r="X75" s="9"/>
      <c r="Y75" s="20"/>
      <c r="Z75" s="9"/>
      <c r="AA75" s="9"/>
      <c r="AB75" s="10"/>
      <c r="AC75" s="9"/>
      <c r="AD75" s="11"/>
      <c r="AE75" s="11"/>
      <c r="AF75" s="9"/>
      <c r="AG75" s="20"/>
      <c r="AH75" s="9"/>
      <c r="AI75" s="9"/>
      <c r="AJ75" s="10"/>
      <c r="AK75" s="9"/>
      <c r="AL75" s="11"/>
      <c r="AM75" s="9"/>
      <c r="AN75" s="20"/>
      <c r="AO75" s="9"/>
      <c r="AP75" s="9"/>
      <c r="AQ75" s="10"/>
      <c r="AR75" s="9"/>
      <c r="AS75" s="11"/>
      <c r="AT75" s="9"/>
      <c r="AU75" s="20"/>
      <c r="AV75" s="9"/>
      <c r="AW75" s="9"/>
      <c r="AX75" s="10"/>
      <c r="AY75" s="9"/>
      <c r="AZ75" s="11"/>
      <c r="BA75" s="9"/>
      <c r="BB75" s="20"/>
      <c r="BC75" s="9"/>
      <c r="BD75" s="9"/>
      <c r="BE75" s="10"/>
      <c r="BF75" s="9"/>
      <c r="BG75" s="11"/>
      <c r="BH75" s="9"/>
      <c r="BI75" s="20"/>
      <c r="BJ75" s="9"/>
      <c r="BK75" s="9"/>
      <c r="BL75" s="10"/>
      <c r="BM75" s="9"/>
      <c r="BN75" s="11"/>
      <c r="BO75" s="9"/>
      <c r="BP75" s="20"/>
      <c r="BQ75" s="9"/>
      <c r="BR75" s="9"/>
      <c r="BS75" s="10"/>
      <c r="BT75" s="9"/>
      <c r="BU75" s="11"/>
      <c r="BV75" s="9"/>
      <c r="BW75" s="20"/>
      <c r="BX75" s="9"/>
      <c r="BY75" s="9"/>
      <c r="BZ75" s="10"/>
      <c r="CA75" s="9"/>
      <c r="CB75" s="11"/>
      <c r="CC75" s="9"/>
      <c r="CD75" s="20"/>
      <c r="CE75" s="9"/>
      <c r="CF75" s="9"/>
      <c r="CG75" s="10"/>
      <c r="CH75" s="9"/>
      <c r="CI75" s="11"/>
      <c r="CJ75" s="9"/>
      <c r="CK75" s="20"/>
      <c r="CL75" s="9"/>
      <c r="CM75" s="9"/>
      <c r="CN75" s="10"/>
      <c r="CO75" s="9"/>
      <c r="CP75" s="11"/>
      <c r="CQ75" s="9"/>
    </row>
    <row r="76" spans="1:95" s="30" customFormat="1" ht="12.75">
      <c r="A76" s="26"/>
      <c r="B76" s="27"/>
      <c r="C76" s="27"/>
      <c r="D76" s="28" t="s">
        <v>143</v>
      </c>
      <c r="E76" s="27" t="s">
        <v>96</v>
      </c>
      <c r="F76" s="29" t="s">
        <v>97</v>
      </c>
      <c r="G76" s="27" t="s">
        <v>96</v>
      </c>
      <c r="H76" s="26"/>
      <c r="I76" s="26"/>
      <c r="J76" s="28" t="s">
        <v>143</v>
      </c>
      <c r="K76" s="27" t="s">
        <v>96</v>
      </c>
      <c r="L76" s="29" t="s">
        <v>97</v>
      </c>
      <c r="M76" s="27" t="s">
        <v>96</v>
      </c>
      <c r="N76" s="65"/>
      <c r="O76" s="66"/>
      <c r="P76" s="13" t="s">
        <v>132</v>
      </c>
      <c r="Q76" s="26"/>
      <c r="R76" s="28" t="s">
        <v>143</v>
      </c>
      <c r="S76" s="27" t="s">
        <v>96</v>
      </c>
      <c r="T76" s="29" t="s">
        <v>97</v>
      </c>
      <c r="U76" s="27" t="s">
        <v>96</v>
      </c>
      <c r="V76" s="65"/>
      <c r="W76" s="66"/>
      <c r="X76" s="13"/>
      <c r="Y76" s="28" t="s">
        <v>143</v>
      </c>
      <c r="Z76" s="27" t="s">
        <v>96</v>
      </c>
      <c r="AA76" s="29" t="s">
        <v>97</v>
      </c>
      <c r="AB76" s="27" t="s">
        <v>96</v>
      </c>
      <c r="AC76" s="65"/>
      <c r="AD76" s="66"/>
      <c r="AE76" s="66"/>
      <c r="AF76" s="13"/>
      <c r="AG76" s="28" t="s">
        <v>143</v>
      </c>
      <c r="AH76" s="27" t="s">
        <v>96</v>
      </c>
      <c r="AI76" s="29" t="s">
        <v>97</v>
      </c>
      <c r="AJ76" s="27" t="s">
        <v>96</v>
      </c>
      <c r="AK76" s="65"/>
      <c r="AL76" s="66"/>
      <c r="AM76" s="13"/>
      <c r="AN76" s="94" t="s">
        <v>143</v>
      </c>
      <c r="AO76" s="45" t="s">
        <v>96</v>
      </c>
      <c r="AP76" s="93" t="s">
        <v>97</v>
      </c>
      <c r="AQ76" s="45" t="s">
        <v>96</v>
      </c>
      <c r="AR76" s="65"/>
      <c r="AS76" s="66"/>
      <c r="AT76" s="13"/>
      <c r="AU76" s="94" t="s">
        <v>143</v>
      </c>
      <c r="AV76" s="45" t="s">
        <v>96</v>
      </c>
      <c r="AW76" s="93" t="s">
        <v>97</v>
      </c>
      <c r="AX76" s="45" t="s">
        <v>96</v>
      </c>
      <c r="AY76" s="65"/>
      <c r="AZ76" s="66"/>
      <c r="BA76" s="13"/>
      <c r="BB76" s="94" t="s">
        <v>143</v>
      </c>
      <c r="BC76" s="45" t="s">
        <v>96</v>
      </c>
      <c r="BD76" s="93" t="s">
        <v>97</v>
      </c>
      <c r="BE76" s="45" t="s">
        <v>96</v>
      </c>
      <c r="BF76" s="65"/>
      <c r="BG76" s="66"/>
      <c r="BH76" s="13"/>
      <c r="BI76" s="94" t="s">
        <v>143</v>
      </c>
      <c r="BJ76" s="45" t="s">
        <v>96</v>
      </c>
      <c r="BK76" s="93" t="s">
        <v>97</v>
      </c>
      <c r="BL76" s="45" t="s">
        <v>96</v>
      </c>
      <c r="BM76" s="65"/>
      <c r="BN76" s="66"/>
      <c r="BO76" s="13"/>
      <c r="BP76" s="94" t="s">
        <v>143</v>
      </c>
      <c r="BQ76" s="45" t="s">
        <v>96</v>
      </c>
      <c r="BR76" s="93" t="s">
        <v>97</v>
      </c>
      <c r="BS76" s="45" t="s">
        <v>96</v>
      </c>
      <c r="BT76" s="65"/>
      <c r="BU76" s="66"/>
      <c r="BV76" s="13"/>
      <c r="BW76" s="94" t="s">
        <v>143</v>
      </c>
      <c r="BX76" s="45" t="s">
        <v>96</v>
      </c>
      <c r="BY76" s="93" t="s">
        <v>97</v>
      </c>
      <c r="BZ76" s="45" t="s">
        <v>96</v>
      </c>
      <c r="CA76" s="65"/>
      <c r="CB76" s="66"/>
      <c r="CC76" s="13"/>
      <c r="CD76" s="94" t="s">
        <v>143</v>
      </c>
      <c r="CE76" s="45" t="s">
        <v>96</v>
      </c>
      <c r="CF76" s="93" t="s">
        <v>97</v>
      </c>
      <c r="CG76" s="45" t="s">
        <v>96</v>
      </c>
      <c r="CH76" s="65"/>
      <c r="CI76" s="66"/>
      <c r="CJ76" s="13"/>
      <c r="CK76" s="94" t="s">
        <v>143</v>
      </c>
      <c r="CL76" s="45" t="s">
        <v>96</v>
      </c>
      <c r="CM76" s="93" t="s">
        <v>97</v>
      </c>
      <c r="CN76" s="45" t="s">
        <v>96</v>
      </c>
      <c r="CO76" s="65"/>
      <c r="CP76" s="66"/>
      <c r="CQ76" s="13"/>
    </row>
    <row r="77" spans="1:95" ht="12.75">
      <c r="A77" s="13"/>
      <c r="B77" s="9"/>
      <c r="C77" s="9"/>
      <c r="D77" s="10"/>
      <c r="E77" s="9"/>
      <c r="F77" s="11"/>
      <c r="G77" s="9"/>
      <c r="H77" s="9"/>
      <c r="I77" s="9"/>
      <c r="J77" s="10"/>
      <c r="K77" s="9"/>
      <c r="L77" s="11"/>
      <c r="N77" s="55"/>
      <c r="O77" s="56"/>
      <c r="P77" s="9"/>
      <c r="Q77" s="9"/>
      <c r="R77" s="10"/>
      <c r="S77" s="9"/>
      <c r="T77" s="11"/>
      <c r="U77" s="35"/>
      <c r="V77" s="55"/>
      <c r="W77" s="56"/>
      <c r="X77" s="9"/>
      <c r="Y77" s="10"/>
      <c r="Z77" s="9"/>
      <c r="AA77" s="11"/>
      <c r="AB77" s="35"/>
      <c r="AC77" s="55"/>
      <c r="AD77" s="56"/>
      <c r="AE77" s="56"/>
      <c r="AF77" s="9"/>
      <c r="AG77" s="10"/>
      <c r="AH77" s="9"/>
      <c r="AI77" s="11"/>
      <c r="AJ77" s="35"/>
      <c r="AK77" s="55"/>
      <c r="AL77" s="56"/>
      <c r="AM77" s="9"/>
      <c r="AN77" s="10"/>
      <c r="AO77" s="9"/>
      <c r="AP77" s="11"/>
      <c r="AQ77" s="35"/>
      <c r="AR77" s="55"/>
      <c r="AS77" s="56"/>
      <c r="AT77" s="9"/>
      <c r="AU77" s="10"/>
      <c r="AV77" s="9"/>
      <c r="AW77" s="11"/>
      <c r="AX77" s="35"/>
      <c r="AY77" s="55"/>
      <c r="AZ77" s="56"/>
      <c r="BA77" s="9"/>
      <c r="BB77" s="10"/>
      <c r="BC77" s="9"/>
      <c r="BD77" s="11"/>
      <c r="BE77" s="35"/>
      <c r="BF77" s="55"/>
      <c r="BG77" s="56"/>
      <c r="BH77" s="9"/>
      <c r="BI77" s="10"/>
      <c r="BJ77" s="9"/>
      <c r="BK77" s="11"/>
      <c r="BL77" s="35"/>
      <c r="BM77" s="55"/>
      <c r="BN77" s="56"/>
      <c r="BO77" s="9"/>
      <c r="BP77" s="10"/>
      <c r="BQ77" s="9"/>
      <c r="BR77" s="11"/>
      <c r="BS77" s="35"/>
      <c r="BT77" s="55"/>
      <c r="BU77" s="56"/>
      <c r="BV77" s="9"/>
      <c r="BW77" s="10"/>
      <c r="BX77" s="9"/>
      <c r="BY77" s="11"/>
      <c r="BZ77" s="35"/>
      <c r="CA77" s="55"/>
      <c r="CB77" s="56"/>
      <c r="CC77" s="9"/>
      <c r="CD77" s="10"/>
      <c r="CE77" s="9"/>
      <c r="CF77" s="11"/>
      <c r="CG77" s="35"/>
      <c r="CH77" s="55"/>
      <c r="CI77" s="56"/>
      <c r="CJ77" s="9"/>
      <c r="CK77" s="10"/>
      <c r="CL77" s="9"/>
      <c r="CM77" s="11"/>
      <c r="CN77" s="35"/>
      <c r="CO77" s="55"/>
      <c r="CP77" s="56"/>
      <c r="CQ77" s="9"/>
    </row>
    <row r="78" spans="1:95" ht="12.75">
      <c r="A78" s="9" t="s">
        <v>24</v>
      </c>
      <c r="B78" s="9"/>
      <c r="C78" s="9"/>
      <c r="D78" s="10">
        <v>0</v>
      </c>
      <c r="E78" s="15">
        <v>0</v>
      </c>
      <c r="F78" s="11">
        <v>0</v>
      </c>
      <c r="G78" s="15">
        <v>0</v>
      </c>
      <c r="H78" s="9"/>
      <c r="I78" s="9"/>
      <c r="J78" s="10">
        <v>0</v>
      </c>
      <c r="K78" s="15">
        <v>0</v>
      </c>
      <c r="L78" s="11">
        <v>0</v>
      </c>
      <c r="M78" s="15">
        <v>0</v>
      </c>
      <c r="N78" s="57"/>
      <c r="O78" s="56"/>
      <c r="P78" s="15">
        <v>0.0011179429849077697</v>
      </c>
      <c r="Q78" s="9"/>
      <c r="R78" s="10">
        <v>28964.83</v>
      </c>
      <c r="S78" s="15">
        <v>0.0012342441213703656</v>
      </c>
      <c r="T78" s="11">
        <v>34</v>
      </c>
      <c r="U78" s="15">
        <v>0.025449101796407185</v>
      </c>
      <c r="V78" s="57"/>
      <c r="W78" s="56"/>
      <c r="X78" s="15"/>
      <c r="Y78" s="10">
        <v>15354.44</v>
      </c>
      <c r="Z78" s="15">
        <v>0.00037860691798999215</v>
      </c>
      <c r="AA78" s="11">
        <v>27</v>
      </c>
      <c r="AB78" s="15">
        <v>0.01240238860817639</v>
      </c>
      <c r="AC78" s="57"/>
      <c r="AD78" s="56"/>
      <c r="AE78" s="56"/>
      <c r="AF78" s="15"/>
      <c r="AG78" s="10">
        <v>0</v>
      </c>
      <c r="AH78" s="15">
        <v>0</v>
      </c>
      <c r="AI78" s="11">
        <v>0</v>
      </c>
      <c r="AJ78" s="15">
        <v>0</v>
      </c>
      <c r="AK78" s="57"/>
      <c r="AL78" s="56"/>
      <c r="AM78" s="15"/>
      <c r="AN78" s="10">
        <v>0</v>
      </c>
      <c r="AO78" s="15">
        <v>0</v>
      </c>
      <c r="AP78" s="11">
        <v>0</v>
      </c>
      <c r="AQ78" s="15">
        <v>0</v>
      </c>
      <c r="AR78" s="57"/>
      <c r="AS78" s="56"/>
      <c r="AT78" s="15"/>
      <c r="AU78" s="10">
        <v>0</v>
      </c>
      <c r="AV78" s="15">
        <v>0</v>
      </c>
      <c r="AW78" s="11">
        <v>0</v>
      </c>
      <c r="AX78" s="15">
        <v>0</v>
      </c>
      <c r="AY78" s="57"/>
      <c r="AZ78" s="56"/>
      <c r="BA78" s="15"/>
      <c r="BB78" s="10">
        <v>0</v>
      </c>
      <c r="BC78" s="15">
        <v>0</v>
      </c>
      <c r="BD78" s="11">
        <v>0</v>
      </c>
      <c r="BE78" s="15">
        <v>0</v>
      </c>
      <c r="BF78" s="57"/>
      <c r="BG78" s="56"/>
      <c r="BH78" s="15"/>
      <c r="BI78" s="10">
        <v>0</v>
      </c>
      <c r="BJ78" s="15">
        <v>0</v>
      </c>
      <c r="BK78" s="11">
        <v>0</v>
      </c>
      <c r="BL78" s="15">
        <v>0</v>
      </c>
      <c r="BM78" s="57"/>
      <c r="BN78" s="56"/>
      <c r="BO78" s="15"/>
      <c r="BP78" s="10">
        <v>9927.35</v>
      </c>
      <c r="BQ78" s="15">
        <v>9.65973896040883E-05</v>
      </c>
      <c r="BR78" s="11">
        <v>4</v>
      </c>
      <c r="BS78" s="15">
        <v>0.0009051821679112921</v>
      </c>
      <c r="BT78" s="57"/>
      <c r="BU78" s="56"/>
      <c r="BV78" s="15"/>
      <c r="BW78" s="10">
        <v>14222.26</v>
      </c>
      <c r="BX78" s="15">
        <v>0.00013269269366093586</v>
      </c>
      <c r="BY78" s="11">
        <v>7</v>
      </c>
      <c r="BZ78" s="15">
        <v>0.0015555555555555555</v>
      </c>
      <c r="CA78" s="57"/>
      <c r="CB78" s="56"/>
      <c r="CC78" s="15"/>
      <c r="CD78" s="10">
        <v>21017.72</v>
      </c>
      <c r="CE78" s="15">
        <v>0.00018284218709111512</v>
      </c>
      <c r="CF78" s="11">
        <v>12</v>
      </c>
      <c r="CG78" s="15">
        <v>0.002571795970852979</v>
      </c>
      <c r="CH78" s="57"/>
      <c r="CI78" s="56"/>
      <c r="CJ78" s="15"/>
      <c r="CK78" s="10">
        <v>14235.6</v>
      </c>
      <c r="CL78" s="15">
        <v>0.000124372224228501</v>
      </c>
      <c r="CM78" s="11">
        <v>12</v>
      </c>
      <c r="CN78" s="15">
        <v>0.002628120893561104</v>
      </c>
      <c r="CO78" s="57"/>
      <c r="CP78" s="56"/>
      <c r="CQ78" s="15"/>
    </row>
    <row r="79" spans="1:95" ht="12.75">
      <c r="A79" s="9" t="s">
        <v>25</v>
      </c>
      <c r="B79" s="9"/>
      <c r="C79" s="9"/>
      <c r="D79" s="10">
        <v>0</v>
      </c>
      <c r="E79" s="15">
        <v>0</v>
      </c>
      <c r="F79" s="11">
        <v>0</v>
      </c>
      <c r="G79" s="15">
        <v>0</v>
      </c>
      <c r="H79" s="9"/>
      <c r="I79" s="9"/>
      <c r="J79" s="10">
        <v>0</v>
      </c>
      <c r="K79" s="15">
        <v>0</v>
      </c>
      <c r="L79" s="11">
        <v>0</v>
      </c>
      <c r="M79" s="15">
        <v>0</v>
      </c>
      <c r="N79" s="57"/>
      <c r="O79" s="56"/>
      <c r="P79" s="15">
        <v>0</v>
      </c>
      <c r="Q79" s="9"/>
      <c r="R79" s="10">
        <v>0</v>
      </c>
      <c r="S79" s="15">
        <v>0</v>
      </c>
      <c r="T79" s="11">
        <v>0</v>
      </c>
      <c r="U79" s="15">
        <v>0</v>
      </c>
      <c r="V79" s="57"/>
      <c r="W79" s="56"/>
      <c r="X79" s="15"/>
      <c r="Y79" s="10">
        <v>0</v>
      </c>
      <c r="Z79" s="15">
        <v>0</v>
      </c>
      <c r="AA79" s="11">
        <v>0</v>
      </c>
      <c r="AB79" s="15">
        <v>0</v>
      </c>
      <c r="AC79" s="57"/>
      <c r="AD79" s="56"/>
      <c r="AE79" s="56"/>
      <c r="AF79" s="15"/>
      <c r="AG79" s="10">
        <v>6350.46</v>
      </c>
      <c r="AH79" s="15">
        <v>0.00011376939221738906</v>
      </c>
      <c r="AI79" s="11">
        <v>2</v>
      </c>
      <c r="AJ79" s="15">
        <v>0.0006765899864682003</v>
      </c>
      <c r="AK79" s="57"/>
      <c r="AL79" s="56"/>
      <c r="AM79" s="15"/>
      <c r="AN79" s="10">
        <v>19535.94</v>
      </c>
      <c r="AO79" s="15">
        <v>0.000329890418323872</v>
      </c>
      <c r="AP79" s="11">
        <v>5</v>
      </c>
      <c r="AQ79" s="15">
        <v>0.0016972165648336728</v>
      </c>
      <c r="AR79" s="57"/>
      <c r="AS79" s="56"/>
      <c r="AT79" s="15"/>
      <c r="AU79" s="10">
        <v>48076.31</v>
      </c>
      <c r="AV79" s="15">
        <v>0.0006260429985255954</v>
      </c>
      <c r="AW79" s="11">
        <v>11</v>
      </c>
      <c r="AX79" s="15">
        <v>0.0030186608122941823</v>
      </c>
      <c r="AY79" s="57"/>
      <c r="AZ79" s="56"/>
      <c r="BA79" s="15"/>
      <c r="BB79" s="10">
        <v>70962.82</v>
      </c>
      <c r="BC79" s="15">
        <v>0.0008498520460876487</v>
      </c>
      <c r="BD79" s="11">
        <v>18</v>
      </c>
      <c r="BE79" s="15">
        <v>0.00471821756225426</v>
      </c>
      <c r="BF79" s="57"/>
      <c r="BG79" s="56"/>
      <c r="BH79" s="15"/>
      <c r="BI79" s="10">
        <v>63966.66</v>
      </c>
      <c r="BJ79" s="15">
        <v>0.0007381681908617975</v>
      </c>
      <c r="BK79" s="11">
        <v>19</v>
      </c>
      <c r="BL79" s="15">
        <v>0.004923555325213786</v>
      </c>
      <c r="BM79" s="57"/>
      <c r="BN79" s="56"/>
      <c r="BO79" s="15"/>
      <c r="BP79" s="10">
        <v>53229.87</v>
      </c>
      <c r="BQ79" s="15">
        <v>0.0005179495525961077</v>
      </c>
      <c r="BR79" s="11">
        <v>19</v>
      </c>
      <c r="BS79" s="15">
        <v>0.004299615297578638</v>
      </c>
      <c r="BT79" s="57"/>
      <c r="BU79" s="56"/>
      <c r="BV79" s="15"/>
      <c r="BW79" s="10">
        <v>36414.22</v>
      </c>
      <c r="BX79" s="15">
        <v>0.00033974213235884624</v>
      </c>
      <c r="BY79" s="11">
        <v>13</v>
      </c>
      <c r="BZ79" s="15">
        <v>0.0028888888888888888</v>
      </c>
      <c r="CA79" s="57"/>
      <c r="CB79" s="56"/>
      <c r="CC79" s="15"/>
      <c r="CD79" s="10">
        <v>45178.61</v>
      </c>
      <c r="CE79" s="15">
        <v>0.0003930281620526169</v>
      </c>
      <c r="CF79" s="11">
        <v>15</v>
      </c>
      <c r="CG79" s="15">
        <v>0.0032147449635662236</v>
      </c>
      <c r="CH79" s="57"/>
      <c r="CI79" s="56"/>
      <c r="CJ79" s="15"/>
      <c r="CK79" s="10">
        <v>201672.42</v>
      </c>
      <c r="CL79" s="15">
        <v>0.001761952249356854</v>
      </c>
      <c r="CM79" s="11">
        <v>53</v>
      </c>
      <c r="CN79" s="15">
        <v>0.011607533946561542</v>
      </c>
      <c r="CO79" s="57"/>
      <c r="CP79" s="56"/>
      <c r="CQ79" s="15"/>
    </row>
    <row r="80" spans="1:95" ht="12.75">
      <c r="A80" s="9" t="s">
        <v>26</v>
      </c>
      <c r="B80" s="9"/>
      <c r="C80" s="9"/>
      <c r="D80" s="10">
        <v>46111.16</v>
      </c>
      <c r="E80" s="15">
        <v>0.004808713942174829</v>
      </c>
      <c r="F80" s="11">
        <v>8</v>
      </c>
      <c r="G80" s="15">
        <v>0.014388489208633094</v>
      </c>
      <c r="H80" s="9"/>
      <c r="I80" s="9"/>
      <c r="J80" s="10">
        <v>38103.78</v>
      </c>
      <c r="K80" s="15">
        <v>0.004119810743425406</v>
      </c>
      <c r="L80" s="11">
        <v>8</v>
      </c>
      <c r="M80" s="15">
        <v>0.014571948998178506</v>
      </c>
      <c r="N80" s="57"/>
      <c r="O80" s="56"/>
      <c r="P80" s="15">
        <v>0.009502515371716043</v>
      </c>
      <c r="Q80" s="9"/>
      <c r="R80" s="10">
        <v>77317.86</v>
      </c>
      <c r="S80" s="15">
        <v>0.0032946547306487543</v>
      </c>
      <c r="T80" s="11">
        <v>14</v>
      </c>
      <c r="U80" s="15">
        <v>0.010479041916167664</v>
      </c>
      <c r="V80" s="57"/>
      <c r="W80" s="56"/>
      <c r="X80" s="15"/>
      <c r="Y80" s="10">
        <v>105522.14</v>
      </c>
      <c r="Z80" s="15">
        <v>0.002601945248742935</v>
      </c>
      <c r="AA80" s="11">
        <v>19</v>
      </c>
      <c r="AB80" s="15">
        <v>0.008727606798346348</v>
      </c>
      <c r="AC80" s="57"/>
      <c r="AD80" s="56"/>
      <c r="AE80" s="56"/>
      <c r="AF80" s="15"/>
      <c r="AG80" s="10">
        <v>159763.57</v>
      </c>
      <c r="AH80" s="15">
        <v>0.002862187031707985</v>
      </c>
      <c r="AI80" s="11">
        <v>35</v>
      </c>
      <c r="AJ80" s="15">
        <v>0.011840324763193504</v>
      </c>
      <c r="AK80" s="57"/>
      <c r="AL80" s="56"/>
      <c r="AM80" s="15"/>
      <c r="AN80" s="10">
        <v>122456.18</v>
      </c>
      <c r="AO80" s="15">
        <v>0.0020678360215348416</v>
      </c>
      <c r="AP80" s="11">
        <v>26</v>
      </c>
      <c r="AQ80" s="15">
        <v>0.008825526137135099</v>
      </c>
      <c r="AR80" s="57"/>
      <c r="AS80" s="56"/>
      <c r="AT80" s="15"/>
      <c r="AU80" s="10">
        <v>113334.54</v>
      </c>
      <c r="AV80" s="15">
        <v>0.001475826561109183</v>
      </c>
      <c r="AW80" s="11">
        <v>27</v>
      </c>
      <c r="AX80" s="15">
        <v>0.007409440175631174</v>
      </c>
      <c r="AY80" s="57"/>
      <c r="AZ80" s="56"/>
      <c r="BA80" s="15"/>
      <c r="BB80" s="10">
        <v>163799.16</v>
      </c>
      <c r="BC80" s="15">
        <v>0.001961661772649934</v>
      </c>
      <c r="BD80" s="11">
        <v>30</v>
      </c>
      <c r="BE80" s="15">
        <v>0.007863695937090432</v>
      </c>
      <c r="BF80" s="57"/>
      <c r="BG80" s="56"/>
      <c r="BH80" s="15"/>
      <c r="BI80" s="10">
        <v>485351.39</v>
      </c>
      <c r="BJ80" s="15">
        <v>0.005600901430347604</v>
      </c>
      <c r="BK80" s="11">
        <v>89</v>
      </c>
      <c r="BL80" s="15">
        <v>0.023062969681264575</v>
      </c>
      <c r="BM80" s="57"/>
      <c r="BN80" s="56"/>
      <c r="BO80" s="15"/>
      <c r="BP80" s="10">
        <v>547776.53</v>
      </c>
      <c r="BQ80" s="15">
        <v>0.00533010147565922</v>
      </c>
      <c r="BR80" s="11">
        <v>104</v>
      </c>
      <c r="BS80" s="15">
        <v>0.023534736365693597</v>
      </c>
      <c r="BT80" s="57"/>
      <c r="BU80" s="56"/>
      <c r="BV80" s="15"/>
      <c r="BW80" s="10">
        <v>780742.75</v>
      </c>
      <c r="BX80" s="15">
        <v>0.007284275393203798</v>
      </c>
      <c r="BY80" s="11">
        <v>137</v>
      </c>
      <c r="BZ80" s="15">
        <v>0.030444444444444444</v>
      </c>
      <c r="CA80" s="57"/>
      <c r="CB80" s="56"/>
      <c r="CC80" s="15"/>
      <c r="CD80" s="10">
        <v>790396.19</v>
      </c>
      <c r="CE80" s="15">
        <v>0.006875996447192396</v>
      </c>
      <c r="CF80" s="11">
        <v>138</v>
      </c>
      <c r="CG80" s="15">
        <v>0.02957565366480926</v>
      </c>
      <c r="CH80" s="57"/>
      <c r="CI80" s="56"/>
      <c r="CJ80" s="15"/>
      <c r="CK80" s="10">
        <v>484063.75</v>
      </c>
      <c r="CL80" s="15">
        <v>0.0042291217269303065</v>
      </c>
      <c r="CM80" s="11">
        <v>83</v>
      </c>
      <c r="CN80" s="15">
        <v>0.018177836180464303</v>
      </c>
      <c r="CO80" s="57"/>
      <c r="CP80" s="56"/>
      <c r="CQ80" s="15"/>
    </row>
    <row r="81" spans="1:95" ht="12.75">
      <c r="A81" s="9" t="s">
        <v>27</v>
      </c>
      <c r="B81" s="9"/>
      <c r="C81" s="9"/>
      <c r="D81" s="10">
        <v>29112.16</v>
      </c>
      <c r="E81" s="15">
        <v>0.003035968942850805</v>
      </c>
      <c r="F81" s="11">
        <v>4</v>
      </c>
      <c r="G81" s="15">
        <v>0.007194244604316547</v>
      </c>
      <c r="H81" s="9"/>
      <c r="I81" s="9"/>
      <c r="J81" s="10">
        <v>27503.16</v>
      </c>
      <c r="K81" s="15">
        <v>0.002973663349046942</v>
      </c>
      <c r="L81" s="11">
        <v>4</v>
      </c>
      <c r="M81" s="15">
        <v>0.007285974499089253</v>
      </c>
      <c r="N81" s="57"/>
      <c r="O81" s="56"/>
      <c r="P81" s="15">
        <v>0.0022358859698155395</v>
      </c>
      <c r="Q81" s="9"/>
      <c r="R81" s="10">
        <v>51451.42</v>
      </c>
      <c r="S81" s="15">
        <v>0.0021924386461497497</v>
      </c>
      <c r="T81" s="11">
        <v>8</v>
      </c>
      <c r="U81" s="15">
        <v>0.005988023952095809</v>
      </c>
      <c r="V81" s="57"/>
      <c r="W81" s="56"/>
      <c r="X81" s="15"/>
      <c r="Y81" s="10">
        <v>173864.2</v>
      </c>
      <c r="Z81" s="15">
        <v>0.004287111018753899</v>
      </c>
      <c r="AA81" s="11">
        <v>28</v>
      </c>
      <c r="AB81" s="15">
        <v>0.012861736334405145</v>
      </c>
      <c r="AC81" s="57"/>
      <c r="AD81" s="56"/>
      <c r="AE81" s="56"/>
      <c r="AF81" s="15"/>
      <c r="AG81" s="10">
        <v>995637.1</v>
      </c>
      <c r="AH81" s="15">
        <v>0.017836979956740745</v>
      </c>
      <c r="AI81" s="11">
        <v>137</v>
      </c>
      <c r="AJ81" s="15">
        <v>0.04634641407307172</v>
      </c>
      <c r="AK81" s="57"/>
      <c r="AL81" s="56"/>
      <c r="AM81" s="15"/>
      <c r="AN81" s="10">
        <v>1193615.76</v>
      </c>
      <c r="AO81" s="15">
        <v>0.020155795031330297</v>
      </c>
      <c r="AP81" s="11">
        <v>167</v>
      </c>
      <c r="AQ81" s="15">
        <v>0.05668703326544467</v>
      </c>
      <c r="AR81" s="57"/>
      <c r="AS81" s="56"/>
      <c r="AT81" s="15"/>
      <c r="AU81" s="10">
        <v>1888510.02</v>
      </c>
      <c r="AV81" s="15">
        <v>0.02459191388994769</v>
      </c>
      <c r="AW81" s="11">
        <v>252</v>
      </c>
      <c r="AX81" s="15">
        <v>0.06915477497255763</v>
      </c>
      <c r="AY81" s="57"/>
      <c r="AZ81" s="56"/>
      <c r="BA81" s="15"/>
      <c r="BB81" s="10">
        <v>2069841.29</v>
      </c>
      <c r="BC81" s="15">
        <v>0.024788457608973236</v>
      </c>
      <c r="BD81" s="11">
        <v>290</v>
      </c>
      <c r="BE81" s="15">
        <v>0.07601572739187418</v>
      </c>
      <c r="BF81" s="57"/>
      <c r="BG81" s="56"/>
      <c r="BH81" s="15"/>
      <c r="BI81" s="10">
        <v>1349235.91</v>
      </c>
      <c r="BJ81" s="15">
        <v>0.015570033369422002</v>
      </c>
      <c r="BK81" s="11">
        <v>186</v>
      </c>
      <c r="BL81" s="15">
        <v>0.04819901528893496</v>
      </c>
      <c r="BM81" s="57"/>
      <c r="BN81" s="56"/>
      <c r="BO81" s="15"/>
      <c r="BP81" s="10">
        <v>1746967.21</v>
      </c>
      <c r="BQ81" s="15">
        <v>0.016998743089539217</v>
      </c>
      <c r="BR81" s="11">
        <v>227</v>
      </c>
      <c r="BS81" s="15">
        <v>0.05136908802896583</v>
      </c>
      <c r="BT81" s="57"/>
      <c r="BU81" s="56"/>
      <c r="BV81" s="15"/>
      <c r="BW81" s="10">
        <v>1441788.46</v>
      </c>
      <c r="BX81" s="15">
        <v>0.013451785753224345</v>
      </c>
      <c r="BY81" s="11">
        <v>180</v>
      </c>
      <c r="BZ81" s="15">
        <v>0.04</v>
      </c>
      <c r="CA81" s="57"/>
      <c r="CB81" s="56"/>
      <c r="CC81" s="15"/>
      <c r="CD81" s="10">
        <v>1452627.85</v>
      </c>
      <c r="CE81" s="15">
        <v>0.01263703451770527</v>
      </c>
      <c r="CF81" s="11">
        <v>165</v>
      </c>
      <c r="CG81" s="15">
        <v>0.03536219459922846</v>
      </c>
      <c r="CH81" s="57"/>
      <c r="CI81" s="56"/>
      <c r="CJ81" s="15"/>
      <c r="CK81" s="10">
        <v>1463490.71</v>
      </c>
      <c r="CL81" s="15">
        <v>0.012786085218778847</v>
      </c>
      <c r="CM81" s="11">
        <v>174</v>
      </c>
      <c r="CN81" s="15">
        <v>0.03810775295663601</v>
      </c>
      <c r="CO81" s="57"/>
      <c r="CP81" s="56"/>
      <c r="CQ81" s="15"/>
    </row>
    <row r="82" spans="1:95" ht="12.75">
      <c r="A82" s="9" t="s">
        <v>28</v>
      </c>
      <c r="B82" s="9"/>
      <c r="C82" s="9"/>
      <c r="D82" s="10">
        <v>1450072.91</v>
      </c>
      <c r="E82" s="15">
        <v>0.15122121888686002</v>
      </c>
      <c r="F82" s="11">
        <v>167</v>
      </c>
      <c r="G82" s="15">
        <v>0.30035971223021585</v>
      </c>
      <c r="H82" s="9"/>
      <c r="I82" s="9"/>
      <c r="J82" s="10">
        <v>1351992.4</v>
      </c>
      <c r="K82" s="15">
        <v>0.1461784845112349</v>
      </c>
      <c r="L82" s="11">
        <v>165</v>
      </c>
      <c r="M82" s="15">
        <v>0.3005464480874317</v>
      </c>
      <c r="N82" s="57"/>
      <c r="O82" s="56"/>
      <c r="P82" s="15">
        <v>0.39966461710452766</v>
      </c>
      <c r="Q82" s="9"/>
      <c r="R82" s="10">
        <v>2334888.26</v>
      </c>
      <c r="S82" s="15">
        <v>0.09949383818105201</v>
      </c>
      <c r="T82" s="11">
        <v>277</v>
      </c>
      <c r="U82" s="15">
        <v>0.20733532934131738</v>
      </c>
      <c r="V82" s="57"/>
      <c r="W82" s="56"/>
      <c r="X82" s="15"/>
      <c r="Y82" s="10">
        <v>3373020.36</v>
      </c>
      <c r="Z82" s="15">
        <v>0.08317130698463074</v>
      </c>
      <c r="AA82" s="11">
        <v>397</v>
      </c>
      <c r="AB82" s="15">
        <v>0.1823610473128158</v>
      </c>
      <c r="AC82" s="57"/>
      <c r="AD82" s="56"/>
      <c r="AE82" s="56"/>
      <c r="AF82" s="15"/>
      <c r="AG82" s="10">
        <v>3184378.94</v>
      </c>
      <c r="AH82" s="15">
        <v>0.057048600667298686</v>
      </c>
      <c r="AI82" s="11">
        <v>394</v>
      </c>
      <c r="AJ82" s="15">
        <v>0.13328822733423545</v>
      </c>
      <c r="AK82" s="57"/>
      <c r="AL82" s="56"/>
      <c r="AM82" s="15"/>
      <c r="AN82" s="10">
        <v>3934516.56</v>
      </c>
      <c r="AO82" s="15">
        <v>0.06643956287133367</v>
      </c>
      <c r="AP82" s="11">
        <v>414</v>
      </c>
      <c r="AQ82" s="15">
        <v>0.14052953156822812</v>
      </c>
      <c r="AR82" s="57"/>
      <c r="AS82" s="56"/>
      <c r="AT82" s="15"/>
      <c r="AU82" s="10">
        <v>4574666.91</v>
      </c>
      <c r="AV82" s="15">
        <v>0.05957067398875288</v>
      </c>
      <c r="AW82" s="11">
        <v>444</v>
      </c>
      <c r="AX82" s="15">
        <v>0.12184412733260154</v>
      </c>
      <c r="AY82" s="57"/>
      <c r="AZ82" s="56"/>
      <c r="BA82" s="15"/>
      <c r="BB82" s="10">
        <v>4865810.68</v>
      </c>
      <c r="BC82" s="15">
        <v>0.058273038786693314</v>
      </c>
      <c r="BD82" s="11">
        <v>425</v>
      </c>
      <c r="BE82" s="15">
        <v>0.11140235910878113</v>
      </c>
      <c r="BF82" s="57"/>
      <c r="BG82" s="56"/>
      <c r="BH82" s="15"/>
      <c r="BI82" s="10">
        <v>4451113.99</v>
      </c>
      <c r="BJ82" s="15">
        <v>0.05136536378979205</v>
      </c>
      <c r="BK82" s="11">
        <v>397</v>
      </c>
      <c r="BL82" s="15">
        <v>0.10287639284788805</v>
      </c>
      <c r="BM82" s="57"/>
      <c r="BN82" s="56"/>
      <c r="BO82" s="15"/>
      <c r="BP82" s="10">
        <v>4267838.89</v>
      </c>
      <c r="BQ82" s="15">
        <v>0.04152790986766959</v>
      </c>
      <c r="BR82" s="11">
        <v>359</v>
      </c>
      <c r="BS82" s="15">
        <v>0.08124009957003847</v>
      </c>
      <c r="BT82" s="57"/>
      <c r="BU82" s="56"/>
      <c r="BV82" s="15"/>
      <c r="BW82" s="10">
        <v>4101946.83</v>
      </c>
      <c r="BX82" s="15">
        <v>0.03827087777376008</v>
      </c>
      <c r="BY82" s="11">
        <v>350</v>
      </c>
      <c r="BZ82" s="15">
        <v>0.07777777777777778</v>
      </c>
      <c r="CA82" s="57"/>
      <c r="CB82" s="56"/>
      <c r="CC82" s="15"/>
      <c r="CD82" s="10">
        <v>3905401.74</v>
      </c>
      <c r="CE82" s="15">
        <v>0.03397476965203867</v>
      </c>
      <c r="CF82" s="11">
        <v>320</v>
      </c>
      <c r="CG82" s="15">
        <v>0.06858122588941278</v>
      </c>
      <c r="CH82" s="57"/>
      <c r="CI82" s="56"/>
      <c r="CJ82" s="15"/>
      <c r="CK82" s="10">
        <v>3721129.05</v>
      </c>
      <c r="CL82" s="15">
        <v>0.032510403255906956</v>
      </c>
      <c r="CM82" s="11">
        <v>296</v>
      </c>
      <c r="CN82" s="15">
        <v>0.06482698204117389</v>
      </c>
      <c r="CO82" s="57"/>
      <c r="CP82" s="56"/>
      <c r="CQ82" s="15"/>
    </row>
    <row r="83" spans="1:95" ht="12.75">
      <c r="A83" s="9" t="s">
        <v>81</v>
      </c>
      <c r="B83" s="9"/>
      <c r="C83" s="9"/>
      <c r="D83" s="10">
        <v>65102.59</v>
      </c>
      <c r="E83" s="15">
        <v>0.006789240006208726</v>
      </c>
      <c r="F83" s="11">
        <v>4</v>
      </c>
      <c r="G83" s="15">
        <v>0.007194244604316547</v>
      </c>
      <c r="H83" s="9"/>
      <c r="I83" s="9"/>
      <c r="J83" s="10">
        <v>47107.46</v>
      </c>
      <c r="K83" s="15">
        <v>0.005093295725607344</v>
      </c>
      <c r="L83" s="11">
        <v>4</v>
      </c>
      <c r="M83" s="15">
        <v>0.007285974499089253</v>
      </c>
      <c r="N83" s="57"/>
      <c r="O83" s="56"/>
      <c r="P83" s="15">
        <v>0.012297372833985467</v>
      </c>
      <c r="Q83" s="9"/>
      <c r="R83" s="10">
        <v>202269.61</v>
      </c>
      <c r="S83" s="15">
        <v>0.008619076206363943</v>
      </c>
      <c r="T83" s="11">
        <v>15</v>
      </c>
      <c r="U83" s="15">
        <v>0.01122754491017964</v>
      </c>
      <c r="V83" s="57"/>
      <c r="W83" s="56"/>
      <c r="X83" s="15"/>
      <c r="Y83" s="10">
        <v>296670.85</v>
      </c>
      <c r="Z83" s="15">
        <v>0.007315254491597956</v>
      </c>
      <c r="AA83" s="11">
        <v>24</v>
      </c>
      <c r="AB83" s="15">
        <v>0.011024345429490124</v>
      </c>
      <c r="AC83" s="57"/>
      <c r="AD83" s="56"/>
      <c r="AE83" s="56"/>
      <c r="AF83" s="15"/>
      <c r="AG83" s="10">
        <v>647225.16</v>
      </c>
      <c r="AH83" s="15">
        <v>0.011595130601720566</v>
      </c>
      <c r="AI83" s="11">
        <v>53</v>
      </c>
      <c r="AJ83" s="15">
        <v>0.017929634641407306</v>
      </c>
      <c r="AK83" s="57"/>
      <c r="AL83" s="56"/>
      <c r="AM83" s="15"/>
      <c r="AN83" s="10">
        <v>2441329.99</v>
      </c>
      <c r="AO83" s="15">
        <v>0.04122511492499027</v>
      </c>
      <c r="AP83" s="11">
        <v>164</v>
      </c>
      <c r="AQ83" s="15">
        <v>0.055668703326544465</v>
      </c>
      <c r="AR83" s="57"/>
      <c r="AS83" s="56"/>
      <c r="AT83" s="15"/>
      <c r="AU83" s="10">
        <v>2258462.43</v>
      </c>
      <c r="AV83" s="15">
        <v>0.029409382536525835</v>
      </c>
      <c r="AW83" s="11">
        <v>150</v>
      </c>
      <c r="AX83" s="15">
        <v>0.041163556531284305</v>
      </c>
      <c r="AY83" s="57"/>
      <c r="AZ83" s="56"/>
      <c r="BA83" s="15"/>
      <c r="BB83" s="10">
        <v>1873742.42</v>
      </c>
      <c r="BC83" s="15">
        <v>0.022439973911383762</v>
      </c>
      <c r="BD83" s="11">
        <v>124</v>
      </c>
      <c r="BE83" s="15">
        <v>0.032503276539973786</v>
      </c>
      <c r="BF83" s="57"/>
      <c r="BG83" s="56"/>
      <c r="BH83" s="15"/>
      <c r="BI83" s="10">
        <v>1682692.21</v>
      </c>
      <c r="BJ83" s="15">
        <v>0.01941808223898105</v>
      </c>
      <c r="BK83" s="11">
        <v>115</v>
      </c>
      <c r="BL83" s="15">
        <v>0.02980046644208344</v>
      </c>
      <c r="BM83" s="57"/>
      <c r="BN83" s="56"/>
      <c r="BO83" s="15"/>
      <c r="BP83" s="10">
        <v>1768486.19</v>
      </c>
      <c r="BQ83" s="15">
        <v>0.017208132029683628</v>
      </c>
      <c r="BR83" s="11">
        <v>115</v>
      </c>
      <c r="BS83" s="15">
        <v>0.02602398732744965</v>
      </c>
      <c r="BT83" s="57"/>
      <c r="BU83" s="56"/>
      <c r="BV83" s="15"/>
      <c r="BW83" s="10">
        <v>1525513.07</v>
      </c>
      <c r="BX83" s="15">
        <v>0.014232930523929661</v>
      </c>
      <c r="BY83" s="11">
        <v>96</v>
      </c>
      <c r="BZ83" s="15">
        <v>0.021333333333333333</v>
      </c>
      <c r="CA83" s="57"/>
      <c r="CB83" s="56"/>
      <c r="CC83" s="15"/>
      <c r="CD83" s="10">
        <v>1892307.18</v>
      </c>
      <c r="CE83" s="15">
        <v>0.016461994138251945</v>
      </c>
      <c r="CF83" s="11">
        <v>105</v>
      </c>
      <c r="CG83" s="15">
        <v>0.022503214744963567</v>
      </c>
      <c r="CH83" s="57"/>
      <c r="CI83" s="56"/>
      <c r="CJ83" s="15"/>
      <c r="CK83" s="10">
        <v>2049290.29</v>
      </c>
      <c r="CL83" s="15">
        <v>0.017904042784088466</v>
      </c>
      <c r="CM83" s="11">
        <v>119</v>
      </c>
      <c r="CN83" s="15">
        <v>0.026062198861147613</v>
      </c>
      <c r="CO83" s="57"/>
      <c r="CP83" s="56"/>
      <c r="CQ83" s="15"/>
    </row>
    <row r="84" spans="1:95" ht="12.75">
      <c r="A84" s="9" t="s">
        <v>82</v>
      </c>
      <c r="B84" s="9"/>
      <c r="C84" s="9"/>
      <c r="D84" s="10">
        <v>385099.2</v>
      </c>
      <c r="E84" s="15">
        <v>0.040160167130047754</v>
      </c>
      <c r="F84" s="11">
        <v>27</v>
      </c>
      <c r="G84" s="15">
        <v>0.048561151079136694</v>
      </c>
      <c r="H84" s="9"/>
      <c r="I84" s="9"/>
      <c r="J84" s="10">
        <v>375037</v>
      </c>
      <c r="K84" s="15">
        <v>0.040549296205836645</v>
      </c>
      <c r="L84" s="11">
        <v>27</v>
      </c>
      <c r="M84" s="15">
        <v>0.04918032786885246</v>
      </c>
      <c r="N84" s="57"/>
      <c r="O84" s="56"/>
      <c r="P84" s="15">
        <v>0.06148686416992733</v>
      </c>
      <c r="Q84" s="9"/>
      <c r="R84" s="10">
        <v>1174579.84</v>
      </c>
      <c r="S84" s="15">
        <v>0.050050984680391514</v>
      </c>
      <c r="T84" s="11">
        <v>84</v>
      </c>
      <c r="U84" s="15">
        <v>0.06287425149700598</v>
      </c>
      <c r="V84" s="57"/>
      <c r="W84" s="56"/>
      <c r="X84" s="15"/>
      <c r="Y84" s="10">
        <v>1927858.95</v>
      </c>
      <c r="Z84" s="15">
        <v>0.04753678645257808</v>
      </c>
      <c r="AA84" s="11">
        <v>132</v>
      </c>
      <c r="AB84" s="15">
        <v>0.06063389986219568</v>
      </c>
      <c r="AC84" s="57"/>
      <c r="AD84" s="56"/>
      <c r="AE84" s="56"/>
      <c r="AF84" s="15"/>
      <c r="AG84" s="10">
        <v>2593319.93</v>
      </c>
      <c r="AH84" s="15">
        <v>0.046459694614459736</v>
      </c>
      <c r="AI84" s="11">
        <v>180</v>
      </c>
      <c r="AJ84" s="15">
        <v>0.06089309878213803</v>
      </c>
      <c r="AK84" s="57"/>
      <c r="AL84" s="56"/>
      <c r="AM84" s="15"/>
      <c r="AN84" s="10">
        <v>623695.97</v>
      </c>
      <c r="AO84" s="15">
        <v>0.010531938798451112</v>
      </c>
      <c r="AP84" s="11">
        <v>44</v>
      </c>
      <c r="AQ84" s="15">
        <v>0.01493550577053632</v>
      </c>
      <c r="AR84" s="57"/>
      <c r="AS84" s="56"/>
      <c r="AT84" s="15"/>
      <c r="AU84" s="10">
        <v>935730.51</v>
      </c>
      <c r="AV84" s="15">
        <v>0.01218495209578864</v>
      </c>
      <c r="AW84" s="11">
        <v>60</v>
      </c>
      <c r="AX84" s="15">
        <v>0.01646542261251372</v>
      </c>
      <c r="AY84" s="57"/>
      <c r="AZ84" s="56"/>
      <c r="BA84" s="15"/>
      <c r="BB84" s="10">
        <v>983380.82</v>
      </c>
      <c r="BC84" s="15">
        <v>0.011776986906105904</v>
      </c>
      <c r="BD84" s="11">
        <v>58</v>
      </c>
      <c r="BE84" s="15">
        <v>0.015203145478374836</v>
      </c>
      <c r="BF84" s="57"/>
      <c r="BG84" s="56"/>
      <c r="BH84" s="15"/>
      <c r="BI84" s="10">
        <v>1647778.45</v>
      </c>
      <c r="BJ84" s="15">
        <v>0.01901518130503542</v>
      </c>
      <c r="BK84" s="11">
        <v>96</v>
      </c>
      <c r="BL84" s="15">
        <v>0.024876911116869654</v>
      </c>
      <c r="BM84" s="57"/>
      <c r="BN84" s="56"/>
      <c r="BO84" s="15"/>
      <c r="BP84" s="10">
        <v>2295798.14</v>
      </c>
      <c r="BQ84" s="15">
        <v>0.022339104331157985</v>
      </c>
      <c r="BR84" s="11">
        <v>135</v>
      </c>
      <c r="BS84" s="15">
        <v>0.03054989816700611</v>
      </c>
      <c r="BT84" s="57"/>
      <c r="BU84" s="56"/>
      <c r="BV84" s="15"/>
      <c r="BW84" s="10">
        <v>3568538.24</v>
      </c>
      <c r="BX84" s="15">
        <v>0.03329421283942603</v>
      </c>
      <c r="BY84" s="11">
        <v>213</v>
      </c>
      <c r="BZ84" s="15">
        <v>0.04733333333333333</v>
      </c>
      <c r="CA84" s="57"/>
      <c r="CB84" s="56"/>
      <c r="CC84" s="15"/>
      <c r="CD84" s="10">
        <v>4380097.31</v>
      </c>
      <c r="CE84" s="15">
        <v>0.03810435060664576</v>
      </c>
      <c r="CF84" s="11">
        <v>260</v>
      </c>
      <c r="CG84" s="15">
        <v>0.05572224603514788</v>
      </c>
      <c r="CH84" s="57"/>
      <c r="CI84" s="56"/>
      <c r="CJ84" s="15"/>
      <c r="CK84" s="10">
        <v>3720354.01</v>
      </c>
      <c r="CL84" s="15">
        <v>0.03250363196079709</v>
      </c>
      <c r="CM84" s="11">
        <v>220</v>
      </c>
      <c r="CN84" s="15">
        <v>0.04818221638195357</v>
      </c>
      <c r="CO84" s="57"/>
      <c r="CP84" s="56"/>
      <c r="CQ84" s="15"/>
    </row>
    <row r="85" spans="1:95" ht="12.75">
      <c r="A85" s="9" t="s">
        <v>83</v>
      </c>
      <c r="B85" s="9"/>
      <c r="C85" s="9"/>
      <c r="D85" s="10">
        <v>187707.46</v>
      </c>
      <c r="E85" s="15">
        <v>0.019575119774740513</v>
      </c>
      <c r="F85" s="11">
        <v>12</v>
      </c>
      <c r="G85" s="15">
        <v>0.02158273381294964</v>
      </c>
      <c r="H85" s="9"/>
      <c r="I85" s="9"/>
      <c r="J85" s="10">
        <v>183215.16</v>
      </c>
      <c r="K85" s="15">
        <v>0.019809367588370624</v>
      </c>
      <c r="L85" s="11">
        <v>12</v>
      </c>
      <c r="M85" s="15">
        <v>0.02185792349726776</v>
      </c>
      <c r="N85" s="57"/>
      <c r="O85" s="56"/>
      <c r="P85" s="15">
        <v>0.025712688652878703</v>
      </c>
      <c r="Q85" s="9"/>
      <c r="R85" s="10">
        <v>544134.66</v>
      </c>
      <c r="S85" s="15">
        <v>0.02318656817039363</v>
      </c>
      <c r="T85" s="11">
        <v>32</v>
      </c>
      <c r="U85" s="15">
        <v>0.023952095808383235</v>
      </c>
      <c r="V85" s="57"/>
      <c r="W85" s="56"/>
      <c r="X85" s="15"/>
      <c r="Y85" s="10">
        <v>754530.51</v>
      </c>
      <c r="Z85" s="15">
        <v>0.018605072599229736</v>
      </c>
      <c r="AA85" s="11">
        <v>46</v>
      </c>
      <c r="AB85" s="15">
        <v>0.021129995406522738</v>
      </c>
      <c r="AC85" s="57"/>
      <c r="AD85" s="56"/>
      <c r="AE85" s="56"/>
      <c r="AF85" s="15"/>
      <c r="AG85" s="10">
        <v>763536.33</v>
      </c>
      <c r="AH85" s="15">
        <v>0.013678861720252676</v>
      </c>
      <c r="AI85" s="11">
        <v>54</v>
      </c>
      <c r="AJ85" s="15">
        <v>0.018267929634641408</v>
      </c>
      <c r="AK85" s="57"/>
      <c r="AL85" s="56"/>
      <c r="AM85" s="15"/>
      <c r="AN85" s="10">
        <v>2904376.15</v>
      </c>
      <c r="AO85" s="15">
        <v>0.0490442672885654</v>
      </c>
      <c r="AP85" s="11">
        <v>165</v>
      </c>
      <c r="AQ85" s="15">
        <v>0.0560081466395112</v>
      </c>
      <c r="AR85" s="57"/>
      <c r="AS85" s="56"/>
      <c r="AT85" s="15"/>
      <c r="AU85" s="10">
        <v>5978558.649999991</v>
      </c>
      <c r="AV85" s="15">
        <v>0.07785195627757475</v>
      </c>
      <c r="AW85" s="11">
        <v>333</v>
      </c>
      <c r="AX85" s="15">
        <v>0.09138309549945116</v>
      </c>
      <c r="AY85" s="57"/>
      <c r="AZ85" s="56"/>
      <c r="BA85" s="15"/>
      <c r="BB85" s="10">
        <v>7927707.109999999</v>
      </c>
      <c r="BC85" s="15">
        <v>0.09494236711868413</v>
      </c>
      <c r="BD85" s="11">
        <v>439</v>
      </c>
      <c r="BE85" s="15">
        <v>0.11507208387942333</v>
      </c>
      <c r="BF85" s="57"/>
      <c r="BG85" s="56"/>
      <c r="BH85" s="15"/>
      <c r="BI85" s="10">
        <v>6525612.049999991</v>
      </c>
      <c r="BJ85" s="15">
        <v>0.07530484226024056</v>
      </c>
      <c r="BK85" s="11">
        <v>354</v>
      </c>
      <c r="BL85" s="15">
        <v>0.09173360974345686</v>
      </c>
      <c r="BM85" s="57"/>
      <c r="BN85" s="56"/>
      <c r="BO85" s="15"/>
      <c r="BP85" s="10">
        <v>9383261.409999995</v>
      </c>
      <c r="BQ85" s="15">
        <v>0.09130317337242831</v>
      </c>
      <c r="BR85" s="11">
        <v>486</v>
      </c>
      <c r="BS85" s="15">
        <v>0.109979633401222</v>
      </c>
      <c r="BT85" s="57"/>
      <c r="BU85" s="56"/>
      <c r="BV85" s="15"/>
      <c r="BW85" s="10">
        <v>8298863.229999999</v>
      </c>
      <c r="BX85" s="15">
        <v>0.07742781501058162</v>
      </c>
      <c r="BY85" s="11">
        <v>412</v>
      </c>
      <c r="BZ85" s="15">
        <v>0.09155555555555556</v>
      </c>
      <c r="CA85" s="57"/>
      <c r="CB85" s="56"/>
      <c r="CC85" s="15"/>
      <c r="CD85" s="10">
        <v>9921263.580000004</v>
      </c>
      <c r="CE85" s="15">
        <v>0.08630933953229121</v>
      </c>
      <c r="CF85" s="11">
        <v>459</v>
      </c>
      <c r="CG85" s="15">
        <v>0.09837119588512645</v>
      </c>
      <c r="CH85" s="57"/>
      <c r="CI85" s="56"/>
      <c r="CJ85" s="15"/>
      <c r="CK85" s="10">
        <v>11183781.199999997</v>
      </c>
      <c r="CL85" s="15">
        <v>0.09770938654702956</v>
      </c>
      <c r="CM85" s="11">
        <v>522</v>
      </c>
      <c r="CN85" s="15">
        <v>0.11432325886990802</v>
      </c>
      <c r="CO85" s="57"/>
      <c r="CP85" s="56"/>
      <c r="CQ85" s="15"/>
    </row>
    <row r="86" spans="1:95" ht="12.75">
      <c r="A86" s="9" t="s">
        <v>84</v>
      </c>
      <c r="B86" s="9"/>
      <c r="C86" s="9"/>
      <c r="D86" s="10">
        <v>20143.92</v>
      </c>
      <c r="E86" s="15">
        <v>0.00210071377415043</v>
      </c>
      <c r="F86" s="11">
        <v>2</v>
      </c>
      <c r="G86" s="15">
        <v>0.0035971223021582736</v>
      </c>
      <c r="H86" s="9"/>
      <c r="I86" s="9"/>
      <c r="J86" s="10">
        <v>19792.27</v>
      </c>
      <c r="K86" s="15">
        <v>0.002139955841199387</v>
      </c>
      <c r="L86" s="11">
        <v>2</v>
      </c>
      <c r="M86" s="15">
        <v>0.0036429872495446266</v>
      </c>
      <c r="N86" s="57"/>
      <c r="O86" s="56"/>
      <c r="P86" s="15">
        <v>0.005589714924538848</v>
      </c>
      <c r="Q86" s="9"/>
      <c r="R86" s="10">
        <v>118783.79</v>
      </c>
      <c r="S86" s="15">
        <v>0.00506159347462395</v>
      </c>
      <c r="T86" s="11">
        <v>7</v>
      </c>
      <c r="U86" s="15">
        <v>0.005239520958083832</v>
      </c>
      <c r="V86" s="57"/>
      <c r="W86" s="56"/>
      <c r="X86" s="15"/>
      <c r="Y86" s="10">
        <v>189482.25</v>
      </c>
      <c r="Z86" s="15">
        <v>0.0046722179829618805</v>
      </c>
      <c r="AA86" s="11">
        <v>12</v>
      </c>
      <c r="AB86" s="15">
        <v>0.005512172714745062</v>
      </c>
      <c r="AC86" s="57"/>
      <c r="AD86" s="56"/>
      <c r="AE86" s="56"/>
      <c r="AF86" s="15"/>
      <c r="AG86" s="10">
        <v>1640387.9</v>
      </c>
      <c r="AH86" s="15">
        <v>0.029387782047876725</v>
      </c>
      <c r="AI86" s="11">
        <v>92</v>
      </c>
      <c r="AJ86" s="15">
        <v>0.03112313937753721</v>
      </c>
      <c r="AK86" s="57"/>
      <c r="AL86" s="56"/>
      <c r="AM86" s="15"/>
      <c r="AN86" s="10">
        <v>11975721.820000013</v>
      </c>
      <c r="AO86" s="15">
        <v>0.2022260449678964</v>
      </c>
      <c r="AP86" s="11">
        <v>628</v>
      </c>
      <c r="AQ86" s="15">
        <v>0.2131704005431093</v>
      </c>
      <c r="AR86" s="57"/>
      <c r="AS86" s="56"/>
      <c r="AT86" s="15"/>
      <c r="AU86" s="10">
        <v>13035271.29999998</v>
      </c>
      <c r="AV86" s="15">
        <v>0.16974348345883083</v>
      </c>
      <c r="AW86" s="11">
        <v>657</v>
      </c>
      <c r="AX86" s="15">
        <v>0.18029637760702524</v>
      </c>
      <c r="AY86" s="57"/>
      <c r="AZ86" s="56"/>
      <c r="BA86" s="15"/>
      <c r="BB86" s="10">
        <v>12229112.949999997</v>
      </c>
      <c r="BC86" s="15">
        <v>0.14645608309244842</v>
      </c>
      <c r="BD86" s="11">
        <v>583</v>
      </c>
      <c r="BE86" s="15">
        <v>0.15281782437745742</v>
      </c>
      <c r="BF86" s="57"/>
      <c r="BG86" s="56"/>
      <c r="BH86" s="15"/>
      <c r="BI86" s="10">
        <v>13847981.319999998</v>
      </c>
      <c r="BJ86" s="15">
        <v>0.15980417483220738</v>
      </c>
      <c r="BK86" s="11">
        <v>651</v>
      </c>
      <c r="BL86" s="15">
        <v>0.16869655351127236</v>
      </c>
      <c r="BM86" s="57"/>
      <c r="BN86" s="56"/>
      <c r="BO86" s="15"/>
      <c r="BP86" s="10">
        <v>13814613.96999999</v>
      </c>
      <c r="BQ86" s="15">
        <v>0.13442214164809035</v>
      </c>
      <c r="BR86" s="11">
        <v>635</v>
      </c>
      <c r="BS86" s="15">
        <v>0.14369766915591764</v>
      </c>
      <c r="BT86" s="57"/>
      <c r="BU86" s="56"/>
      <c r="BV86" s="15"/>
      <c r="BW86" s="10">
        <v>13085709.619999995</v>
      </c>
      <c r="BX86" s="15">
        <v>0.12208875790082736</v>
      </c>
      <c r="BY86" s="11">
        <v>602</v>
      </c>
      <c r="BZ86" s="15">
        <v>0.13377777777777777</v>
      </c>
      <c r="CA86" s="57"/>
      <c r="CB86" s="56"/>
      <c r="CC86" s="15"/>
      <c r="CD86" s="10">
        <v>9780143.45</v>
      </c>
      <c r="CE86" s="15">
        <v>0.08508167481833635</v>
      </c>
      <c r="CF86" s="11">
        <v>469</v>
      </c>
      <c r="CG86" s="15">
        <v>0.1005143591941706</v>
      </c>
      <c r="CH86" s="57"/>
      <c r="CI86" s="56"/>
      <c r="CJ86" s="15"/>
      <c r="CK86" s="10">
        <v>8149617.650000001</v>
      </c>
      <c r="CL86" s="15">
        <v>0.07120079755980427</v>
      </c>
      <c r="CM86" s="11">
        <v>378</v>
      </c>
      <c r="CN86" s="15">
        <v>0.08278580814717477</v>
      </c>
      <c r="CO86" s="57"/>
      <c r="CP86" s="56"/>
      <c r="CQ86" s="15"/>
    </row>
    <row r="87" spans="1:95" ht="12.75">
      <c r="A87" s="9" t="s">
        <v>85</v>
      </c>
      <c r="B87" s="9"/>
      <c r="C87" s="9"/>
      <c r="D87" s="10">
        <v>2255904.14</v>
      </c>
      <c r="E87" s="15">
        <v>0.23525753180418618</v>
      </c>
      <c r="F87" s="11">
        <v>125</v>
      </c>
      <c r="G87" s="15">
        <v>0.22482014388489208</v>
      </c>
      <c r="H87" s="9"/>
      <c r="I87" s="9"/>
      <c r="J87" s="10">
        <v>2161716.69</v>
      </c>
      <c r="K87" s="15">
        <v>0.23372651331978112</v>
      </c>
      <c r="L87" s="11">
        <v>122</v>
      </c>
      <c r="M87" s="15">
        <v>0.2222222222222222</v>
      </c>
      <c r="N87" s="57"/>
      <c r="O87" s="56"/>
      <c r="P87" s="15">
        <v>0.2319731693683622</v>
      </c>
      <c r="Q87" s="9"/>
      <c r="R87" s="10">
        <v>5765204.409999997</v>
      </c>
      <c r="S87" s="15">
        <v>0.24566585239896122</v>
      </c>
      <c r="T87" s="11">
        <v>323</v>
      </c>
      <c r="U87" s="15">
        <v>0.24176646706586827</v>
      </c>
      <c r="V87" s="57"/>
      <c r="W87" s="56"/>
      <c r="X87" s="15"/>
      <c r="Y87" s="10">
        <v>10469367.040000003</v>
      </c>
      <c r="Z87" s="15">
        <v>0.25815169998517756</v>
      </c>
      <c r="AA87" s="11">
        <v>571</v>
      </c>
      <c r="AB87" s="15">
        <v>0.2622875516766192</v>
      </c>
      <c r="AC87" s="57"/>
      <c r="AD87" s="56"/>
      <c r="AE87" s="56"/>
      <c r="AF87" s="15"/>
      <c r="AG87" s="10">
        <v>13070136.030000014</v>
      </c>
      <c r="AH87" s="15">
        <v>0.23415334201486193</v>
      </c>
      <c r="AI87" s="11">
        <v>719</v>
      </c>
      <c r="AJ87" s="15">
        <v>0.243234100135318</v>
      </c>
      <c r="AK87" s="57"/>
      <c r="AL87" s="56"/>
      <c r="AM87" s="15"/>
      <c r="AN87" s="10">
        <v>1822657.63</v>
      </c>
      <c r="AO87" s="15">
        <v>0.03077800648557976</v>
      </c>
      <c r="AP87" s="11">
        <v>74</v>
      </c>
      <c r="AQ87" s="15">
        <v>0.025118805159538356</v>
      </c>
      <c r="AR87" s="57"/>
      <c r="AS87" s="56"/>
      <c r="AT87" s="15"/>
      <c r="AU87" s="10">
        <v>2275237.35</v>
      </c>
      <c r="AV87" s="15">
        <v>0.02962782320339124</v>
      </c>
      <c r="AW87" s="11">
        <v>88</v>
      </c>
      <c r="AX87" s="15">
        <v>0.024149286498353458</v>
      </c>
      <c r="AY87" s="57"/>
      <c r="AZ87" s="56"/>
      <c r="BA87" s="15"/>
      <c r="BB87" s="10">
        <v>2828088.87</v>
      </c>
      <c r="BC87" s="15">
        <v>0.03386924466484288</v>
      </c>
      <c r="BD87" s="11">
        <v>108</v>
      </c>
      <c r="BE87" s="15">
        <v>0.028309305373525558</v>
      </c>
      <c r="BF87" s="57"/>
      <c r="BG87" s="56"/>
      <c r="BH87" s="15"/>
      <c r="BI87" s="10">
        <v>3278270.79</v>
      </c>
      <c r="BJ87" s="15">
        <v>0.037830882810035354</v>
      </c>
      <c r="BK87" s="11">
        <v>125</v>
      </c>
      <c r="BL87" s="15">
        <v>0.0323918113500907</v>
      </c>
      <c r="BM87" s="57"/>
      <c r="BN87" s="56"/>
      <c r="BO87" s="15"/>
      <c r="BP87" s="10">
        <v>3947413.88</v>
      </c>
      <c r="BQ87" s="15">
        <v>0.03841003656514032</v>
      </c>
      <c r="BR87" s="11">
        <v>144</v>
      </c>
      <c r="BS87" s="15">
        <v>0.032586558044806514</v>
      </c>
      <c r="BT87" s="57"/>
      <c r="BU87" s="56"/>
      <c r="BV87" s="15"/>
      <c r="BW87" s="10">
        <v>3545249.03</v>
      </c>
      <c r="BX87" s="15">
        <v>0.03307692613477183</v>
      </c>
      <c r="BY87" s="11">
        <v>127</v>
      </c>
      <c r="BZ87" s="15">
        <v>0.02822222222222222</v>
      </c>
      <c r="CA87" s="57"/>
      <c r="CB87" s="56"/>
      <c r="CC87" s="15"/>
      <c r="CD87" s="10">
        <v>3471521.14</v>
      </c>
      <c r="CE87" s="15">
        <v>0.030200255678096432</v>
      </c>
      <c r="CF87" s="11">
        <v>127</v>
      </c>
      <c r="CG87" s="15">
        <v>0.027218174024860695</v>
      </c>
      <c r="CH87" s="57"/>
      <c r="CI87" s="56"/>
      <c r="CJ87" s="15"/>
      <c r="CK87" s="10">
        <v>3554081.65</v>
      </c>
      <c r="CL87" s="15">
        <v>0.031050959559147544</v>
      </c>
      <c r="CM87" s="11">
        <v>133</v>
      </c>
      <c r="CN87" s="15">
        <v>0.02912833990363557</v>
      </c>
      <c r="CO87" s="57"/>
      <c r="CP87" s="56"/>
      <c r="CQ87" s="15"/>
    </row>
    <row r="88" spans="1:95" ht="12.75">
      <c r="A88" s="9" t="s">
        <v>6</v>
      </c>
      <c r="B88" s="9"/>
      <c r="C88" s="9"/>
      <c r="D88" s="10">
        <v>2402411.51</v>
      </c>
      <c r="E88" s="15">
        <v>0.25053608980945785</v>
      </c>
      <c r="F88" s="11">
        <v>103</v>
      </c>
      <c r="G88" s="15">
        <v>0.18525179856115107</v>
      </c>
      <c r="H88" s="9"/>
      <c r="I88" s="9"/>
      <c r="J88" s="10">
        <v>2320533.27</v>
      </c>
      <c r="K88" s="15">
        <v>0.2508978871970731</v>
      </c>
      <c r="L88" s="11">
        <v>102</v>
      </c>
      <c r="M88" s="15">
        <v>0.18579234972677597</v>
      </c>
      <c r="N88" s="57"/>
      <c r="O88" s="56"/>
      <c r="P88" s="15">
        <v>0.1369480156512018</v>
      </c>
      <c r="Q88" s="9"/>
      <c r="R88" s="10">
        <v>6016614.8400000045</v>
      </c>
      <c r="S88" s="15">
        <v>0.2563789083802566</v>
      </c>
      <c r="T88" s="11">
        <v>271</v>
      </c>
      <c r="U88" s="15">
        <v>0.2028443113772455</v>
      </c>
      <c r="V88" s="57"/>
      <c r="W88" s="56"/>
      <c r="X88" s="15"/>
      <c r="Y88" s="10">
        <v>10564273.55</v>
      </c>
      <c r="Z88" s="15">
        <v>0.26049188700914494</v>
      </c>
      <c r="AA88" s="11">
        <v>462</v>
      </c>
      <c r="AB88" s="15">
        <v>0.21221864951768488</v>
      </c>
      <c r="AC88" s="57"/>
      <c r="AD88" s="56"/>
      <c r="AE88" s="56"/>
      <c r="AF88" s="15"/>
      <c r="AG88" s="10">
        <v>15063395.540000007</v>
      </c>
      <c r="AH88" s="15">
        <v>0.2698628690387673</v>
      </c>
      <c r="AI88" s="11">
        <v>653</v>
      </c>
      <c r="AJ88" s="15">
        <v>0.22090663058186738</v>
      </c>
      <c r="AK88" s="57"/>
      <c r="AL88" s="56"/>
      <c r="AM88" s="15"/>
      <c r="AN88" s="10">
        <v>14890712.699999997</v>
      </c>
      <c r="AO88" s="15">
        <v>0.2514495561382556</v>
      </c>
      <c r="AP88" s="11">
        <v>601</v>
      </c>
      <c r="AQ88" s="15">
        <v>0.20400543109300748</v>
      </c>
      <c r="AR88" s="57"/>
      <c r="AS88" s="56"/>
      <c r="AT88" s="15"/>
      <c r="AU88" s="10">
        <v>18726339.820000004</v>
      </c>
      <c r="AV88" s="15">
        <v>0.24385178339024066</v>
      </c>
      <c r="AW88" s="11">
        <v>746</v>
      </c>
      <c r="AX88" s="15">
        <v>0.20472008781558726</v>
      </c>
      <c r="AY88" s="57"/>
      <c r="AZ88" s="56"/>
      <c r="BA88" s="15"/>
      <c r="BB88" s="10">
        <v>20031566.63000004</v>
      </c>
      <c r="BC88" s="15">
        <v>0.23989841281457813</v>
      </c>
      <c r="BD88" s="11">
        <v>779</v>
      </c>
      <c r="BE88" s="15">
        <v>0.20419397116644822</v>
      </c>
      <c r="BF88" s="57"/>
      <c r="BG88" s="56"/>
      <c r="BH88" s="15"/>
      <c r="BI88" s="10">
        <v>21171782.060000025</v>
      </c>
      <c r="BJ88" s="15">
        <v>0.24432002640985914</v>
      </c>
      <c r="BK88" s="11">
        <v>812</v>
      </c>
      <c r="BL88" s="15">
        <v>0.21041720653018917</v>
      </c>
      <c r="BM88" s="57"/>
      <c r="BN88" s="56"/>
      <c r="BO88" s="15"/>
      <c r="BP88" s="10">
        <v>24721582.230000015</v>
      </c>
      <c r="BQ88" s="15">
        <v>0.24055163868512916</v>
      </c>
      <c r="BR88" s="11">
        <v>940</v>
      </c>
      <c r="BS88" s="15">
        <v>0.21271780945915367</v>
      </c>
      <c r="BT88" s="57"/>
      <c r="BU88" s="56"/>
      <c r="BV88" s="15"/>
      <c r="BW88" s="10">
        <v>26795260.200000033</v>
      </c>
      <c r="BX88" s="15">
        <v>0.24999790843956385</v>
      </c>
      <c r="BY88" s="11">
        <v>1005</v>
      </c>
      <c r="BZ88" s="15">
        <v>0.22333333333333333</v>
      </c>
      <c r="CA88" s="57"/>
      <c r="CB88" s="56"/>
      <c r="CC88" s="15"/>
      <c r="CD88" s="10">
        <v>28305131.629999995</v>
      </c>
      <c r="CE88" s="15">
        <v>0.24623851555407056</v>
      </c>
      <c r="CF88" s="11">
        <v>1055</v>
      </c>
      <c r="CG88" s="15">
        <v>0.22610372910415774</v>
      </c>
      <c r="CH88" s="57"/>
      <c r="CI88" s="56"/>
      <c r="CJ88" s="15"/>
      <c r="CK88" s="10">
        <v>28072128.589999985</v>
      </c>
      <c r="CL88" s="15">
        <v>0.2452578796514929</v>
      </c>
      <c r="CM88" s="11">
        <v>1034</v>
      </c>
      <c r="CN88" s="15">
        <v>0.2264564169951818</v>
      </c>
      <c r="CO88" s="57"/>
      <c r="CP88" s="56"/>
      <c r="CQ88" s="15"/>
    </row>
    <row r="89" spans="1:95" ht="12.75">
      <c r="A89" s="9" t="s">
        <v>7</v>
      </c>
      <c r="B89" s="9"/>
      <c r="C89" s="9"/>
      <c r="D89" s="10">
        <v>1326108.12</v>
      </c>
      <c r="E89" s="15">
        <v>0.13829351951838234</v>
      </c>
      <c r="F89" s="11">
        <v>54</v>
      </c>
      <c r="G89" s="15">
        <v>0.09712230215827339</v>
      </c>
      <c r="H89" s="9"/>
      <c r="I89" s="9"/>
      <c r="J89" s="10">
        <v>1316725.93</v>
      </c>
      <c r="K89" s="15">
        <v>0.14236544596260028</v>
      </c>
      <c r="L89" s="11">
        <v>54</v>
      </c>
      <c r="M89" s="15">
        <v>0.09836065573770492</v>
      </c>
      <c r="N89" s="57"/>
      <c r="O89" s="56"/>
      <c r="P89" s="15">
        <v>0.07266629401900503</v>
      </c>
      <c r="Q89" s="9"/>
      <c r="R89" s="10">
        <v>3831503.11</v>
      </c>
      <c r="S89" s="15">
        <v>0.1632673207310304</v>
      </c>
      <c r="T89" s="11">
        <v>151</v>
      </c>
      <c r="U89" s="15">
        <v>0.11302395209580839</v>
      </c>
      <c r="V89" s="57"/>
      <c r="W89" s="56"/>
      <c r="X89" s="15"/>
      <c r="Y89" s="10">
        <v>6078168.590000005</v>
      </c>
      <c r="Z89" s="15">
        <v>0.1498743475426964</v>
      </c>
      <c r="AA89" s="11">
        <v>228</v>
      </c>
      <c r="AB89" s="15">
        <v>0.10473128158015618</v>
      </c>
      <c r="AC89" s="57"/>
      <c r="AD89" s="56"/>
      <c r="AE89" s="56"/>
      <c r="AF89" s="15"/>
      <c r="AG89" s="10">
        <v>8338502.600000005</v>
      </c>
      <c r="AH89" s="15">
        <v>0.1493854575582114</v>
      </c>
      <c r="AI89" s="11">
        <v>303</v>
      </c>
      <c r="AJ89" s="15">
        <v>0.10250338294993235</v>
      </c>
      <c r="AK89" s="57"/>
      <c r="AL89" s="56"/>
      <c r="AM89" s="15"/>
      <c r="AN89" s="10">
        <v>8601364.619999997</v>
      </c>
      <c r="AO89" s="15">
        <v>0.14524552044324213</v>
      </c>
      <c r="AP89" s="11">
        <v>298</v>
      </c>
      <c r="AQ89" s="15">
        <v>0.1011541072640869</v>
      </c>
      <c r="AR89" s="57"/>
      <c r="AS89" s="56"/>
      <c r="AT89" s="15"/>
      <c r="AU89" s="10">
        <v>11149160.31000001</v>
      </c>
      <c r="AV89" s="15">
        <v>0.14518280940269673</v>
      </c>
      <c r="AW89" s="11">
        <v>374</v>
      </c>
      <c r="AX89" s="15">
        <v>0.1026344676180022</v>
      </c>
      <c r="AY89" s="57"/>
      <c r="AZ89" s="56"/>
      <c r="BA89" s="15"/>
      <c r="BB89" s="10">
        <v>12916700.259999989</v>
      </c>
      <c r="BC89" s="15">
        <v>0.15469064144663158</v>
      </c>
      <c r="BD89" s="11">
        <v>418</v>
      </c>
      <c r="BE89" s="15">
        <v>0.10956749672346003</v>
      </c>
      <c r="BF89" s="57"/>
      <c r="BG89" s="56"/>
      <c r="BH89" s="15"/>
      <c r="BI89" s="10">
        <v>13014642.949999992</v>
      </c>
      <c r="BJ89" s="15">
        <v>0.1501875420901098</v>
      </c>
      <c r="BK89" s="11">
        <v>420</v>
      </c>
      <c r="BL89" s="15">
        <v>0.10883648613630474</v>
      </c>
      <c r="BM89" s="57"/>
      <c r="BN89" s="56"/>
      <c r="BO89" s="15"/>
      <c r="BP89" s="10">
        <v>16411592.249999996</v>
      </c>
      <c r="BQ89" s="15">
        <v>0.15969185841102462</v>
      </c>
      <c r="BR89" s="11">
        <v>518</v>
      </c>
      <c r="BS89" s="15">
        <v>0.11722109074451233</v>
      </c>
      <c r="BT89" s="57"/>
      <c r="BU89" s="56"/>
      <c r="BV89" s="15"/>
      <c r="BW89" s="10">
        <v>17645854.67999999</v>
      </c>
      <c r="BX89" s="15">
        <v>0.1646345931967655</v>
      </c>
      <c r="BY89" s="11">
        <v>550</v>
      </c>
      <c r="BZ89" s="15">
        <v>0.12222222222222222</v>
      </c>
      <c r="CA89" s="57"/>
      <c r="CB89" s="56"/>
      <c r="CC89" s="15"/>
      <c r="CD89" s="10">
        <v>20196852.809999965</v>
      </c>
      <c r="CE89" s="15">
        <v>0.17570111030776545</v>
      </c>
      <c r="CF89" s="11">
        <v>612</v>
      </c>
      <c r="CG89" s="15">
        <v>0.13116159451350193</v>
      </c>
      <c r="CH89" s="57"/>
      <c r="CI89" s="56"/>
      <c r="CJ89" s="15"/>
      <c r="CK89" s="10">
        <v>19974901.109999985</v>
      </c>
      <c r="CL89" s="15">
        <v>0.17451479950230772</v>
      </c>
      <c r="CM89" s="11">
        <v>595</v>
      </c>
      <c r="CN89" s="15">
        <v>0.13031099430573806</v>
      </c>
      <c r="CO89" s="57"/>
      <c r="CP89" s="56"/>
      <c r="CQ89" s="15"/>
    </row>
    <row r="90" spans="1:95" ht="12.75">
      <c r="A90" s="9" t="s">
        <v>8</v>
      </c>
      <c r="B90" s="9"/>
      <c r="C90" s="9"/>
      <c r="D90" s="10">
        <v>1421310.43</v>
      </c>
      <c r="E90" s="15">
        <v>0.14822171641094042</v>
      </c>
      <c r="F90" s="11">
        <v>50</v>
      </c>
      <c r="G90" s="15">
        <v>0.08992805755395683</v>
      </c>
      <c r="H90" s="9"/>
      <c r="I90" s="9"/>
      <c r="J90" s="10">
        <v>1407188.03</v>
      </c>
      <c r="K90" s="15">
        <v>0.1521462795558245</v>
      </c>
      <c r="L90" s="11">
        <v>49</v>
      </c>
      <c r="M90" s="15">
        <v>0.08925318761384335</v>
      </c>
      <c r="N90" s="57"/>
      <c r="O90" s="56"/>
      <c r="P90" s="15">
        <v>0.040804918949133594</v>
      </c>
      <c r="Q90" s="9"/>
      <c r="R90" s="10">
        <v>3321954.34</v>
      </c>
      <c r="S90" s="15">
        <v>0.14155452027875778</v>
      </c>
      <c r="T90" s="11">
        <v>120</v>
      </c>
      <c r="U90" s="15">
        <v>0.08982035928143713</v>
      </c>
      <c r="V90" s="57"/>
      <c r="W90" s="56"/>
      <c r="X90" s="15"/>
      <c r="Y90" s="10">
        <v>6606983.370000005</v>
      </c>
      <c r="Z90" s="15">
        <v>0.16291376376649586</v>
      </c>
      <c r="AA90" s="11">
        <v>231</v>
      </c>
      <c r="AB90" s="15">
        <v>0.10610932475884244</v>
      </c>
      <c r="AC90" s="57"/>
      <c r="AD90" s="56"/>
      <c r="AE90" s="56"/>
      <c r="AF90" s="15"/>
      <c r="AG90" s="10">
        <v>9356070.190000005</v>
      </c>
      <c r="AH90" s="15">
        <v>0.16761532535588483</v>
      </c>
      <c r="AI90" s="11">
        <v>334</v>
      </c>
      <c r="AJ90" s="15">
        <v>0.11299052774018944</v>
      </c>
      <c r="AK90" s="57"/>
      <c r="AL90" s="56"/>
      <c r="AM90" s="15"/>
      <c r="AN90" s="10">
        <v>10689499.619999986</v>
      </c>
      <c r="AO90" s="15">
        <v>0.18050646661049666</v>
      </c>
      <c r="AP90" s="11">
        <v>360</v>
      </c>
      <c r="AQ90" s="15">
        <v>0.12219959266802444</v>
      </c>
      <c r="AR90" s="57"/>
      <c r="AS90" s="56"/>
      <c r="AT90" s="15"/>
      <c r="AU90" s="10">
        <v>15810594.299999997</v>
      </c>
      <c r="AV90" s="15">
        <v>0.20588335219661585</v>
      </c>
      <c r="AW90" s="11">
        <v>502</v>
      </c>
      <c r="AX90" s="15">
        <v>0.13776070252469813</v>
      </c>
      <c r="AY90" s="57"/>
      <c r="AZ90" s="56"/>
      <c r="BA90" s="15"/>
      <c r="BB90" s="10">
        <v>17539491.910000015</v>
      </c>
      <c r="BC90" s="15">
        <v>0.21005327983092098</v>
      </c>
      <c r="BD90" s="11">
        <v>543</v>
      </c>
      <c r="BE90" s="15">
        <v>0.14233289646133682</v>
      </c>
      <c r="BF90" s="57"/>
      <c r="BG90" s="56"/>
      <c r="BH90" s="15"/>
      <c r="BI90" s="10">
        <v>19137514.310000002</v>
      </c>
      <c r="BJ90" s="15">
        <v>0.22084480127310796</v>
      </c>
      <c r="BK90" s="11">
        <v>595</v>
      </c>
      <c r="BL90" s="15">
        <v>0.15418502202643172</v>
      </c>
      <c r="BM90" s="57"/>
      <c r="BN90" s="56"/>
      <c r="BO90" s="15"/>
      <c r="BP90" s="10">
        <v>23801887.559999987</v>
      </c>
      <c r="BQ90" s="15">
        <v>0.23160261358227735</v>
      </c>
      <c r="BR90" s="11">
        <v>733</v>
      </c>
      <c r="BS90" s="15">
        <v>0.16587463226974428</v>
      </c>
      <c r="BT90" s="57"/>
      <c r="BU90" s="56"/>
      <c r="BV90" s="15"/>
      <c r="BW90" s="10">
        <v>26341834.919999976</v>
      </c>
      <c r="BX90" s="15">
        <v>0.24576748220792616</v>
      </c>
      <c r="BY90" s="11">
        <v>808</v>
      </c>
      <c r="BZ90" s="15">
        <v>0.17955555555555555</v>
      </c>
      <c r="CA90" s="57"/>
      <c r="CB90" s="56"/>
      <c r="CC90" s="15"/>
      <c r="CD90" s="10">
        <v>30788118.73000001</v>
      </c>
      <c r="CE90" s="15">
        <v>0.26783908839846227</v>
      </c>
      <c r="CF90" s="11">
        <v>929</v>
      </c>
      <c r="CG90" s="15">
        <v>0.19909987141020147</v>
      </c>
      <c r="CH90" s="57"/>
      <c r="CI90" s="56"/>
      <c r="CJ90" s="15"/>
      <c r="CK90" s="10">
        <v>31870893.879999995</v>
      </c>
      <c r="CL90" s="15">
        <v>0.27844656776013094</v>
      </c>
      <c r="CM90" s="11">
        <v>947</v>
      </c>
      <c r="CN90" s="15">
        <v>0.20740254051686377</v>
      </c>
      <c r="CO90" s="57"/>
      <c r="CP90" s="56"/>
      <c r="CQ90" s="15"/>
    </row>
    <row r="91" spans="1:95" ht="12.75">
      <c r="A91" s="9" t="s">
        <v>9</v>
      </c>
      <c r="B91" s="9"/>
      <c r="C91" s="9"/>
      <c r="D91" s="10">
        <v>0</v>
      </c>
      <c r="E91" s="15">
        <v>0</v>
      </c>
      <c r="F91" s="11">
        <v>0</v>
      </c>
      <c r="G91" s="15">
        <v>0</v>
      </c>
      <c r="H91" s="9"/>
      <c r="I91" s="9"/>
      <c r="J91" s="10">
        <v>0</v>
      </c>
      <c r="K91" s="15">
        <v>0</v>
      </c>
      <c r="L91" s="11">
        <v>0</v>
      </c>
      <c r="M91" s="15">
        <v>0</v>
      </c>
      <c r="N91" s="57"/>
      <c r="O91" s="56"/>
      <c r="P91" s="15">
        <v>0</v>
      </c>
      <c r="Q91" s="9"/>
      <c r="R91" s="10">
        <v>0</v>
      </c>
      <c r="S91" s="15">
        <v>0</v>
      </c>
      <c r="T91" s="11">
        <v>0</v>
      </c>
      <c r="U91" s="15">
        <v>0</v>
      </c>
      <c r="V91" s="57"/>
      <c r="W91" s="56"/>
      <c r="X91" s="15"/>
      <c r="Y91" s="10">
        <v>0</v>
      </c>
      <c r="Z91" s="15">
        <v>0</v>
      </c>
      <c r="AA91" s="11">
        <v>0</v>
      </c>
      <c r="AB91" s="15">
        <v>0</v>
      </c>
      <c r="AC91" s="57"/>
      <c r="AD91" s="56"/>
      <c r="AE91" s="56"/>
      <c r="AF91" s="15"/>
      <c r="AG91" s="10">
        <v>0</v>
      </c>
      <c r="AH91" s="15">
        <v>0</v>
      </c>
      <c r="AI91" s="11">
        <v>0</v>
      </c>
      <c r="AJ91" s="15">
        <v>0</v>
      </c>
      <c r="AK91" s="57"/>
      <c r="AL91" s="56"/>
      <c r="AM91" s="15"/>
      <c r="AN91" s="10">
        <v>0</v>
      </c>
      <c r="AO91" s="15">
        <v>0</v>
      </c>
      <c r="AP91" s="11">
        <v>0</v>
      </c>
      <c r="AQ91" s="15">
        <v>0</v>
      </c>
      <c r="AR91" s="57"/>
      <c r="AS91" s="56"/>
      <c r="AT91" s="15"/>
      <c r="AU91" s="10">
        <v>0</v>
      </c>
      <c r="AV91" s="15">
        <v>0</v>
      </c>
      <c r="AW91" s="11">
        <v>0</v>
      </c>
      <c r="AX91" s="15">
        <v>0</v>
      </c>
      <c r="AY91" s="57"/>
      <c r="AZ91" s="56"/>
      <c r="BA91" s="15"/>
      <c r="BB91" s="10">
        <v>0</v>
      </c>
      <c r="BC91" s="15">
        <v>0</v>
      </c>
      <c r="BD91" s="11">
        <v>0</v>
      </c>
      <c r="BE91" s="15">
        <v>0</v>
      </c>
      <c r="BF91" s="57"/>
      <c r="BG91" s="56"/>
      <c r="BH91" s="15"/>
      <c r="BI91" s="10">
        <v>0</v>
      </c>
      <c r="BJ91" s="15">
        <v>0</v>
      </c>
      <c r="BK91" s="11">
        <v>0</v>
      </c>
      <c r="BL91" s="15">
        <v>0</v>
      </c>
      <c r="BM91" s="57"/>
      <c r="BN91" s="56"/>
      <c r="BO91" s="15"/>
      <c r="BP91" s="10">
        <v>0</v>
      </c>
      <c r="BQ91" s="15">
        <v>0</v>
      </c>
      <c r="BR91" s="11">
        <v>0</v>
      </c>
      <c r="BS91" s="15">
        <v>0</v>
      </c>
      <c r="BT91" s="57"/>
      <c r="BU91" s="56"/>
      <c r="BV91" s="15"/>
      <c r="BW91" s="10">
        <v>0</v>
      </c>
      <c r="BX91" s="15">
        <v>0</v>
      </c>
      <c r="BY91" s="11">
        <v>0</v>
      </c>
      <c r="BZ91" s="15">
        <v>0</v>
      </c>
      <c r="CA91" s="57"/>
      <c r="CB91" s="56"/>
      <c r="CC91" s="15"/>
      <c r="CD91" s="10">
        <v>0</v>
      </c>
      <c r="CE91" s="15">
        <v>0</v>
      </c>
      <c r="CF91" s="11">
        <v>0</v>
      </c>
      <c r="CG91" s="15">
        <v>0</v>
      </c>
      <c r="CH91" s="57"/>
      <c r="CI91" s="56"/>
      <c r="CJ91" s="15"/>
      <c r="CK91" s="10">
        <v>0</v>
      </c>
      <c r="CL91" s="15">
        <v>0</v>
      </c>
      <c r="CM91" s="11">
        <v>0</v>
      </c>
      <c r="CN91" s="15">
        <v>0</v>
      </c>
      <c r="CO91" s="57"/>
      <c r="CP91" s="56"/>
      <c r="CQ91" s="15"/>
    </row>
    <row r="92" spans="1:95" ht="12.75">
      <c r="A92" s="9"/>
      <c r="B92" s="13"/>
      <c r="C92" s="13"/>
      <c r="D92" s="10"/>
      <c r="E92" s="9"/>
      <c r="F92" s="11"/>
      <c r="G92" s="9"/>
      <c r="H92" s="9"/>
      <c r="I92" s="9"/>
      <c r="J92" s="10"/>
      <c r="K92" s="9"/>
      <c r="L92" s="11"/>
      <c r="M92" s="64"/>
      <c r="N92" s="55"/>
      <c r="O92" s="56"/>
      <c r="P92" s="9"/>
      <c r="Q92" s="9"/>
      <c r="R92" s="10"/>
      <c r="S92" s="9"/>
      <c r="T92" s="11"/>
      <c r="U92" s="64"/>
      <c r="V92" s="55"/>
      <c r="W92" s="56"/>
      <c r="X92" s="9"/>
      <c r="Y92" s="10"/>
      <c r="Z92" s="9"/>
      <c r="AA92" s="11"/>
      <c r="AB92" s="64"/>
      <c r="AC92" s="55"/>
      <c r="AD92" s="56"/>
      <c r="AE92" s="56"/>
      <c r="AF92" s="9"/>
      <c r="AG92" s="10"/>
      <c r="AH92" s="9"/>
      <c r="AI92" s="11"/>
      <c r="AJ92" s="64"/>
      <c r="AK92" s="55"/>
      <c r="AL92" s="56"/>
      <c r="AM92" s="9"/>
      <c r="AN92" s="10"/>
      <c r="AO92" s="9"/>
      <c r="AP92" s="11"/>
      <c r="AQ92" s="64"/>
      <c r="AR92" s="55"/>
      <c r="AS92" s="56"/>
      <c r="AT92" s="9"/>
      <c r="AU92" s="10"/>
      <c r="AV92" s="9"/>
      <c r="AW92" s="11"/>
      <c r="AX92" s="64"/>
      <c r="AY92" s="55"/>
      <c r="AZ92" s="56"/>
      <c r="BA92" s="9"/>
      <c r="BB92" s="10"/>
      <c r="BC92" s="9"/>
      <c r="BD92" s="11"/>
      <c r="BE92" s="64"/>
      <c r="BF92" s="55"/>
      <c r="BG92" s="56"/>
      <c r="BH92" s="9"/>
      <c r="BI92" s="10"/>
      <c r="BJ92" s="9"/>
      <c r="BK92" s="11"/>
      <c r="BL92" s="64"/>
      <c r="BM92" s="55"/>
      <c r="BN92" s="56"/>
      <c r="BO92" s="9"/>
      <c r="BP92" s="10"/>
      <c r="BQ92" s="9"/>
      <c r="BR92" s="11"/>
      <c r="BS92" s="64"/>
      <c r="BT92" s="55"/>
      <c r="BU92" s="56"/>
      <c r="BV92" s="9"/>
      <c r="BW92" s="10"/>
      <c r="BX92" s="9"/>
      <c r="BY92" s="11"/>
      <c r="BZ92" s="64"/>
      <c r="CA92" s="55"/>
      <c r="CB92" s="56"/>
      <c r="CC92" s="9"/>
      <c r="CD92" s="10"/>
      <c r="CE92" s="9"/>
      <c r="CF92" s="11"/>
      <c r="CG92" s="64"/>
      <c r="CH92" s="55"/>
      <c r="CI92" s="56"/>
      <c r="CJ92" s="9"/>
      <c r="CK92" s="10"/>
      <c r="CL92" s="9"/>
      <c r="CM92" s="11"/>
      <c r="CN92" s="64"/>
      <c r="CO92" s="55"/>
      <c r="CP92" s="56"/>
      <c r="CQ92" s="9"/>
    </row>
    <row r="93" spans="1:95" ht="13.5" thickBot="1">
      <c r="A93" s="9"/>
      <c r="B93" s="9"/>
      <c r="C93" s="9"/>
      <c r="D93" s="22">
        <f>SUM(D78:D92)</f>
        <v>9589083.6</v>
      </c>
      <c r="E93" s="13"/>
      <c r="F93" s="23">
        <f>SUM(F78:F91)</f>
        <v>556</v>
      </c>
      <c r="G93" s="24"/>
      <c r="H93" s="9"/>
      <c r="I93" s="9"/>
      <c r="J93" s="22">
        <f>SUM(J78:J91)</f>
        <v>9248915.149999999</v>
      </c>
      <c r="K93" s="13"/>
      <c r="L93" s="76">
        <f>SUM(L78:L91)</f>
        <v>549</v>
      </c>
      <c r="M93" s="31"/>
      <c r="N93" s="54"/>
      <c r="O93" s="32"/>
      <c r="P93" s="24"/>
      <c r="Q93" s="9"/>
      <c r="R93" s="22">
        <f>SUM(R78:R91)</f>
        <v>23467666.97</v>
      </c>
      <c r="S93" s="13"/>
      <c r="T93" s="76">
        <f>SUM(T78:T91)</f>
        <v>1336</v>
      </c>
      <c r="U93" s="31"/>
      <c r="V93" s="54"/>
      <c r="W93" s="32"/>
      <c r="X93" s="24"/>
      <c r="Y93" s="22">
        <f>SUM(Y78:Y91)</f>
        <v>40555096.250000015</v>
      </c>
      <c r="Z93" s="13"/>
      <c r="AA93" s="76">
        <f>SUM(AA78:AA91)</f>
        <v>2177</v>
      </c>
      <c r="AB93" s="31"/>
      <c r="AC93" s="54"/>
      <c r="AD93" s="32"/>
      <c r="AE93" s="32"/>
      <c r="AF93" s="24"/>
      <c r="AG93" s="22">
        <f>SUM(AG78:AG91)</f>
        <v>55818703.75000004</v>
      </c>
      <c r="AH93" s="13"/>
      <c r="AI93" s="76">
        <f>SUM(AI78:AI91)</f>
        <v>2956</v>
      </c>
      <c r="AJ93" s="31"/>
      <c r="AK93" s="54"/>
      <c r="AL93" s="32"/>
      <c r="AM93" s="24"/>
      <c r="AN93" s="22">
        <f>SUM(AN78:AN91)</f>
        <v>59219482.94</v>
      </c>
      <c r="AO93" s="13"/>
      <c r="AP93" s="76">
        <f>SUM(AP78:AP91)</f>
        <v>2946</v>
      </c>
      <c r="AQ93" s="31"/>
      <c r="AR93" s="54"/>
      <c r="AS93" s="32"/>
      <c r="AT93" s="24"/>
      <c r="AU93" s="22">
        <f>SUM(AU78:AU91)</f>
        <v>76793942.44999999</v>
      </c>
      <c r="AV93" s="13"/>
      <c r="AW93" s="76">
        <f>SUM(AW78:AW91)</f>
        <v>3644</v>
      </c>
      <c r="AX93" s="31"/>
      <c r="AY93" s="54"/>
      <c r="AZ93" s="32"/>
      <c r="BA93" s="24"/>
      <c r="BB93" s="22">
        <f>SUM(BB78:BB91)</f>
        <v>83500204.92000003</v>
      </c>
      <c r="BC93" s="13"/>
      <c r="BD93" s="76">
        <f>SUM(BD78:BD91)</f>
        <v>3815</v>
      </c>
      <c r="BE93" s="31"/>
      <c r="BF93" s="54"/>
      <c r="BG93" s="32"/>
      <c r="BH93" s="24"/>
      <c r="BI93" s="22">
        <f>SUM(BI78:BI91)</f>
        <v>86655942.09</v>
      </c>
      <c r="BJ93" s="13"/>
      <c r="BK93" s="76">
        <f>SUM(BK78:BK91)</f>
        <v>3859</v>
      </c>
      <c r="BL93" s="31"/>
      <c r="BM93" s="54"/>
      <c r="BN93" s="32"/>
      <c r="BO93" s="24"/>
      <c r="BP93" s="22">
        <f>SUM(BP78:BP91)</f>
        <v>102770375.47999999</v>
      </c>
      <c r="BQ93" s="13"/>
      <c r="BR93" s="76">
        <f>SUM(BR78:BR91)</f>
        <v>4419</v>
      </c>
      <c r="BS93" s="31"/>
      <c r="BT93" s="54"/>
      <c r="BU93" s="32"/>
      <c r="BV93" s="24"/>
      <c r="BW93" s="22">
        <f>SUM(BW78:BW91)</f>
        <v>107181937.50999999</v>
      </c>
      <c r="BX93" s="13"/>
      <c r="BY93" s="76">
        <f>SUM(BY78:BY91)</f>
        <v>4500</v>
      </c>
      <c r="BZ93" s="31"/>
      <c r="CA93" s="54"/>
      <c r="CB93" s="32"/>
      <c r="CC93" s="24"/>
      <c r="CD93" s="22">
        <f>SUM(CD78:CD91)</f>
        <v>114950057.93999997</v>
      </c>
      <c r="CE93" s="13"/>
      <c r="CF93" s="76">
        <f>SUM(CF78:CF91)</f>
        <v>4666</v>
      </c>
      <c r="CG93" s="31"/>
      <c r="CH93" s="54"/>
      <c r="CI93" s="32"/>
      <c r="CJ93" s="24"/>
      <c r="CK93" s="22">
        <f>SUM(CK78:CK91)</f>
        <v>114459639.90999997</v>
      </c>
      <c r="CL93" s="13"/>
      <c r="CM93" s="76">
        <f>SUM(CM78:CM91)</f>
        <v>4566</v>
      </c>
      <c r="CN93" s="31"/>
      <c r="CO93" s="54"/>
      <c r="CP93" s="32"/>
      <c r="CQ93" s="24"/>
    </row>
    <row r="94" spans="1:95" ht="13.5" thickTop="1">
      <c r="A94" s="9"/>
      <c r="B94" s="9"/>
      <c r="C94" s="9"/>
      <c r="D94" s="10"/>
      <c r="E94" s="9"/>
      <c r="F94" s="11"/>
      <c r="G94" s="9"/>
      <c r="H94" s="9"/>
      <c r="I94" s="9"/>
      <c r="J94" s="9"/>
      <c r="K94" s="9"/>
      <c r="L94" s="9"/>
      <c r="M94" s="10"/>
      <c r="N94" s="9"/>
      <c r="O94" s="11"/>
      <c r="P94" s="9"/>
      <c r="Q94" s="9"/>
      <c r="R94" s="9"/>
      <c r="S94" s="9"/>
      <c r="T94" s="9"/>
      <c r="U94" s="10"/>
      <c r="V94" s="9"/>
      <c r="W94" s="11"/>
      <c r="X94" s="9"/>
      <c r="Y94" s="9"/>
      <c r="Z94" s="9"/>
      <c r="AA94" s="9"/>
      <c r="AB94" s="10"/>
      <c r="AC94" s="9"/>
      <c r="AD94" s="11"/>
      <c r="AE94" s="11"/>
      <c r="AF94" s="9"/>
      <c r="AG94" s="9"/>
      <c r="AH94" s="9"/>
      <c r="AI94" s="9"/>
      <c r="AJ94" s="10"/>
      <c r="AK94" s="9"/>
      <c r="AL94" s="11"/>
      <c r="AM94" s="9"/>
      <c r="AN94" s="9"/>
      <c r="AO94" s="9"/>
      <c r="AP94" s="9"/>
      <c r="AQ94" s="10"/>
      <c r="AR94" s="9"/>
      <c r="AS94" s="11"/>
      <c r="AT94" s="9"/>
      <c r="AU94" s="9"/>
      <c r="AV94" s="9"/>
      <c r="AW94" s="9"/>
      <c r="AX94" s="10"/>
      <c r="AY94" s="9"/>
      <c r="AZ94" s="11"/>
      <c r="BA94" s="9"/>
      <c r="BB94" s="9"/>
      <c r="BC94" s="9"/>
      <c r="BD94" s="9"/>
      <c r="BE94" s="10"/>
      <c r="BF94" s="9"/>
      <c r="BG94" s="11"/>
      <c r="BH94" s="9"/>
      <c r="BI94" s="9"/>
      <c r="BJ94" s="9"/>
      <c r="BK94" s="9"/>
      <c r="BL94" s="10"/>
      <c r="BM94" s="9"/>
      <c r="BN94" s="11"/>
      <c r="BO94" s="9"/>
      <c r="BP94" s="9"/>
      <c r="BQ94" s="9"/>
      <c r="BR94" s="9"/>
      <c r="BS94" s="10"/>
      <c r="BT94" s="9"/>
      <c r="BU94" s="11"/>
      <c r="BV94" s="9"/>
      <c r="BW94" s="9"/>
      <c r="BX94" s="9"/>
      <c r="BY94" s="9"/>
      <c r="BZ94" s="10"/>
      <c r="CA94" s="9"/>
      <c r="CB94" s="11"/>
      <c r="CC94" s="9"/>
      <c r="CD94" s="9"/>
      <c r="CE94" s="9"/>
      <c r="CF94" s="9"/>
      <c r="CG94" s="10"/>
      <c r="CH94" s="9"/>
      <c r="CI94" s="11"/>
      <c r="CJ94" s="9"/>
      <c r="CK94" s="9"/>
      <c r="CL94" s="9"/>
      <c r="CM94" s="9"/>
      <c r="CN94" s="10"/>
      <c r="CO94" s="9"/>
      <c r="CP94" s="11"/>
      <c r="CQ94" s="9"/>
    </row>
    <row r="95" spans="1:95" ht="12.75">
      <c r="A95" s="9"/>
      <c r="B95" s="9"/>
      <c r="C95" s="9"/>
      <c r="D95" s="10"/>
      <c r="E95" s="9"/>
      <c r="F95" s="11"/>
      <c r="G95" s="9"/>
      <c r="H95" s="9"/>
      <c r="I95" s="9"/>
      <c r="J95" s="9"/>
      <c r="K95" s="9"/>
      <c r="L95" s="9"/>
      <c r="M95" s="10"/>
      <c r="N95" s="9"/>
      <c r="O95" s="11"/>
      <c r="P95" s="9"/>
      <c r="Q95" s="9"/>
      <c r="R95" s="9"/>
      <c r="S95" s="9"/>
      <c r="T95" s="9"/>
      <c r="U95" s="10"/>
      <c r="V95" s="9"/>
      <c r="W95" s="11"/>
      <c r="X95" s="9"/>
      <c r="Y95" s="9"/>
      <c r="Z95" s="9"/>
      <c r="AA95" s="9"/>
      <c r="AB95" s="10"/>
      <c r="AC95" s="9"/>
      <c r="AD95" s="11"/>
      <c r="AE95" s="11"/>
      <c r="AF95" s="9"/>
      <c r="AG95" s="9"/>
      <c r="AH95" s="9"/>
      <c r="AI95" s="9"/>
      <c r="AJ95" s="10"/>
      <c r="AK95" s="9"/>
      <c r="AL95" s="11"/>
      <c r="AM95" s="9"/>
      <c r="AN95" s="9"/>
      <c r="AO95" s="9"/>
      <c r="AP95" s="9"/>
      <c r="AQ95" s="10"/>
      <c r="AR95" s="9"/>
      <c r="AS95" s="11"/>
      <c r="AT95" s="9"/>
      <c r="AU95" s="9"/>
      <c r="AV95" s="9"/>
      <c r="AW95" s="9"/>
      <c r="AX95" s="10"/>
      <c r="AY95" s="9"/>
      <c r="AZ95" s="11"/>
      <c r="BA95" s="9"/>
      <c r="BB95" s="9"/>
      <c r="BC95" s="9"/>
      <c r="BD95" s="9"/>
      <c r="BE95" s="10"/>
      <c r="BF95" s="9"/>
      <c r="BG95" s="11"/>
      <c r="BH95" s="9"/>
      <c r="BI95" s="9"/>
      <c r="BJ95" s="9"/>
      <c r="BK95" s="9"/>
      <c r="BL95" s="10"/>
      <c r="BM95" s="9"/>
      <c r="BN95" s="11"/>
      <c r="BO95" s="9"/>
      <c r="BP95" s="9"/>
      <c r="BQ95" s="9"/>
      <c r="BR95" s="9"/>
      <c r="BS95" s="10"/>
      <c r="BT95" s="9"/>
      <c r="BU95" s="11"/>
      <c r="BV95" s="9"/>
      <c r="BW95" s="9"/>
      <c r="BX95" s="9"/>
      <c r="BY95" s="9"/>
      <c r="BZ95" s="10"/>
      <c r="CA95" s="9"/>
      <c r="CB95" s="11"/>
      <c r="CC95" s="9"/>
      <c r="CD95" s="9"/>
      <c r="CE95" s="9"/>
      <c r="CF95" s="9"/>
      <c r="CG95" s="10"/>
      <c r="CH95" s="9"/>
      <c r="CI95" s="11"/>
      <c r="CJ95" s="9"/>
      <c r="CK95" s="9"/>
      <c r="CL95" s="9"/>
      <c r="CM95" s="9"/>
      <c r="CN95" s="10"/>
      <c r="CO95" s="9"/>
      <c r="CP95" s="11"/>
      <c r="CQ95" s="9"/>
    </row>
    <row r="96" spans="1:95" ht="12.75">
      <c r="A96" s="20" t="s">
        <v>107</v>
      </c>
      <c r="B96" s="9"/>
      <c r="C96" s="9"/>
      <c r="D96" s="10"/>
      <c r="E96" s="9"/>
      <c r="F96" s="11"/>
      <c r="G96" s="9"/>
      <c r="H96" s="9"/>
      <c r="I96" s="9"/>
      <c r="J96" s="20" t="s">
        <v>107</v>
      </c>
      <c r="K96" s="9"/>
      <c r="L96" s="9"/>
      <c r="M96" s="10"/>
      <c r="N96" s="9"/>
      <c r="O96" s="11"/>
      <c r="P96" s="9"/>
      <c r="Q96" s="9"/>
      <c r="R96" s="20" t="s">
        <v>107</v>
      </c>
      <c r="S96" s="9"/>
      <c r="T96" s="9"/>
      <c r="U96" s="10"/>
      <c r="V96" s="9"/>
      <c r="W96" s="11"/>
      <c r="X96" s="9"/>
      <c r="Y96" s="20" t="s">
        <v>107</v>
      </c>
      <c r="Z96" s="9"/>
      <c r="AA96" s="9"/>
      <c r="AB96" s="10"/>
      <c r="AC96" s="9"/>
      <c r="AD96" s="11"/>
      <c r="AE96" s="11"/>
      <c r="AF96" s="9"/>
      <c r="AG96" s="20" t="s">
        <v>107</v>
      </c>
      <c r="AH96" s="9"/>
      <c r="AI96" s="9"/>
      <c r="AJ96" s="10"/>
      <c r="AK96" s="9"/>
      <c r="AL96" s="11"/>
      <c r="AM96" s="9"/>
      <c r="AN96" s="20" t="s">
        <v>107</v>
      </c>
      <c r="AO96" s="9"/>
      <c r="AP96" s="9"/>
      <c r="AQ96" s="10"/>
      <c r="AR96" s="9"/>
      <c r="AS96" s="11"/>
      <c r="AT96" s="9"/>
      <c r="AU96" s="20" t="s">
        <v>107</v>
      </c>
      <c r="AV96" s="9"/>
      <c r="AW96" s="9"/>
      <c r="AX96" s="10"/>
      <c r="AY96" s="9"/>
      <c r="AZ96" s="11"/>
      <c r="BA96" s="9"/>
      <c r="BB96" s="20" t="s">
        <v>107</v>
      </c>
      <c r="BC96" s="9"/>
      <c r="BD96" s="9"/>
      <c r="BE96" s="10"/>
      <c r="BF96" s="9"/>
      <c r="BG96" s="11"/>
      <c r="BH96" s="9"/>
      <c r="BI96" s="20" t="s">
        <v>107</v>
      </c>
      <c r="BJ96" s="9"/>
      <c r="BK96" s="9"/>
      <c r="BL96" s="10"/>
      <c r="BM96" s="9"/>
      <c r="BN96" s="11"/>
      <c r="BO96" s="9"/>
      <c r="BP96" s="20" t="s">
        <v>107</v>
      </c>
      <c r="BQ96" s="9"/>
      <c r="BR96" s="9"/>
      <c r="BS96" s="10"/>
      <c r="BT96" s="9"/>
      <c r="BU96" s="11"/>
      <c r="BV96" s="9"/>
      <c r="BW96" s="20" t="s">
        <v>107</v>
      </c>
      <c r="BX96" s="9"/>
      <c r="BY96" s="9"/>
      <c r="BZ96" s="10"/>
      <c r="CA96" s="9"/>
      <c r="CB96" s="11"/>
      <c r="CC96" s="9"/>
      <c r="CD96" s="20" t="s">
        <v>107</v>
      </c>
      <c r="CE96" s="9"/>
      <c r="CF96" s="9"/>
      <c r="CG96" s="10"/>
      <c r="CH96" s="9"/>
      <c r="CI96" s="11"/>
      <c r="CJ96" s="9"/>
      <c r="CK96" s="20" t="s">
        <v>107</v>
      </c>
      <c r="CL96" s="9"/>
      <c r="CM96" s="9"/>
      <c r="CN96" s="10"/>
      <c r="CO96" s="9"/>
      <c r="CP96" s="11"/>
      <c r="CQ96" s="9"/>
    </row>
    <row r="97" spans="1:95" ht="12.75">
      <c r="A97" s="20"/>
      <c r="B97" s="9"/>
      <c r="C97" s="9"/>
      <c r="D97" s="10"/>
      <c r="E97" s="9"/>
      <c r="F97" s="11"/>
      <c r="G97" s="9"/>
      <c r="H97" s="9"/>
      <c r="I97" s="9"/>
      <c r="J97" s="20"/>
      <c r="K97" s="9"/>
      <c r="L97" s="9"/>
      <c r="M97" s="10"/>
      <c r="N97" s="9"/>
      <c r="O97" s="11"/>
      <c r="P97" s="9"/>
      <c r="Q97" s="9"/>
      <c r="R97" s="20"/>
      <c r="S97" s="9"/>
      <c r="T97" s="9"/>
      <c r="U97" s="10"/>
      <c r="V97" s="9"/>
      <c r="W97" s="11"/>
      <c r="X97" s="9"/>
      <c r="Y97" s="20"/>
      <c r="Z97" s="9"/>
      <c r="AA97" s="9"/>
      <c r="AB97" s="10"/>
      <c r="AC97" s="9"/>
      <c r="AD97" s="11"/>
      <c r="AE97" s="11"/>
      <c r="AF97" s="9"/>
      <c r="AG97" s="20"/>
      <c r="AH97" s="9"/>
      <c r="AI97" s="9"/>
      <c r="AJ97" s="10"/>
      <c r="AK97" s="9"/>
      <c r="AL97" s="11"/>
      <c r="AM97" s="9"/>
      <c r="AN97" s="20"/>
      <c r="AO97" s="9"/>
      <c r="AP97" s="9"/>
      <c r="AQ97" s="10"/>
      <c r="AR97" s="9"/>
      <c r="AS97" s="11"/>
      <c r="AT97" s="9"/>
      <c r="AU97" s="20"/>
      <c r="AV97" s="9"/>
      <c r="AW97" s="9"/>
      <c r="AX97" s="10"/>
      <c r="AY97" s="9"/>
      <c r="AZ97" s="11"/>
      <c r="BA97" s="9"/>
      <c r="BB97" s="20"/>
      <c r="BC97" s="9"/>
      <c r="BD97" s="9"/>
      <c r="BE97" s="10"/>
      <c r="BF97" s="9"/>
      <c r="BG97" s="11"/>
      <c r="BH97" s="9"/>
      <c r="BI97" s="20"/>
      <c r="BJ97" s="9"/>
      <c r="BK97" s="9"/>
      <c r="BL97" s="10"/>
      <c r="BM97" s="9"/>
      <c r="BN97" s="11"/>
      <c r="BO97" s="9"/>
      <c r="BP97" s="20"/>
      <c r="BQ97" s="9"/>
      <c r="BR97" s="9"/>
      <c r="BS97" s="10"/>
      <c r="BT97" s="9"/>
      <c r="BU97" s="11"/>
      <c r="BV97" s="9"/>
      <c r="BW97" s="20"/>
      <c r="BX97" s="9"/>
      <c r="BY97" s="9"/>
      <c r="BZ97" s="10"/>
      <c r="CA97" s="9"/>
      <c r="CB97" s="11"/>
      <c r="CC97" s="9"/>
      <c r="CD97" s="20"/>
      <c r="CE97" s="9"/>
      <c r="CF97" s="9"/>
      <c r="CG97" s="10"/>
      <c r="CH97" s="9"/>
      <c r="CI97" s="11"/>
      <c r="CJ97" s="9"/>
      <c r="CK97" s="20"/>
      <c r="CL97" s="9"/>
      <c r="CM97" s="9"/>
      <c r="CN97" s="10"/>
      <c r="CO97" s="9"/>
      <c r="CP97" s="11"/>
      <c r="CQ97" s="9"/>
    </row>
    <row r="98" spans="1:95" s="30" customFormat="1" ht="12.75">
      <c r="A98" s="26"/>
      <c r="B98" s="27"/>
      <c r="C98" s="27"/>
      <c r="D98" s="28" t="s">
        <v>143</v>
      </c>
      <c r="E98" s="27" t="s">
        <v>96</v>
      </c>
      <c r="F98" s="29" t="s">
        <v>97</v>
      </c>
      <c r="G98" s="27" t="s">
        <v>96</v>
      </c>
      <c r="H98" s="26"/>
      <c r="I98" s="26"/>
      <c r="J98" s="28" t="s">
        <v>143</v>
      </c>
      <c r="K98" s="27" t="s">
        <v>96</v>
      </c>
      <c r="L98" s="29" t="s">
        <v>97</v>
      </c>
      <c r="M98" s="27" t="s">
        <v>96</v>
      </c>
      <c r="N98" s="65"/>
      <c r="O98" s="66"/>
      <c r="P98" s="13" t="s">
        <v>132</v>
      </c>
      <c r="Q98" s="26"/>
      <c r="R98" s="28" t="s">
        <v>143</v>
      </c>
      <c r="S98" s="27" t="s">
        <v>96</v>
      </c>
      <c r="T98" s="29" t="s">
        <v>97</v>
      </c>
      <c r="U98" s="27" t="s">
        <v>96</v>
      </c>
      <c r="V98" s="65"/>
      <c r="W98" s="66"/>
      <c r="X98" s="13"/>
      <c r="Y98" s="28" t="s">
        <v>143</v>
      </c>
      <c r="Z98" s="27" t="s">
        <v>96</v>
      </c>
      <c r="AA98" s="29" t="s">
        <v>97</v>
      </c>
      <c r="AB98" s="27" t="s">
        <v>96</v>
      </c>
      <c r="AC98" s="65"/>
      <c r="AD98" s="66"/>
      <c r="AE98" s="66"/>
      <c r="AF98" s="13"/>
      <c r="AG98" s="28" t="s">
        <v>143</v>
      </c>
      <c r="AH98" s="27" t="s">
        <v>96</v>
      </c>
      <c r="AI98" s="29" t="s">
        <v>97</v>
      </c>
      <c r="AJ98" s="27" t="s">
        <v>96</v>
      </c>
      <c r="AK98" s="65"/>
      <c r="AL98" s="66"/>
      <c r="AM98" s="13"/>
      <c r="AN98" s="94" t="s">
        <v>143</v>
      </c>
      <c r="AO98" s="45" t="s">
        <v>96</v>
      </c>
      <c r="AP98" s="93" t="s">
        <v>97</v>
      </c>
      <c r="AQ98" s="45" t="s">
        <v>96</v>
      </c>
      <c r="AR98" s="65"/>
      <c r="AS98" s="66"/>
      <c r="AT98" s="13"/>
      <c r="AU98" s="94" t="s">
        <v>143</v>
      </c>
      <c r="AV98" s="45" t="s">
        <v>96</v>
      </c>
      <c r="AW98" s="93" t="s">
        <v>97</v>
      </c>
      <c r="AX98" s="45" t="s">
        <v>96</v>
      </c>
      <c r="AY98" s="65"/>
      <c r="AZ98" s="66"/>
      <c r="BA98" s="13"/>
      <c r="BB98" s="94" t="s">
        <v>143</v>
      </c>
      <c r="BC98" s="45" t="s">
        <v>96</v>
      </c>
      <c r="BD98" s="93" t="s">
        <v>97</v>
      </c>
      <c r="BE98" s="45" t="s">
        <v>96</v>
      </c>
      <c r="BF98" s="65"/>
      <c r="BG98" s="66"/>
      <c r="BH98" s="13"/>
      <c r="BI98" s="94" t="s">
        <v>143</v>
      </c>
      <c r="BJ98" s="45" t="s">
        <v>96</v>
      </c>
      <c r="BK98" s="93" t="s">
        <v>97</v>
      </c>
      <c r="BL98" s="45" t="s">
        <v>96</v>
      </c>
      <c r="BM98" s="65"/>
      <c r="BN98" s="66"/>
      <c r="BO98" s="13"/>
      <c r="BP98" s="94" t="s">
        <v>143</v>
      </c>
      <c r="BQ98" s="45" t="s">
        <v>96</v>
      </c>
      <c r="BR98" s="93" t="s">
        <v>97</v>
      </c>
      <c r="BS98" s="45" t="s">
        <v>96</v>
      </c>
      <c r="BT98" s="65"/>
      <c r="BU98" s="66"/>
      <c r="BV98" s="13"/>
      <c r="BW98" s="94" t="s">
        <v>143</v>
      </c>
      <c r="BX98" s="45" t="s">
        <v>96</v>
      </c>
      <c r="BY98" s="93" t="s">
        <v>97</v>
      </c>
      <c r="BZ98" s="45" t="s">
        <v>96</v>
      </c>
      <c r="CA98" s="65"/>
      <c r="CB98" s="66"/>
      <c r="CC98" s="13"/>
      <c r="CD98" s="94" t="s">
        <v>143</v>
      </c>
      <c r="CE98" s="45" t="s">
        <v>96</v>
      </c>
      <c r="CF98" s="93" t="s">
        <v>97</v>
      </c>
      <c r="CG98" s="45" t="s">
        <v>96</v>
      </c>
      <c r="CH98" s="65"/>
      <c r="CI98" s="66"/>
      <c r="CJ98" s="13"/>
      <c r="CK98" s="94" t="s">
        <v>143</v>
      </c>
      <c r="CL98" s="45" t="s">
        <v>96</v>
      </c>
      <c r="CM98" s="93" t="s">
        <v>97</v>
      </c>
      <c r="CN98" s="45" t="s">
        <v>96</v>
      </c>
      <c r="CO98" s="65"/>
      <c r="CP98" s="66"/>
      <c r="CQ98" s="13"/>
    </row>
    <row r="99" spans="1:95" ht="12.75">
      <c r="A99" s="13"/>
      <c r="B99" s="9"/>
      <c r="C99" s="9"/>
      <c r="D99" s="10"/>
      <c r="E99" s="9"/>
      <c r="F99" s="11"/>
      <c r="G99" s="9"/>
      <c r="H99" s="9"/>
      <c r="I99" s="9"/>
      <c r="J99" s="10"/>
      <c r="K99" s="9"/>
      <c r="L99" s="11"/>
      <c r="N99" s="55"/>
      <c r="O99" s="56"/>
      <c r="P99" s="9"/>
      <c r="Q99" s="9"/>
      <c r="R99" s="10"/>
      <c r="S99" s="9"/>
      <c r="T99" s="11"/>
      <c r="U99" s="35"/>
      <c r="V99" s="55"/>
      <c r="W99" s="56"/>
      <c r="X99" s="9"/>
      <c r="Y99" s="10"/>
      <c r="Z99" s="9"/>
      <c r="AA99" s="11"/>
      <c r="AB99" s="35"/>
      <c r="AC99" s="55"/>
      <c r="AD99" s="56"/>
      <c r="AE99" s="56"/>
      <c r="AF99" s="9"/>
      <c r="AG99" s="10"/>
      <c r="AH99" s="9"/>
      <c r="AI99" s="11"/>
      <c r="AJ99" s="35"/>
      <c r="AK99" s="55"/>
      <c r="AL99" s="56"/>
      <c r="AM99" s="9"/>
      <c r="AN99" s="10"/>
      <c r="AO99" s="9"/>
      <c r="AP99" s="11"/>
      <c r="AQ99" s="35"/>
      <c r="AR99" s="55"/>
      <c r="AS99" s="56"/>
      <c r="AT99" s="9"/>
      <c r="AU99" s="10"/>
      <c r="AV99" s="9"/>
      <c r="AW99" s="11"/>
      <c r="AX99" s="35"/>
      <c r="AY99" s="55"/>
      <c r="AZ99" s="56"/>
      <c r="BA99" s="9"/>
      <c r="BB99" s="10"/>
      <c r="BC99" s="9"/>
      <c r="BD99" s="11"/>
      <c r="BE99" s="35"/>
      <c r="BF99" s="55"/>
      <c r="BG99" s="56"/>
      <c r="BH99" s="9"/>
      <c r="BI99" s="10"/>
      <c r="BJ99" s="9"/>
      <c r="BK99" s="11"/>
      <c r="BL99" s="35"/>
      <c r="BM99" s="55"/>
      <c r="BN99" s="56"/>
      <c r="BO99" s="9"/>
      <c r="BP99" s="10"/>
      <c r="BQ99" s="9"/>
      <c r="BR99" s="11"/>
      <c r="BS99" s="35"/>
      <c r="BT99" s="55"/>
      <c r="BU99" s="56"/>
      <c r="BV99" s="9"/>
      <c r="BW99" s="10"/>
      <c r="BX99" s="9"/>
      <c r="BY99" s="11"/>
      <c r="BZ99" s="35"/>
      <c r="CA99" s="55"/>
      <c r="CB99" s="56"/>
      <c r="CC99" s="9"/>
      <c r="CD99" s="10"/>
      <c r="CE99" s="9"/>
      <c r="CF99" s="11"/>
      <c r="CG99" s="35"/>
      <c r="CH99" s="55"/>
      <c r="CI99" s="56"/>
      <c r="CJ99" s="9"/>
      <c r="CK99" s="10"/>
      <c r="CL99" s="9"/>
      <c r="CM99" s="11"/>
      <c r="CN99" s="35"/>
      <c r="CO99" s="55"/>
      <c r="CP99" s="56"/>
      <c r="CQ99" s="9"/>
    </row>
    <row r="100" spans="1:95" ht="12.75">
      <c r="A100" s="9" t="s">
        <v>29</v>
      </c>
      <c r="B100" s="9"/>
      <c r="C100" s="9"/>
      <c r="D100" s="10">
        <v>361949.25</v>
      </c>
      <c r="E100" s="15">
        <v>0.03774596875972591</v>
      </c>
      <c r="F100" s="11">
        <v>25</v>
      </c>
      <c r="G100" s="15">
        <v>0.044964028776978415</v>
      </c>
      <c r="H100" s="9"/>
      <c r="I100" s="9"/>
      <c r="J100" s="10">
        <v>351473.44</v>
      </c>
      <c r="K100" s="15">
        <v>0.03800158551568073</v>
      </c>
      <c r="L100" s="11">
        <v>25</v>
      </c>
      <c r="M100" s="15">
        <v>0.04553734061930783</v>
      </c>
      <c r="N100" s="57"/>
      <c r="O100" s="56"/>
      <c r="P100" s="15">
        <v>0.05477920626048072</v>
      </c>
      <c r="Q100" s="9"/>
      <c r="R100" s="10">
        <v>903699.3499999994</v>
      </c>
      <c r="S100" s="15">
        <v>0.038508274007605765</v>
      </c>
      <c r="T100" s="11">
        <v>54</v>
      </c>
      <c r="U100" s="15">
        <v>0.040419161676646706</v>
      </c>
      <c r="V100" s="57"/>
      <c r="W100" s="56"/>
      <c r="X100" s="15"/>
      <c r="Y100" s="10">
        <v>1727389.31</v>
      </c>
      <c r="Z100" s="15">
        <v>0.04259364345609217</v>
      </c>
      <c r="AA100" s="11">
        <v>101</v>
      </c>
      <c r="AB100" s="15">
        <v>0.04639412034910427</v>
      </c>
      <c r="AC100" s="57"/>
      <c r="AD100" s="56"/>
      <c r="AE100" s="56"/>
      <c r="AF100" s="15"/>
      <c r="AG100" s="10">
        <v>4600080</v>
      </c>
      <c r="AH100" s="15">
        <v>0.08241108608689247</v>
      </c>
      <c r="AI100" s="11">
        <v>240</v>
      </c>
      <c r="AJ100" s="15">
        <v>0.08119079837618404</v>
      </c>
      <c r="AK100" s="57"/>
      <c r="AL100" s="56"/>
      <c r="AM100" s="15"/>
      <c r="AN100" s="10">
        <v>2561112.73</v>
      </c>
      <c r="AO100" s="15">
        <v>0.04324780634432199</v>
      </c>
      <c r="AP100" s="11">
        <v>147</v>
      </c>
      <c r="AQ100" s="15">
        <v>0.04989816700610998</v>
      </c>
      <c r="AR100" s="57"/>
      <c r="AS100" s="56"/>
      <c r="AT100" s="15"/>
      <c r="AU100" s="10">
        <v>3588229.67</v>
      </c>
      <c r="AV100" s="15">
        <v>0.04672542593234188</v>
      </c>
      <c r="AW100" s="11">
        <v>200</v>
      </c>
      <c r="AX100" s="15">
        <v>0.054884742041712405</v>
      </c>
      <c r="AY100" s="57"/>
      <c r="AZ100" s="56"/>
      <c r="BA100" s="15"/>
      <c r="BB100" s="10">
        <v>4227951.23</v>
      </c>
      <c r="BC100" s="15">
        <v>0.05063402220450501</v>
      </c>
      <c r="BD100" s="11">
        <v>213</v>
      </c>
      <c r="BE100" s="15">
        <v>0.05583224115334207</v>
      </c>
      <c r="BF100" s="57"/>
      <c r="BG100" s="56"/>
      <c r="BH100" s="15"/>
      <c r="BI100" s="10">
        <v>4603688.86</v>
      </c>
      <c r="BJ100" s="15">
        <v>0.05312606093669438</v>
      </c>
      <c r="BK100" s="11">
        <v>222</v>
      </c>
      <c r="BL100" s="15">
        <v>0.05752785695776108</v>
      </c>
      <c r="BM100" s="57"/>
      <c r="BN100" s="56"/>
      <c r="BO100" s="15"/>
      <c r="BP100" s="10">
        <v>5337170.18</v>
      </c>
      <c r="BQ100" s="15">
        <v>0.05193296370741253</v>
      </c>
      <c r="BR100" s="11">
        <v>249</v>
      </c>
      <c r="BS100" s="15">
        <v>0.05634758995247793</v>
      </c>
      <c r="BT100" s="57"/>
      <c r="BU100" s="56"/>
      <c r="BV100" s="15"/>
      <c r="BW100" s="10">
        <v>5693579.439999997</v>
      </c>
      <c r="BX100" s="15">
        <v>0.05312069899341754</v>
      </c>
      <c r="BY100" s="11">
        <v>253</v>
      </c>
      <c r="BZ100" s="15">
        <v>0.05622222222222222</v>
      </c>
      <c r="CA100" s="57"/>
      <c r="CB100" s="56"/>
      <c r="CC100" s="15"/>
      <c r="CD100" s="10">
        <v>5699004.060000006</v>
      </c>
      <c r="CE100" s="15">
        <v>0.04957808775507267</v>
      </c>
      <c r="CF100" s="11">
        <v>250</v>
      </c>
      <c r="CG100" s="15">
        <v>0.053579082726103726</v>
      </c>
      <c r="CH100" s="57"/>
      <c r="CI100" s="56"/>
      <c r="CJ100" s="15"/>
      <c r="CK100" s="10">
        <v>5613438.860000002</v>
      </c>
      <c r="CL100" s="15">
        <v>0.04904295404400948</v>
      </c>
      <c r="CM100" s="11">
        <v>246</v>
      </c>
      <c r="CN100" s="15">
        <v>0.05387647831800263</v>
      </c>
      <c r="CO100" s="57"/>
      <c r="CP100" s="56"/>
      <c r="CQ100" s="15"/>
    </row>
    <row r="101" spans="1:95" ht="12.75">
      <c r="A101" s="9" t="s">
        <v>30</v>
      </c>
      <c r="B101" s="9"/>
      <c r="C101" s="9"/>
      <c r="D101" s="10">
        <v>757543.38</v>
      </c>
      <c r="E101" s="15">
        <v>0.07900060230990164</v>
      </c>
      <c r="F101" s="11">
        <v>53</v>
      </c>
      <c r="G101" s="15">
        <v>0.09532374100719425</v>
      </c>
      <c r="H101" s="9"/>
      <c r="I101" s="9"/>
      <c r="J101" s="10">
        <v>723355.38</v>
      </c>
      <c r="K101" s="15">
        <v>0.07820975414613897</v>
      </c>
      <c r="L101" s="11">
        <v>52</v>
      </c>
      <c r="M101" s="15">
        <v>0.0947176684881603</v>
      </c>
      <c r="N101" s="57"/>
      <c r="O101" s="56"/>
      <c r="P101" s="15">
        <v>0.092230296254891</v>
      </c>
      <c r="Q101" s="9"/>
      <c r="R101" s="10">
        <v>2184068.39</v>
      </c>
      <c r="S101" s="15">
        <v>0.09306712903298027</v>
      </c>
      <c r="T101" s="11">
        <v>136</v>
      </c>
      <c r="U101" s="15">
        <v>0.10179640718562874</v>
      </c>
      <c r="V101" s="57"/>
      <c r="W101" s="56"/>
      <c r="X101" s="15"/>
      <c r="Y101" s="10">
        <v>4050596.23</v>
      </c>
      <c r="Z101" s="15">
        <v>0.0998788464224149</v>
      </c>
      <c r="AA101" s="11">
        <v>241</v>
      </c>
      <c r="AB101" s="15">
        <v>0.11070280202112999</v>
      </c>
      <c r="AC101" s="57"/>
      <c r="AD101" s="56"/>
      <c r="AE101" s="56"/>
      <c r="AF101" s="15"/>
      <c r="AG101" s="10">
        <v>6999657.040000003</v>
      </c>
      <c r="AH101" s="15">
        <v>0.12539984932917764</v>
      </c>
      <c r="AI101" s="11">
        <v>358</v>
      </c>
      <c r="AJ101" s="15">
        <v>0.12110960757780785</v>
      </c>
      <c r="AK101" s="57"/>
      <c r="AL101" s="56"/>
      <c r="AM101" s="15"/>
      <c r="AN101" s="10">
        <v>6508841.600000003</v>
      </c>
      <c r="AO101" s="15">
        <v>0.10991047670231488</v>
      </c>
      <c r="AP101" s="11">
        <v>358</v>
      </c>
      <c r="AQ101" s="15">
        <v>0.12152070604209098</v>
      </c>
      <c r="AR101" s="57"/>
      <c r="AS101" s="56"/>
      <c r="AT101" s="15"/>
      <c r="AU101" s="10">
        <v>8395651.290000001</v>
      </c>
      <c r="AV101" s="15">
        <v>0.10932699926776585</v>
      </c>
      <c r="AW101" s="11">
        <v>448</v>
      </c>
      <c r="AX101" s="15">
        <v>0.12294182217343579</v>
      </c>
      <c r="AY101" s="57"/>
      <c r="AZ101" s="56"/>
      <c r="BA101" s="15"/>
      <c r="BB101" s="10">
        <v>8993041.740000004</v>
      </c>
      <c r="BC101" s="15">
        <v>0.10770083437059907</v>
      </c>
      <c r="BD101" s="11">
        <v>460</v>
      </c>
      <c r="BE101" s="15">
        <v>0.12057667103538663</v>
      </c>
      <c r="BF101" s="57"/>
      <c r="BG101" s="56"/>
      <c r="BH101" s="15"/>
      <c r="BI101" s="10">
        <v>9265432.549999999</v>
      </c>
      <c r="BJ101" s="15">
        <v>0.10692206819905105</v>
      </c>
      <c r="BK101" s="11">
        <v>455</v>
      </c>
      <c r="BL101" s="15">
        <v>0.11790619331433014</v>
      </c>
      <c r="BM101" s="57"/>
      <c r="BN101" s="56"/>
      <c r="BO101" s="15"/>
      <c r="BP101" s="10">
        <v>10885094.580000013</v>
      </c>
      <c r="BQ101" s="15">
        <v>0.10591665671318234</v>
      </c>
      <c r="BR101" s="11">
        <v>507</v>
      </c>
      <c r="BS101" s="15">
        <v>0.11473183978275628</v>
      </c>
      <c r="BT101" s="57"/>
      <c r="BU101" s="56"/>
      <c r="BV101" s="15"/>
      <c r="BW101" s="10">
        <v>10695328.899999995</v>
      </c>
      <c r="BX101" s="15">
        <v>0.09978667253521267</v>
      </c>
      <c r="BY101" s="11">
        <v>502</v>
      </c>
      <c r="BZ101" s="15">
        <v>0.11155555555555556</v>
      </c>
      <c r="CA101" s="57"/>
      <c r="CB101" s="56"/>
      <c r="CC101" s="15"/>
      <c r="CD101" s="10">
        <v>11477739.930000018</v>
      </c>
      <c r="CE101" s="15">
        <v>0.09984979682212086</v>
      </c>
      <c r="CF101" s="11">
        <v>510</v>
      </c>
      <c r="CG101" s="15">
        <v>0.1093013287612516</v>
      </c>
      <c r="CH101" s="57"/>
      <c r="CI101" s="56"/>
      <c r="CJ101" s="15"/>
      <c r="CK101" s="10">
        <v>11385251.27</v>
      </c>
      <c r="CL101" s="15">
        <v>0.09946957092432114</v>
      </c>
      <c r="CM101" s="11">
        <v>499</v>
      </c>
      <c r="CN101" s="15">
        <v>0.10928602715724924</v>
      </c>
      <c r="CO101" s="57"/>
      <c r="CP101" s="56"/>
      <c r="CQ101" s="15"/>
    </row>
    <row r="102" spans="1:95" ht="12.75">
      <c r="A102" s="9" t="s">
        <v>31</v>
      </c>
      <c r="B102" s="9"/>
      <c r="C102" s="9"/>
      <c r="D102" s="10">
        <v>745449.77</v>
      </c>
      <c r="E102" s="15">
        <v>0.07773941714305214</v>
      </c>
      <c r="F102" s="11">
        <v>50</v>
      </c>
      <c r="G102" s="15">
        <v>0.08992805755395683</v>
      </c>
      <c r="H102" s="9"/>
      <c r="I102" s="9"/>
      <c r="J102" s="10">
        <v>716852.83</v>
      </c>
      <c r="K102" s="15">
        <v>0.07750669331202589</v>
      </c>
      <c r="L102" s="11">
        <v>49</v>
      </c>
      <c r="M102" s="15">
        <v>0.08925318761384335</v>
      </c>
      <c r="N102" s="57"/>
      <c r="O102" s="56"/>
      <c r="P102" s="15">
        <v>0.08049189491335942</v>
      </c>
      <c r="Q102" s="9"/>
      <c r="R102" s="10">
        <v>1612888.71</v>
      </c>
      <c r="S102" s="15">
        <v>0.0687281233393095</v>
      </c>
      <c r="T102" s="11">
        <v>104</v>
      </c>
      <c r="U102" s="15">
        <v>0.07784431137724551</v>
      </c>
      <c r="V102" s="57"/>
      <c r="W102" s="56"/>
      <c r="X102" s="15"/>
      <c r="Y102" s="10">
        <v>2822405.35</v>
      </c>
      <c r="Z102" s="15">
        <v>0.06959434475513047</v>
      </c>
      <c r="AA102" s="11">
        <v>178</v>
      </c>
      <c r="AB102" s="15">
        <v>0.08176389526871843</v>
      </c>
      <c r="AC102" s="57"/>
      <c r="AD102" s="56"/>
      <c r="AE102" s="56"/>
      <c r="AF102" s="15"/>
      <c r="AG102" s="10">
        <v>6868351.389999999</v>
      </c>
      <c r="AH102" s="15">
        <v>0.12304748997328693</v>
      </c>
      <c r="AI102" s="11">
        <v>351</v>
      </c>
      <c r="AJ102" s="15">
        <v>0.11874154262516914</v>
      </c>
      <c r="AK102" s="57"/>
      <c r="AL102" s="56"/>
      <c r="AM102" s="15"/>
      <c r="AN102" s="10">
        <v>4257129.39</v>
      </c>
      <c r="AO102" s="15">
        <v>0.07188731104446223</v>
      </c>
      <c r="AP102" s="11">
        <v>248</v>
      </c>
      <c r="AQ102" s="15">
        <v>0.08418194161575017</v>
      </c>
      <c r="AR102" s="57"/>
      <c r="AS102" s="56"/>
      <c r="AT102" s="15"/>
      <c r="AU102" s="10">
        <v>5660871.860000002</v>
      </c>
      <c r="AV102" s="15">
        <v>0.07371508323961565</v>
      </c>
      <c r="AW102" s="11">
        <v>301</v>
      </c>
      <c r="AX102" s="15">
        <v>0.08260153677277716</v>
      </c>
      <c r="AY102" s="57"/>
      <c r="AZ102" s="56"/>
      <c r="BA102" s="15"/>
      <c r="BB102" s="10">
        <v>5898802.859999997</v>
      </c>
      <c r="BC102" s="15">
        <v>0.07064417225863732</v>
      </c>
      <c r="BD102" s="11">
        <v>309</v>
      </c>
      <c r="BE102" s="15">
        <v>0.08099606815203146</v>
      </c>
      <c r="BF102" s="57"/>
      <c r="BG102" s="56"/>
      <c r="BH102" s="15"/>
      <c r="BI102" s="10">
        <v>6198122.88</v>
      </c>
      <c r="BJ102" s="15">
        <v>0.07152565341177286</v>
      </c>
      <c r="BK102" s="11">
        <v>306</v>
      </c>
      <c r="BL102" s="15">
        <v>0.07929515418502203</v>
      </c>
      <c r="BM102" s="57"/>
      <c r="BN102" s="56"/>
      <c r="BO102" s="15"/>
      <c r="BP102" s="10">
        <v>7146462.839999996</v>
      </c>
      <c r="BQ102" s="15">
        <v>0.06953816025894309</v>
      </c>
      <c r="BR102" s="11">
        <v>339</v>
      </c>
      <c r="BS102" s="15">
        <v>0.07671418873048201</v>
      </c>
      <c r="BT102" s="57"/>
      <c r="BU102" s="56"/>
      <c r="BV102" s="15"/>
      <c r="BW102" s="10">
        <v>7607197.93</v>
      </c>
      <c r="BX102" s="15">
        <v>0.07097462601187123</v>
      </c>
      <c r="BY102" s="11">
        <v>342</v>
      </c>
      <c r="BZ102" s="15">
        <v>0.076</v>
      </c>
      <c r="CA102" s="57"/>
      <c r="CB102" s="56"/>
      <c r="CC102" s="15"/>
      <c r="CD102" s="10">
        <v>8236512.939999998</v>
      </c>
      <c r="CE102" s="15">
        <v>0.07165296901632862</v>
      </c>
      <c r="CF102" s="11">
        <v>356</v>
      </c>
      <c r="CG102" s="15">
        <v>0.07629661380197171</v>
      </c>
      <c r="CH102" s="57"/>
      <c r="CI102" s="56"/>
      <c r="CJ102" s="15"/>
      <c r="CK102" s="10">
        <v>8364453.030000001</v>
      </c>
      <c r="CL102" s="15">
        <v>0.07307775069515333</v>
      </c>
      <c r="CM102" s="11">
        <v>356</v>
      </c>
      <c r="CN102" s="15">
        <v>0.07796758650897942</v>
      </c>
      <c r="CO102" s="57"/>
      <c r="CP102" s="56"/>
      <c r="CQ102" s="15"/>
    </row>
    <row r="103" spans="1:95" ht="12.75">
      <c r="A103" s="9" t="s">
        <v>32</v>
      </c>
      <c r="B103" s="9"/>
      <c r="C103" s="9"/>
      <c r="D103" s="10">
        <v>565078.56</v>
      </c>
      <c r="E103" s="15">
        <v>0.05892936004854521</v>
      </c>
      <c r="F103" s="11">
        <v>38</v>
      </c>
      <c r="G103" s="15">
        <v>0.0683453237410072</v>
      </c>
      <c r="H103" s="9"/>
      <c r="I103" s="9"/>
      <c r="J103" s="10">
        <v>524631.21</v>
      </c>
      <c r="K103" s="15">
        <v>0.05672354016568095</v>
      </c>
      <c r="L103" s="11">
        <v>38</v>
      </c>
      <c r="M103" s="15">
        <v>0.0692167577413479</v>
      </c>
      <c r="N103" s="57"/>
      <c r="O103" s="56"/>
      <c r="P103" s="15">
        <v>0.09502515371716043</v>
      </c>
      <c r="Q103" s="9"/>
      <c r="R103" s="10">
        <v>1887496.91</v>
      </c>
      <c r="S103" s="15">
        <v>0.080429678519509</v>
      </c>
      <c r="T103" s="11">
        <v>108</v>
      </c>
      <c r="U103" s="15">
        <v>0.08083832335329341</v>
      </c>
      <c r="V103" s="57"/>
      <c r="W103" s="56"/>
      <c r="X103" s="15"/>
      <c r="Y103" s="10">
        <v>3329535.51</v>
      </c>
      <c r="Z103" s="15">
        <v>0.08209906566304845</v>
      </c>
      <c r="AA103" s="11">
        <v>172</v>
      </c>
      <c r="AB103" s="15">
        <v>0.07900780891134589</v>
      </c>
      <c r="AC103" s="57"/>
      <c r="AD103" s="56"/>
      <c r="AE103" s="56"/>
      <c r="AF103" s="15"/>
      <c r="AG103" s="10">
        <v>4114372.92</v>
      </c>
      <c r="AH103" s="15">
        <v>0.07370957481254656</v>
      </c>
      <c r="AI103" s="11">
        <v>216</v>
      </c>
      <c r="AJ103" s="15">
        <v>0.07307171853856563</v>
      </c>
      <c r="AK103" s="57"/>
      <c r="AL103" s="56"/>
      <c r="AM103" s="15"/>
      <c r="AN103" s="10">
        <v>4866502.44</v>
      </c>
      <c r="AO103" s="15">
        <v>0.08217738822425452</v>
      </c>
      <c r="AP103" s="11">
        <v>246</v>
      </c>
      <c r="AQ103" s="15">
        <v>0.0835030549898167</v>
      </c>
      <c r="AR103" s="57"/>
      <c r="AS103" s="56"/>
      <c r="AT103" s="15"/>
      <c r="AU103" s="10">
        <v>6073702.649999997</v>
      </c>
      <c r="AV103" s="15">
        <v>0.07909090816576507</v>
      </c>
      <c r="AW103" s="11">
        <v>295</v>
      </c>
      <c r="AX103" s="15">
        <v>0.0809549945115258</v>
      </c>
      <c r="AY103" s="57"/>
      <c r="AZ103" s="56"/>
      <c r="BA103" s="15"/>
      <c r="BB103" s="10">
        <v>6672466.470000002</v>
      </c>
      <c r="BC103" s="15">
        <v>0.07990958197519116</v>
      </c>
      <c r="BD103" s="11">
        <v>311</v>
      </c>
      <c r="BE103" s="15">
        <v>0.08152031454783748</v>
      </c>
      <c r="BF103" s="57"/>
      <c r="BG103" s="56"/>
      <c r="BH103" s="15"/>
      <c r="BI103" s="10">
        <v>6894054.000000002</v>
      </c>
      <c r="BJ103" s="15">
        <v>0.07955662166640466</v>
      </c>
      <c r="BK103" s="11">
        <v>308</v>
      </c>
      <c r="BL103" s="15">
        <v>0.07981342316662347</v>
      </c>
      <c r="BM103" s="57"/>
      <c r="BN103" s="56"/>
      <c r="BO103" s="15"/>
      <c r="BP103" s="10">
        <v>8128810.899999996</v>
      </c>
      <c r="BQ103" s="15">
        <v>0.07909682982117675</v>
      </c>
      <c r="BR103" s="11">
        <v>355</v>
      </c>
      <c r="BS103" s="15">
        <v>0.08033491740212718</v>
      </c>
      <c r="BT103" s="57"/>
      <c r="BU103" s="56"/>
      <c r="BV103" s="15"/>
      <c r="BW103" s="10">
        <v>8318333.210000006</v>
      </c>
      <c r="BX103" s="15">
        <v>0.07760946856576383</v>
      </c>
      <c r="BY103" s="11">
        <v>355</v>
      </c>
      <c r="BZ103" s="15">
        <v>0.07888888888888888</v>
      </c>
      <c r="CA103" s="57"/>
      <c r="CB103" s="56"/>
      <c r="CC103" s="15"/>
      <c r="CD103" s="10">
        <v>8867339.319999998</v>
      </c>
      <c r="CE103" s="15">
        <v>0.07714079904708225</v>
      </c>
      <c r="CF103" s="11">
        <v>373</v>
      </c>
      <c r="CG103" s="15">
        <v>0.07993999142734676</v>
      </c>
      <c r="CH103" s="57"/>
      <c r="CI103" s="56"/>
      <c r="CJ103" s="15"/>
      <c r="CK103" s="10">
        <v>9118908.860000001</v>
      </c>
      <c r="CL103" s="15">
        <v>0.07966920800353935</v>
      </c>
      <c r="CM103" s="11">
        <v>371</v>
      </c>
      <c r="CN103" s="15">
        <v>0.0812527376259308</v>
      </c>
      <c r="CO103" s="57"/>
      <c r="CP103" s="56"/>
      <c r="CQ103" s="15"/>
    </row>
    <row r="104" spans="1:95" ht="12.75">
      <c r="A104" s="9" t="s">
        <v>33</v>
      </c>
      <c r="B104" s="9"/>
      <c r="C104" s="9"/>
      <c r="D104" s="10">
        <v>945508.07</v>
      </c>
      <c r="E104" s="15">
        <v>0.09860254738002283</v>
      </c>
      <c r="F104" s="11">
        <v>56</v>
      </c>
      <c r="G104" s="15">
        <v>0.10071942446043165</v>
      </c>
      <c r="H104" s="9"/>
      <c r="I104" s="9"/>
      <c r="J104" s="10">
        <v>918410.8</v>
      </c>
      <c r="K104" s="15">
        <v>0.0992992999833067</v>
      </c>
      <c r="L104" s="11">
        <v>55</v>
      </c>
      <c r="M104" s="15">
        <v>0.10018214936247723</v>
      </c>
      <c r="N104" s="57"/>
      <c r="O104" s="56"/>
      <c r="P104" s="15">
        <v>0.08719955282280603</v>
      </c>
      <c r="Q104" s="9"/>
      <c r="R104" s="10">
        <v>2505850.92</v>
      </c>
      <c r="S104" s="15">
        <v>0.10677886827026165</v>
      </c>
      <c r="T104" s="11">
        <v>153</v>
      </c>
      <c r="U104" s="15">
        <v>0.11452095808383234</v>
      </c>
      <c r="V104" s="57"/>
      <c r="W104" s="56"/>
      <c r="X104" s="15"/>
      <c r="Y104" s="10">
        <v>4111198.36</v>
      </c>
      <c r="Z104" s="15">
        <v>0.10137316244194597</v>
      </c>
      <c r="AA104" s="11">
        <v>230</v>
      </c>
      <c r="AB104" s="15">
        <v>0.10564997703261368</v>
      </c>
      <c r="AC104" s="57"/>
      <c r="AD104" s="56"/>
      <c r="AE104" s="56"/>
      <c r="AF104" s="15"/>
      <c r="AG104" s="10">
        <v>4814595.82</v>
      </c>
      <c r="AH104" s="15">
        <v>0.08625416744830805</v>
      </c>
      <c r="AI104" s="11">
        <v>257</v>
      </c>
      <c r="AJ104" s="15">
        <v>0.08694181326116374</v>
      </c>
      <c r="AK104" s="57"/>
      <c r="AL104" s="56"/>
      <c r="AM104" s="15"/>
      <c r="AN104" s="10">
        <v>5583604.000000002</v>
      </c>
      <c r="AO104" s="15">
        <v>0.09428660506301952</v>
      </c>
      <c r="AP104" s="11">
        <v>293</v>
      </c>
      <c r="AQ104" s="15">
        <v>0.09945689069925323</v>
      </c>
      <c r="AR104" s="57"/>
      <c r="AS104" s="56"/>
      <c r="AT104" s="15"/>
      <c r="AU104" s="10">
        <v>7443373.319999998</v>
      </c>
      <c r="AV104" s="15">
        <v>0.09692656845748385</v>
      </c>
      <c r="AW104" s="11">
        <v>353</v>
      </c>
      <c r="AX104" s="15">
        <v>0.09687156970362239</v>
      </c>
      <c r="AY104" s="57"/>
      <c r="AZ104" s="56"/>
      <c r="BA104" s="15"/>
      <c r="BB104" s="10">
        <v>8000957.729999997</v>
      </c>
      <c r="BC104" s="15">
        <v>0.09581961789992689</v>
      </c>
      <c r="BD104" s="11">
        <v>360</v>
      </c>
      <c r="BE104" s="15">
        <v>0.09436435124508519</v>
      </c>
      <c r="BF104" s="57"/>
      <c r="BG104" s="56"/>
      <c r="BH104" s="15"/>
      <c r="BI104" s="10">
        <v>8486944.449999994</v>
      </c>
      <c r="BJ104" s="15">
        <v>0.0979384015141805</v>
      </c>
      <c r="BK104" s="11">
        <v>375</v>
      </c>
      <c r="BL104" s="15">
        <v>0.0971754340502721</v>
      </c>
      <c r="BM104" s="57"/>
      <c r="BN104" s="56"/>
      <c r="BO104" s="15"/>
      <c r="BP104" s="10">
        <v>10124493.809999999</v>
      </c>
      <c r="BQ104" s="15">
        <v>0.09851568375334302</v>
      </c>
      <c r="BR104" s="11">
        <v>432</v>
      </c>
      <c r="BS104" s="15">
        <v>0.09775967413441955</v>
      </c>
      <c r="BT104" s="57"/>
      <c r="BU104" s="56"/>
      <c r="BV104" s="15"/>
      <c r="BW104" s="10">
        <v>10360065.65</v>
      </c>
      <c r="BX104" s="15">
        <v>0.09665868980054047</v>
      </c>
      <c r="BY104" s="11">
        <v>437</v>
      </c>
      <c r="BZ104" s="15">
        <v>0.0971111111111111</v>
      </c>
      <c r="CA104" s="57"/>
      <c r="CB104" s="56"/>
      <c r="CC104" s="15"/>
      <c r="CD104" s="10">
        <v>10841099.179999998</v>
      </c>
      <c r="CE104" s="15">
        <v>0.09431138508567506</v>
      </c>
      <c r="CF104" s="11">
        <v>447</v>
      </c>
      <c r="CG104" s="15">
        <v>0.09579939991427347</v>
      </c>
      <c r="CH104" s="57"/>
      <c r="CI104" s="56"/>
      <c r="CJ104" s="15"/>
      <c r="CK104" s="10">
        <v>10939735.179999998</v>
      </c>
      <c r="CL104" s="15">
        <v>0.09557722869477793</v>
      </c>
      <c r="CM104" s="11">
        <v>436</v>
      </c>
      <c r="CN104" s="15">
        <v>0.09548839246605344</v>
      </c>
      <c r="CO104" s="57"/>
      <c r="CP104" s="56"/>
      <c r="CQ104" s="15"/>
    </row>
    <row r="105" spans="1:95" ht="12.75">
      <c r="A105" s="9" t="s">
        <v>40</v>
      </c>
      <c r="B105" s="9"/>
      <c r="C105" s="9"/>
      <c r="D105" s="10">
        <v>353804.09</v>
      </c>
      <c r="E105" s="15">
        <v>0.0368965486962696</v>
      </c>
      <c r="F105" s="11">
        <v>21</v>
      </c>
      <c r="G105" s="15">
        <v>0.03776978417266187</v>
      </c>
      <c r="H105" s="9"/>
      <c r="I105" s="9"/>
      <c r="J105" s="10">
        <v>344975.68</v>
      </c>
      <c r="K105" s="15">
        <v>0.0372990425801452</v>
      </c>
      <c r="L105" s="11">
        <v>21</v>
      </c>
      <c r="M105" s="15">
        <v>0.03825136612021858</v>
      </c>
      <c r="N105" s="57"/>
      <c r="O105" s="56"/>
      <c r="P105" s="15">
        <v>0.045835662381218556</v>
      </c>
      <c r="Q105" s="9"/>
      <c r="R105" s="10">
        <v>1008057.55</v>
      </c>
      <c r="S105" s="15">
        <v>0.04295516683821426</v>
      </c>
      <c r="T105" s="11">
        <v>50</v>
      </c>
      <c r="U105" s="15">
        <v>0.0374251497005988</v>
      </c>
      <c r="V105" s="57"/>
      <c r="W105" s="56"/>
      <c r="X105" s="15"/>
      <c r="Y105" s="10">
        <v>1770848.03</v>
      </c>
      <c r="Z105" s="15">
        <v>0.04366524046900764</v>
      </c>
      <c r="AA105" s="11">
        <v>89</v>
      </c>
      <c r="AB105" s="15">
        <v>0.04088194763435921</v>
      </c>
      <c r="AC105" s="57"/>
      <c r="AD105" s="56"/>
      <c r="AE105" s="56"/>
      <c r="AF105" s="15"/>
      <c r="AG105" s="10">
        <v>2796294.21</v>
      </c>
      <c r="AH105" s="15">
        <v>0.05009600764869069</v>
      </c>
      <c r="AI105" s="11">
        <v>153</v>
      </c>
      <c r="AJ105" s="15">
        <v>0.05175913396481732</v>
      </c>
      <c r="AK105" s="57"/>
      <c r="AL105" s="56"/>
      <c r="AM105" s="15"/>
      <c r="AN105" s="10">
        <v>2617758.77</v>
      </c>
      <c r="AO105" s="15">
        <v>0.044204350325926706</v>
      </c>
      <c r="AP105" s="11">
        <v>131</v>
      </c>
      <c r="AQ105" s="15">
        <v>0.04446707399864223</v>
      </c>
      <c r="AR105" s="57"/>
      <c r="AS105" s="56"/>
      <c r="AT105" s="15"/>
      <c r="AU105" s="10">
        <v>3359564.62</v>
      </c>
      <c r="AV105" s="15">
        <v>0.04374778156737284</v>
      </c>
      <c r="AW105" s="11">
        <v>156</v>
      </c>
      <c r="AX105" s="15">
        <v>0.042810098792535674</v>
      </c>
      <c r="AY105" s="57"/>
      <c r="AZ105" s="56"/>
      <c r="BA105" s="15"/>
      <c r="BB105" s="10">
        <v>3539812.46</v>
      </c>
      <c r="BC105" s="15">
        <v>0.042392859555152325</v>
      </c>
      <c r="BD105" s="11">
        <v>159</v>
      </c>
      <c r="BE105" s="15">
        <v>0.04167758846657929</v>
      </c>
      <c r="BF105" s="57"/>
      <c r="BG105" s="56"/>
      <c r="BH105" s="15"/>
      <c r="BI105" s="10">
        <v>3822400.23</v>
      </c>
      <c r="BJ105" s="15">
        <v>0.04411007644496086</v>
      </c>
      <c r="BK105" s="11">
        <v>173</v>
      </c>
      <c r="BL105" s="15">
        <v>0.044830266908525526</v>
      </c>
      <c r="BM105" s="57"/>
      <c r="BN105" s="56"/>
      <c r="BO105" s="15"/>
      <c r="BP105" s="10">
        <v>4572826.37</v>
      </c>
      <c r="BQ105" s="15">
        <v>0.04449556935685139</v>
      </c>
      <c r="BR105" s="11">
        <v>202</v>
      </c>
      <c r="BS105" s="15">
        <v>0.04571169947952025</v>
      </c>
      <c r="BT105" s="57"/>
      <c r="BU105" s="56"/>
      <c r="BV105" s="15"/>
      <c r="BW105" s="10">
        <v>4986999.38</v>
      </c>
      <c r="BX105" s="15">
        <v>0.04652835632435473</v>
      </c>
      <c r="BY105" s="11">
        <v>217</v>
      </c>
      <c r="BZ105" s="15">
        <v>0.04822222222222222</v>
      </c>
      <c r="CA105" s="57"/>
      <c r="CB105" s="56"/>
      <c r="CC105" s="15"/>
      <c r="CD105" s="10">
        <v>5144143.71</v>
      </c>
      <c r="CE105" s="15">
        <v>0.04475111889621722</v>
      </c>
      <c r="CF105" s="11">
        <v>212</v>
      </c>
      <c r="CG105" s="15">
        <v>0.04543506215173596</v>
      </c>
      <c r="CH105" s="57"/>
      <c r="CI105" s="56"/>
      <c r="CJ105" s="15"/>
      <c r="CK105" s="10">
        <v>5045154.31</v>
      </c>
      <c r="CL105" s="15">
        <v>0.044078020112303544</v>
      </c>
      <c r="CM105" s="11">
        <v>206</v>
      </c>
      <c r="CN105" s="15">
        <v>0.045116075339465614</v>
      </c>
      <c r="CO105" s="57"/>
      <c r="CP105" s="56"/>
      <c r="CQ105" s="15"/>
    </row>
    <row r="106" spans="1:95" ht="12.75">
      <c r="A106" s="9" t="s">
        <v>34</v>
      </c>
      <c r="B106" s="9"/>
      <c r="C106" s="9"/>
      <c r="D106" s="10">
        <v>3280557.36</v>
      </c>
      <c r="E106" s="15">
        <v>0.34211375109921865</v>
      </c>
      <c r="F106" s="11">
        <v>156</v>
      </c>
      <c r="G106" s="15">
        <v>0.2805755395683453</v>
      </c>
      <c r="H106" s="9"/>
      <c r="I106" s="9"/>
      <c r="J106" s="10">
        <v>3142380.09</v>
      </c>
      <c r="K106" s="15">
        <v>0.33975661350942316</v>
      </c>
      <c r="L106" s="11">
        <v>153</v>
      </c>
      <c r="M106" s="15">
        <v>0.2786885245901639</v>
      </c>
      <c r="N106" s="57"/>
      <c r="O106" s="56"/>
      <c r="P106" s="15">
        <v>0.25936277249860257</v>
      </c>
      <c r="Q106" s="9"/>
      <c r="R106" s="10">
        <v>7273408.9300000025</v>
      </c>
      <c r="S106" s="15">
        <v>0.309933191880471</v>
      </c>
      <c r="T106" s="11">
        <v>375</v>
      </c>
      <c r="U106" s="15">
        <v>0.280688622754491</v>
      </c>
      <c r="V106" s="57"/>
      <c r="W106" s="56"/>
      <c r="X106" s="15"/>
      <c r="Y106" s="10">
        <v>11738584.51999999</v>
      </c>
      <c r="Z106" s="15">
        <v>0.28944782790399604</v>
      </c>
      <c r="AA106" s="11">
        <v>561</v>
      </c>
      <c r="AB106" s="15">
        <v>0.2576940744143317</v>
      </c>
      <c r="AC106" s="57"/>
      <c r="AD106" s="56"/>
      <c r="AE106" s="56"/>
      <c r="AF106" s="15"/>
      <c r="AG106" s="10">
        <v>10615103.91</v>
      </c>
      <c r="AH106" s="15">
        <v>0.19017109314366692</v>
      </c>
      <c r="AI106" s="11">
        <v>560</v>
      </c>
      <c r="AJ106" s="15">
        <v>0.18944519621109607</v>
      </c>
      <c r="AK106" s="57"/>
      <c r="AL106" s="56"/>
      <c r="AM106" s="15"/>
      <c r="AN106" s="10">
        <v>17532875.6</v>
      </c>
      <c r="AO106" s="15">
        <v>0.29606600276743317</v>
      </c>
      <c r="AP106" s="11">
        <v>723</v>
      </c>
      <c r="AQ106" s="15">
        <v>0.2454175152749491</v>
      </c>
      <c r="AR106" s="57"/>
      <c r="AS106" s="56"/>
      <c r="AT106" s="15"/>
      <c r="AU106" s="10">
        <v>22437231.220000003</v>
      </c>
      <c r="AV106" s="15">
        <v>0.29217449325002076</v>
      </c>
      <c r="AW106" s="11">
        <v>886</v>
      </c>
      <c r="AX106" s="15">
        <v>0.24313940724478594</v>
      </c>
      <c r="AY106" s="57"/>
      <c r="AZ106" s="56"/>
      <c r="BA106" s="15"/>
      <c r="BB106" s="10">
        <v>23751711.49000002</v>
      </c>
      <c r="BC106" s="15">
        <v>0.2844509365307078</v>
      </c>
      <c r="BD106" s="11">
        <v>906</v>
      </c>
      <c r="BE106" s="15">
        <v>0.23748361730013107</v>
      </c>
      <c r="BF106" s="57"/>
      <c r="BG106" s="56"/>
      <c r="BH106" s="15"/>
      <c r="BI106" s="10">
        <v>24204726.88000001</v>
      </c>
      <c r="BJ106" s="15">
        <v>0.2793198746239608</v>
      </c>
      <c r="BK106" s="11">
        <v>916</v>
      </c>
      <c r="BL106" s="15">
        <v>0.23736719357346464</v>
      </c>
      <c r="BM106" s="57"/>
      <c r="BN106" s="56"/>
      <c r="BO106" s="15"/>
      <c r="BP106" s="10">
        <v>28379644.6</v>
      </c>
      <c r="BQ106" s="15">
        <v>0.276146160481071</v>
      </c>
      <c r="BR106" s="11">
        <v>1047</v>
      </c>
      <c r="BS106" s="15">
        <v>0.23693143245078072</v>
      </c>
      <c r="BT106" s="57"/>
      <c r="BU106" s="56"/>
      <c r="BV106" s="15"/>
      <c r="BW106" s="10">
        <v>29838774.699999988</v>
      </c>
      <c r="BX106" s="15">
        <v>0.27839368641023177</v>
      </c>
      <c r="BY106" s="11">
        <v>1085</v>
      </c>
      <c r="BZ106" s="15">
        <v>0.2411111111111111</v>
      </c>
      <c r="CA106" s="57"/>
      <c r="CB106" s="56"/>
      <c r="CC106" s="15"/>
      <c r="CD106" s="10">
        <v>33497575.169999957</v>
      </c>
      <c r="CE106" s="15">
        <v>0.29140981544771866</v>
      </c>
      <c r="CF106" s="11">
        <v>1171</v>
      </c>
      <c r="CG106" s="15">
        <v>0.2509644234890699</v>
      </c>
      <c r="CH106" s="57"/>
      <c r="CI106" s="56"/>
      <c r="CJ106" s="15"/>
      <c r="CK106" s="10">
        <v>32678737.759999957</v>
      </c>
      <c r="CL106" s="15">
        <v>0.28550446066137697</v>
      </c>
      <c r="CM106" s="11">
        <v>1123</v>
      </c>
      <c r="CN106" s="15">
        <v>0.24594831362242664</v>
      </c>
      <c r="CO106" s="57"/>
      <c r="CP106" s="56"/>
      <c r="CQ106" s="15"/>
    </row>
    <row r="107" spans="1:95" ht="12.75">
      <c r="A107" s="9" t="s">
        <v>35</v>
      </c>
      <c r="B107" s="9"/>
      <c r="C107" s="9"/>
      <c r="D107" s="10">
        <v>791632.46</v>
      </c>
      <c r="E107" s="15">
        <v>0.08255559060930494</v>
      </c>
      <c r="F107" s="11">
        <v>42</v>
      </c>
      <c r="G107" s="15">
        <v>0.07553956834532374</v>
      </c>
      <c r="H107" s="9"/>
      <c r="I107" s="9"/>
      <c r="J107" s="10">
        <v>778290.82</v>
      </c>
      <c r="K107" s="15">
        <v>0.08414941724273467</v>
      </c>
      <c r="L107" s="11">
        <v>41</v>
      </c>
      <c r="M107" s="15">
        <v>0.07468123861566485</v>
      </c>
      <c r="N107" s="57"/>
      <c r="O107" s="56"/>
      <c r="P107" s="15">
        <v>0.09949692565679151</v>
      </c>
      <c r="Q107" s="9"/>
      <c r="R107" s="10">
        <v>2728887.62</v>
      </c>
      <c r="S107" s="15">
        <v>0.1162828679769696</v>
      </c>
      <c r="T107" s="11">
        <v>133</v>
      </c>
      <c r="U107" s="15">
        <v>0.09955089820359281</v>
      </c>
      <c r="V107" s="57"/>
      <c r="W107" s="56"/>
      <c r="X107" s="15"/>
      <c r="Y107" s="10">
        <v>4453659</v>
      </c>
      <c r="Z107" s="15">
        <v>0.10981749303578596</v>
      </c>
      <c r="AA107" s="11">
        <v>214</v>
      </c>
      <c r="AB107" s="15">
        <v>0.0983004134129536</v>
      </c>
      <c r="AC107" s="57"/>
      <c r="AD107" s="56"/>
      <c r="AE107" s="56"/>
      <c r="AF107" s="15"/>
      <c r="AG107" s="10">
        <v>3585322.51</v>
      </c>
      <c r="AH107" s="15">
        <v>0.06423156162955503</v>
      </c>
      <c r="AI107" s="11">
        <v>204</v>
      </c>
      <c r="AJ107" s="15">
        <v>0.06901217861975643</v>
      </c>
      <c r="AK107" s="57"/>
      <c r="AL107" s="56"/>
      <c r="AM107" s="15"/>
      <c r="AN107" s="10">
        <v>5673028.29</v>
      </c>
      <c r="AO107" s="15">
        <v>0.09579665353964335</v>
      </c>
      <c r="AP107" s="11">
        <v>250</v>
      </c>
      <c r="AQ107" s="15">
        <v>0.08486082824168364</v>
      </c>
      <c r="AR107" s="57"/>
      <c r="AS107" s="56"/>
      <c r="AT107" s="15"/>
      <c r="AU107" s="10">
        <v>7279769.689999999</v>
      </c>
      <c r="AV107" s="15">
        <v>0.09479614482274831</v>
      </c>
      <c r="AW107" s="11">
        <v>313</v>
      </c>
      <c r="AX107" s="15">
        <v>0.08589462129527992</v>
      </c>
      <c r="AY107" s="57"/>
      <c r="AZ107" s="56"/>
      <c r="BA107" s="15"/>
      <c r="BB107" s="10">
        <v>7571383.360000001</v>
      </c>
      <c r="BC107" s="15">
        <v>0.0906750272918971</v>
      </c>
      <c r="BD107" s="11">
        <v>327</v>
      </c>
      <c r="BE107" s="15">
        <v>0.08571428571428572</v>
      </c>
      <c r="BF107" s="57"/>
      <c r="BG107" s="56"/>
      <c r="BH107" s="15"/>
      <c r="BI107" s="10">
        <v>7464285.329999997</v>
      </c>
      <c r="BJ107" s="15">
        <v>0.08613702822880472</v>
      </c>
      <c r="BK107" s="11">
        <v>323</v>
      </c>
      <c r="BL107" s="15">
        <v>0.08370044052863436</v>
      </c>
      <c r="BM107" s="57"/>
      <c r="BN107" s="56"/>
      <c r="BO107" s="15"/>
      <c r="BP107" s="10">
        <v>8946172.39</v>
      </c>
      <c r="BQ107" s="15">
        <v>0.08705010902427814</v>
      </c>
      <c r="BR107" s="11">
        <v>374</v>
      </c>
      <c r="BS107" s="15">
        <v>0.08463453269970582</v>
      </c>
      <c r="BT107" s="57"/>
      <c r="BU107" s="56"/>
      <c r="BV107" s="15"/>
      <c r="BW107" s="10">
        <v>8893056.929999994</v>
      </c>
      <c r="BX107" s="15">
        <v>0.08297160078087112</v>
      </c>
      <c r="BY107" s="11">
        <v>366</v>
      </c>
      <c r="BZ107" s="15">
        <v>0.08133333333333333</v>
      </c>
      <c r="CA107" s="57"/>
      <c r="CB107" s="56"/>
      <c r="CC107" s="15"/>
      <c r="CD107" s="10">
        <v>9688321.23</v>
      </c>
      <c r="CE107" s="15">
        <v>0.08428287382905866</v>
      </c>
      <c r="CF107" s="11">
        <v>380</v>
      </c>
      <c r="CG107" s="15">
        <v>0.08144020574367766</v>
      </c>
      <c r="CH107" s="57"/>
      <c r="CI107" s="56"/>
      <c r="CJ107" s="15"/>
      <c r="CK107" s="10">
        <v>9539749.890000004</v>
      </c>
      <c r="CL107" s="15">
        <v>0.08334597153635241</v>
      </c>
      <c r="CM107" s="11">
        <v>370</v>
      </c>
      <c r="CN107" s="15">
        <v>0.08103372755146737</v>
      </c>
      <c r="CO107" s="57"/>
      <c r="CP107" s="56"/>
      <c r="CQ107" s="15"/>
    </row>
    <row r="108" spans="1:95" ht="12.75">
      <c r="A108" s="9" t="s">
        <v>36</v>
      </c>
      <c r="B108" s="9"/>
      <c r="C108" s="9"/>
      <c r="D108" s="10">
        <v>525257.15</v>
      </c>
      <c r="E108" s="15">
        <v>0.05477657427035052</v>
      </c>
      <c r="F108" s="11">
        <v>23</v>
      </c>
      <c r="G108" s="15">
        <v>0.04136690647482014</v>
      </c>
      <c r="H108" s="9"/>
      <c r="I108" s="9"/>
      <c r="J108" s="10">
        <v>512864.24</v>
      </c>
      <c r="K108" s="15">
        <v>0.05545128608948263</v>
      </c>
      <c r="L108" s="11">
        <v>23</v>
      </c>
      <c r="M108" s="15">
        <v>0.04189435336976321</v>
      </c>
      <c r="N108" s="57"/>
      <c r="O108" s="56"/>
      <c r="P108" s="15">
        <v>0.0368921185019564</v>
      </c>
      <c r="Q108" s="9"/>
      <c r="R108" s="10">
        <v>703933.29</v>
      </c>
      <c r="S108" s="15">
        <v>0.02999587862312331</v>
      </c>
      <c r="T108" s="11">
        <v>36</v>
      </c>
      <c r="U108" s="15">
        <v>0.02694610778443114</v>
      </c>
      <c r="V108" s="57"/>
      <c r="W108" s="56"/>
      <c r="X108" s="15"/>
      <c r="Y108" s="10">
        <v>1202661.44</v>
      </c>
      <c r="Z108" s="15">
        <v>0.02965500149688339</v>
      </c>
      <c r="AA108" s="11">
        <v>51</v>
      </c>
      <c r="AB108" s="15">
        <v>0.023426734037666513</v>
      </c>
      <c r="AC108" s="57"/>
      <c r="AD108" s="56"/>
      <c r="AE108" s="56"/>
      <c r="AF108" s="15"/>
      <c r="AG108" s="10">
        <v>1629578.36</v>
      </c>
      <c r="AH108" s="15">
        <v>0.029194127604584515</v>
      </c>
      <c r="AI108" s="11">
        <v>86</v>
      </c>
      <c r="AJ108" s="15">
        <v>0.029093369418132613</v>
      </c>
      <c r="AK108" s="57"/>
      <c r="AL108" s="56"/>
      <c r="AM108" s="15"/>
      <c r="AN108" s="10">
        <v>2038881.86</v>
      </c>
      <c r="AO108" s="15">
        <v>0.03442924116824448</v>
      </c>
      <c r="AP108" s="11">
        <v>84</v>
      </c>
      <c r="AQ108" s="15">
        <v>0.028513238289205704</v>
      </c>
      <c r="AR108" s="57"/>
      <c r="AS108" s="56"/>
      <c r="AT108" s="15"/>
      <c r="AU108" s="10">
        <v>2735294.69</v>
      </c>
      <c r="AV108" s="15">
        <v>0.035618625671952356</v>
      </c>
      <c r="AW108" s="11">
        <v>110</v>
      </c>
      <c r="AX108" s="15">
        <v>0.030186608122941824</v>
      </c>
      <c r="AY108" s="57"/>
      <c r="AZ108" s="56"/>
      <c r="BA108" s="15"/>
      <c r="BB108" s="10">
        <v>3345863.28</v>
      </c>
      <c r="BC108" s="15">
        <v>0.040070120584801076</v>
      </c>
      <c r="BD108" s="11">
        <v>127</v>
      </c>
      <c r="BE108" s="15">
        <v>0.03328964613368283</v>
      </c>
      <c r="BF108" s="57"/>
      <c r="BG108" s="56"/>
      <c r="BH108" s="15"/>
      <c r="BI108" s="10">
        <v>3598802.44</v>
      </c>
      <c r="BJ108" s="15">
        <v>0.04152978264620699</v>
      </c>
      <c r="BK108" s="11">
        <v>126</v>
      </c>
      <c r="BL108" s="15">
        <v>0.03265094584089142</v>
      </c>
      <c r="BM108" s="57"/>
      <c r="BN108" s="56"/>
      <c r="BO108" s="15"/>
      <c r="BP108" s="10">
        <v>4444591.48</v>
      </c>
      <c r="BQ108" s="15">
        <v>0.04324778866712377</v>
      </c>
      <c r="BR108" s="11">
        <v>154</v>
      </c>
      <c r="BS108" s="15">
        <v>0.034849513464584744</v>
      </c>
      <c r="BT108" s="57"/>
      <c r="BU108" s="56"/>
      <c r="BV108" s="15"/>
      <c r="BW108" s="10">
        <v>5308286.42</v>
      </c>
      <c r="BX108" s="15">
        <v>0.04952594199470168</v>
      </c>
      <c r="BY108" s="11">
        <v>174</v>
      </c>
      <c r="BZ108" s="15">
        <v>0.03866666666666667</v>
      </c>
      <c r="CA108" s="57"/>
      <c r="CB108" s="56"/>
      <c r="CC108" s="15"/>
      <c r="CD108" s="10">
        <v>5364581.15</v>
      </c>
      <c r="CE108" s="15">
        <v>0.04666879900834961</v>
      </c>
      <c r="CF108" s="11">
        <v>177</v>
      </c>
      <c r="CG108" s="15">
        <v>0.03793399057008144</v>
      </c>
      <c r="CH108" s="57"/>
      <c r="CI108" s="56"/>
      <c r="CJ108" s="15"/>
      <c r="CK108" s="10">
        <v>5914234.67</v>
      </c>
      <c r="CL108" s="15">
        <v>0.05167091801660729</v>
      </c>
      <c r="CM108" s="11">
        <v>195</v>
      </c>
      <c r="CN108" s="15">
        <v>0.042706964520367936</v>
      </c>
      <c r="CO108" s="57"/>
      <c r="CP108" s="56"/>
      <c r="CQ108" s="15"/>
    </row>
    <row r="109" spans="1:95" ht="12.75">
      <c r="A109" s="9" t="s">
        <v>37</v>
      </c>
      <c r="B109" s="9"/>
      <c r="C109" s="9"/>
      <c r="D109" s="10">
        <v>561204.17</v>
      </c>
      <c r="E109" s="15">
        <v>0.05852531831091763</v>
      </c>
      <c r="F109" s="11">
        <v>32</v>
      </c>
      <c r="G109" s="15">
        <v>0.05755395683453238</v>
      </c>
      <c r="H109" s="9"/>
      <c r="I109" s="9"/>
      <c r="J109" s="10">
        <v>552166.28</v>
      </c>
      <c r="K109" s="15">
        <v>0.059700653649093105</v>
      </c>
      <c r="L109" s="11">
        <v>32</v>
      </c>
      <c r="M109" s="15">
        <v>0.058287795992714025</v>
      </c>
      <c r="N109" s="57"/>
      <c r="O109" s="56"/>
      <c r="P109" s="15">
        <v>0.06316377864728899</v>
      </c>
      <c r="Q109" s="9"/>
      <c r="R109" s="10">
        <v>1107378.64</v>
      </c>
      <c r="S109" s="15">
        <v>0.04718741924434256</v>
      </c>
      <c r="T109" s="11">
        <v>70</v>
      </c>
      <c r="U109" s="15">
        <v>0.05239520958083832</v>
      </c>
      <c r="V109" s="57"/>
      <c r="W109" s="56"/>
      <c r="X109" s="15"/>
      <c r="Y109" s="10">
        <v>2056392.28</v>
      </c>
      <c r="Z109" s="15">
        <v>0.05070613733286357</v>
      </c>
      <c r="AA109" s="11">
        <v>127</v>
      </c>
      <c r="AB109" s="15">
        <v>0.058337161231051905</v>
      </c>
      <c r="AC109" s="57"/>
      <c r="AD109" s="56"/>
      <c r="AE109" s="56"/>
      <c r="AF109" s="15"/>
      <c r="AG109" s="10">
        <v>3930892.02</v>
      </c>
      <c r="AH109" s="15">
        <v>0.07042248844770065</v>
      </c>
      <c r="AI109" s="11">
        <v>217</v>
      </c>
      <c r="AJ109" s="15">
        <v>0.07341001353179973</v>
      </c>
      <c r="AK109" s="57"/>
      <c r="AL109" s="56"/>
      <c r="AM109" s="15"/>
      <c r="AN109" s="10">
        <v>2796810.34</v>
      </c>
      <c r="AO109" s="15">
        <v>0.04722787503622197</v>
      </c>
      <c r="AP109" s="11">
        <v>164</v>
      </c>
      <c r="AQ109" s="15">
        <v>0.055668703326544465</v>
      </c>
      <c r="AR109" s="57"/>
      <c r="AS109" s="56"/>
      <c r="AT109" s="15"/>
      <c r="AU109" s="10">
        <v>3673682.68</v>
      </c>
      <c r="AV109" s="15">
        <v>0.047838183101380806</v>
      </c>
      <c r="AW109" s="11">
        <v>205</v>
      </c>
      <c r="AX109" s="15">
        <v>0.05625686059275521</v>
      </c>
      <c r="AY109" s="57"/>
      <c r="AZ109" s="56"/>
      <c r="BA109" s="15"/>
      <c r="BB109" s="10">
        <v>4515460.93</v>
      </c>
      <c r="BC109" s="15">
        <v>0.05407724369450565</v>
      </c>
      <c r="BD109" s="11">
        <v>233</v>
      </c>
      <c r="BE109" s="15">
        <v>0.06107470511140236</v>
      </c>
      <c r="BF109" s="57"/>
      <c r="BG109" s="56"/>
      <c r="BH109" s="15"/>
      <c r="BI109" s="10">
        <v>4618524.61</v>
      </c>
      <c r="BJ109" s="15">
        <v>0.05329726385298822</v>
      </c>
      <c r="BK109" s="11">
        <v>227</v>
      </c>
      <c r="BL109" s="15">
        <v>0.058823529411764705</v>
      </c>
      <c r="BM109" s="57"/>
      <c r="BN109" s="56"/>
      <c r="BO109" s="15"/>
      <c r="BP109" s="10">
        <v>5485532.759999999</v>
      </c>
      <c r="BQ109" s="15">
        <v>0.05337659548658096</v>
      </c>
      <c r="BR109" s="11">
        <v>266</v>
      </c>
      <c r="BS109" s="15">
        <v>0.060194614166100925</v>
      </c>
      <c r="BT109" s="57"/>
      <c r="BU109" s="56"/>
      <c r="BV109" s="15"/>
      <c r="BW109" s="10">
        <v>5694136.080000003</v>
      </c>
      <c r="BX109" s="15">
        <v>0.053125892405786614</v>
      </c>
      <c r="BY109" s="11">
        <v>267</v>
      </c>
      <c r="BZ109" s="15">
        <v>0.059333333333333335</v>
      </c>
      <c r="CA109" s="57"/>
      <c r="CB109" s="56"/>
      <c r="CC109" s="15"/>
      <c r="CD109" s="10">
        <v>5615648.050000004</v>
      </c>
      <c r="CE109" s="15">
        <v>0.04885293796834084</v>
      </c>
      <c r="CF109" s="11">
        <v>261</v>
      </c>
      <c r="CG109" s="15">
        <v>0.055936562366052295</v>
      </c>
      <c r="CH109" s="57"/>
      <c r="CI109" s="56"/>
      <c r="CJ109" s="15"/>
      <c r="CK109" s="10">
        <v>5348456.340000005</v>
      </c>
      <c r="CL109" s="15">
        <v>0.04672788018733517</v>
      </c>
      <c r="CM109" s="11">
        <v>243</v>
      </c>
      <c r="CN109" s="15">
        <v>0.053219448094612355</v>
      </c>
      <c r="CO109" s="57"/>
      <c r="CP109" s="56"/>
      <c r="CQ109" s="15"/>
    </row>
    <row r="110" spans="1:95" ht="12.75">
      <c r="A110" s="9" t="s">
        <v>38</v>
      </c>
      <c r="B110" s="9"/>
      <c r="C110" s="9"/>
      <c r="D110" s="10">
        <v>701099.34</v>
      </c>
      <c r="E110" s="15">
        <v>0.07311432137269093</v>
      </c>
      <c r="F110" s="11">
        <v>60</v>
      </c>
      <c r="G110" s="15">
        <v>0.1079136690647482</v>
      </c>
      <c r="H110" s="9"/>
      <c r="I110" s="9"/>
      <c r="J110" s="10">
        <v>683514.38</v>
      </c>
      <c r="K110" s="15">
        <v>0.07390211380628786</v>
      </c>
      <c r="L110" s="11">
        <v>60</v>
      </c>
      <c r="M110" s="15">
        <v>0.1092896174863388</v>
      </c>
      <c r="N110" s="57"/>
      <c r="O110" s="56"/>
      <c r="P110" s="15">
        <v>0.08552263834544438</v>
      </c>
      <c r="Q110" s="9"/>
      <c r="R110" s="10">
        <v>1551996.66</v>
      </c>
      <c r="S110" s="15">
        <v>0.06613340226721307</v>
      </c>
      <c r="T110" s="11">
        <v>117</v>
      </c>
      <c r="U110" s="15">
        <v>0.0875748502994012</v>
      </c>
      <c r="V110" s="57"/>
      <c r="W110" s="56"/>
      <c r="X110" s="15"/>
      <c r="Y110" s="10">
        <v>3291826.22</v>
      </c>
      <c r="Z110" s="15">
        <v>0.08116923702283164</v>
      </c>
      <c r="AA110" s="11">
        <v>213</v>
      </c>
      <c r="AB110" s="15">
        <v>0.09784106568672485</v>
      </c>
      <c r="AC110" s="57"/>
      <c r="AD110" s="56"/>
      <c r="AE110" s="56"/>
      <c r="AF110" s="15"/>
      <c r="AG110" s="10">
        <v>5864455.570000004</v>
      </c>
      <c r="AH110" s="15">
        <v>0.10506255387559056</v>
      </c>
      <c r="AI110" s="11">
        <v>314</v>
      </c>
      <c r="AJ110" s="15">
        <v>0.10622462787550745</v>
      </c>
      <c r="AK110" s="57"/>
      <c r="AL110" s="56"/>
      <c r="AM110" s="15"/>
      <c r="AN110" s="10">
        <v>4782937.92</v>
      </c>
      <c r="AO110" s="15">
        <v>0.08076628978415727</v>
      </c>
      <c r="AP110" s="11">
        <v>302</v>
      </c>
      <c r="AQ110" s="15">
        <v>0.10251188051595383</v>
      </c>
      <c r="AR110" s="57"/>
      <c r="AS110" s="56"/>
      <c r="AT110" s="15"/>
      <c r="AU110" s="10">
        <v>6146570.759999992</v>
      </c>
      <c r="AV110" s="15">
        <v>0.08003978652355272</v>
      </c>
      <c r="AW110" s="11">
        <v>377</v>
      </c>
      <c r="AX110" s="15">
        <v>0.10345773874862788</v>
      </c>
      <c r="AY110" s="57"/>
      <c r="AZ110" s="56"/>
      <c r="BA110" s="15"/>
      <c r="BB110" s="10">
        <v>6982753.369999995</v>
      </c>
      <c r="BC110" s="15">
        <v>0.0836255836340766</v>
      </c>
      <c r="BD110" s="11">
        <v>410</v>
      </c>
      <c r="BE110" s="15">
        <v>0.10747051114023591</v>
      </c>
      <c r="BF110" s="57"/>
      <c r="BG110" s="56"/>
      <c r="BH110" s="15"/>
      <c r="BI110" s="10">
        <v>7498959.8599999985</v>
      </c>
      <c r="BJ110" s="15">
        <v>0.08653716847497489</v>
      </c>
      <c r="BK110" s="11">
        <v>428</v>
      </c>
      <c r="BL110" s="15">
        <v>0.11090956206271055</v>
      </c>
      <c r="BM110" s="57"/>
      <c r="BN110" s="56"/>
      <c r="BO110" s="15"/>
      <c r="BP110" s="10">
        <v>9319575.56999999</v>
      </c>
      <c r="BQ110" s="15">
        <v>0.09068348273003692</v>
      </c>
      <c r="BR110" s="11">
        <v>494</v>
      </c>
      <c r="BS110" s="15">
        <v>0.11178999773704458</v>
      </c>
      <c r="BT110" s="57"/>
      <c r="BU110" s="56"/>
      <c r="BV110" s="15"/>
      <c r="BW110" s="10">
        <v>9786178.87</v>
      </c>
      <c r="BX110" s="15">
        <v>0.09130436617724845</v>
      </c>
      <c r="BY110" s="11">
        <v>502</v>
      </c>
      <c r="BZ110" s="15">
        <v>0.11155555555555556</v>
      </c>
      <c r="CA110" s="57"/>
      <c r="CB110" s="56"/>
      <c r="CC110" s="15"/>
      <c r="CD110" s="10">
        <v>10518093.199999994</v>
      </c>
      <c r="CE110" s="15">
        <v>0.09150141712403556</v>
      </c>
      <c r="CF110" s="11">
        <v>529</v>
      </c>
      <c r="CG110" s="15">
        <v>0.1133733390484355</v>
      </c>
      <c r="CH110" s="57"/>
      <c r="CI110" s="56"/>
      <c r="CJ110" s="15"/>
      <c r="CK110" s="10">
        <v>10511519.740000002</v>
      </c>
      <c r="CL110" s="15">
        <v>0.09183603712422342</v>
      </c>
      <c r="CM110" s="11">
        <v>521</v>
      </c>
      <c r="CN110" s="15">
        <v>0.11410424879544459</v>
      </c>
      <c r="CO110" s="57"/>
      <c r="CP110" s="56"/>
      <c r="CQ110" s="15"/>
    </row>
    <row r="111" spans="1:95" ht="12.75">
      <c r="A111" s="9" t="s">
        <v>39</v>
      </c>
      <c r="B111" s="9"/>
      <c r="C111" s="9"/>
      <c r="D111" s="10">
        <v>0</v>
      </c>
      <c r="E111" s="15">
        <v>0</v>
      </c>
      <c r="F111" s="11">
        <v>0</v>
      </c>
      <c r="G111" s="15">
        <v>0</v>
      </c>
      <c r="H111" s="9"/>
      <c r="I111" s="9"/>
      <c r="J111" s="10">
        <v>0</v>
      </c>
      <c r="K111" s="15">
        <v>0</v>
      </c>
      <c r="L111" s="11">
        <v>0</v>
      </c>
      <c r="M111" s="15">
        <v>0</v>
      </c>
      <c r="N111" s="57"/>
      <c r="O111" s="56"/>
      <c r="P111" s="15">
        <v>0</v>
      </c>
      <c r="Q111" s="9"/>
      <c r="R111" s="10">
        <v>0</v>
      </c>
      <c r="S111" s="15">
        <v>0</v>
      </c>
      <c r="T111" s="11">
        <v>0</v>
      </c>
      <c r="U111" s="15">
        <v>0</v>
      </c>
      <c r="V111" s="57"/>
      <c r="W111" s="56"/>
      <c r="X111" s="15"/>
      <c r="Y111" s="10">
        <v>0</v>
      </c>
      <c r="Z111" s="15">
        <v>0</v>
      </c>
      <c r="AA111" s="11">
        <v>0</v>
      </c>
      <c r="AB111" s="15">
        <v>0</v>
      </c>
      <c r="AC111" s="57"/>
      <c r="AD111" s="56"/>
      <c r="AE111" s="56"/>
      <c r="AF111" s="15"/>
      <c r="AG111" s="10">
        <v>0</v>
      </c>
      <c r="AH111" s="15">
        <v>0</v>
      </c>
      <c r="AI111" s="11">
        <v>0</v>
      </c>
      <c r="AJ111" s="15">
        <v>0</v>
      </c>
      <c r="AK111" s="57"/>
      <c r="AL111" s="56"/>
      <c r="AM111" s="15"/>
      <c r="AN111" s="10">
        <v>0</v>
      </c>
      <c r="AO111" s="15">
        <v>0</v>
      </c>
      <c r="AP111" s="11">
        <v>0</v>
      </c>
      <c r="AQ111" s="15">
        <v>0</v>
      </c>
      <c r="AR111" s="57"/>
      <c r="AS111" s="56"/>
      <c r="AT111" s="15"/>
      <c r="AU111" s="10">
        <v>0</v>
      </c>
      <c r="AV111" s="15">
        <v>0</v>
      </c>
      <c r="AW111" s="11">
        <v>0</v>
      </c>
      <c r="AX111" s="15">
        <v>0</v>
      </c>
      <c r="AY111" s="57"/>
      <c r="AZ111" s="56"/>
      <c r="BA111" s="15"/>
      <c r="BB111" s="10">
        <v>0</v>
      </c>
      <c r="BC111" s="15">
        <v>0</v>
      </c>
      <c r="BD111" s="11">
        <v>0</v>
      </c>
      <c r="BE111" s="15">
        <v>0</v>
      </c>
      <c r="BF111" s="57"/>
      <c r="BG111" s="56"/>
      <c r="BH111" s="15"/>
      <c r="BI111" s="10">
        <v>0</v>
      </c>
      <c r="BJ111" s="15">
        <v>0</v>
      </c>
      <c r="BK111" s="11">
        <v>0</v>
      </c>
      <c r="BL111" s="15">
        <v>0</v>
      </c>
      <c r="BM111" s="57"/>
      <c r="BN111" s="56"/>
      <c r="BO111" s="15"/>
      <c r="BP111" s="10">
        <v>0</v>
      </c>
      <c r="BQ111" s="15">
        <v>0</v>
      </c>
      <c r="BR111" s="11">
        <v>0</v>
      </c>
      <c r="BS111" s="15">
        <v>0</v>
      </c>
      <c r="BT111" s="57"/>
      <c r="BU111" s="56"/>
      <c r="BV111" s="15"/>
      <c r="BW111" s="10">
        <v>0</v>
      </c>
      <c r="BX111" s="15">
        <v>0</v>
      </c>
      <c r="BY111" s="11">
        <v>0</v>
      </c>
      <c r="BZ111" s="15">
        <v>0</v>
      </c>
      <c r="CA111" s="57"/>
      <c r="CB111" s="56"/>
      <c r="CC111" s="15"/>
      <c r="CD111" s="10">
        <v>0</v>
      </c>
      <c r="CE111" s="15">
        <v>0</v>
      </c>
      <c r="CF111" s="11">
        <v>0</v>
      </c>
      <c r="CG111" s="15">
        <v>0</v>
      </c>
      <c r="CH111" s="57"/>
      <c r="CI111" s="56"/>
      <c r="CJ111" s="15"/>
      <c r="CK111" s="10">
        <v>0</v>
      </c>
      <c r="CL111" s="15">
        <v>0</v>
      </c>
      <c r="CM111" s="11">
        <v>0</v>
      </c>
      <c r="CN111" s="15">
        <v>0</v>
      </c>
      <c r="CO111" s="57"/>
      <c r="CP111" s="56"/>
      <c r="CQ111" s="15"/>
    </row>
    <row r="112" spans="1:95" ht="12.75">
      <c r="A112" s="9"/>
      <c r="B112" s="9"/>
      <c r="C112" s="9"/>
      <c r="D112" s="10"/>
      <c r="E112" s="9"/>
      <c r="F112" s="11"/>
      <c r="G112" s="9"/>
      <c r="H112" s="9"/>
      <c r="I112" s="9"/>
      <c r="J112" s="10"/>
      <c r="K112" s="15"/>
      <c r="L112" s="11"/>
      <c r="M112" s="15"/>
      <c r="N112" s="57"/>
      <c r="O112" s="56"/>
      <c r="P112" s="15">
        <v>0</v>
      </c>
      <c r="Q112" s="9"/>
      <c r="R112" s="10"/>
      <c r="S112" s="15"/>
      <c r="T112" s="11"/>
      <c r="U112" s="15"/>
      <c r="V112" s="57"/>
      <c r="W112" s="56"/>
      <c r="X112" s="15"/>
      <c r="Y112" s="10"/>
      <c r="Z112" s="15"/>
      <c r="AA112" s="11"/>
      <c r="AB112" s="15"/>
      <c r="AC112" s="57"/>
      <c r="AD112" s="56"/>
      <c r="AE112" s="56"/>
      <c r="AF112" s="15"/>
      <c r="AG112" s="10"/>
      <c r="AH112" s="15"/>
      <c r="AI112" s="11"/>
      <c r="AJ112" s="15"/>
      <c r="AK112" s="57"/>
      <c r="AL112" s="56"/>
      <c r="AM112" s="15"/>
      <c r="AN112" s="10"/>
      <c r="AO112" s="15"/>
      <c r="AP112" s="11"/>
      <c r="AQ112" s="15"/>
      <c r="AR112" s="57"/>
      <c r="AS112" s="56"/>
      <c r="AT112" s="15"/>
      <c r="AU112" s="10"/>
      <c r="AV112" s="15"/>
      <c r="AW112" s="11"/>
      <c r="AX112" s="15"/>
      <c r="AY112" s="57"/>
      <c r="AZ112" s="56"/>
      <c r="BA112" s="15"/>
      <c r="BB112" s="10"/>
      <c r="BC112" s="15"/>
      <c r="BD112" s="11"/>
      <c r="BE112" s="15"/>
      <c r="BF112" s="57"/>
      <c r="BG112" s="56"/>
      <c r="BH112" s="15"/>
      <c r="BI112" s="10"/>
      <c r="BJ112" s="15"/>
      <c r="BK112" s="11"/>
      <c r="BL112" s="15"/>
      <c r="BM112" s="57"/>
      <c r="BN112" s="56"/>
      <c r="BO112" s="15"/>
      <c r="BP112" s="10"/>
      <c r="BQ112" s="15"/>
      <c r="BR112" s="11"/>
      <c r="BS112" s="15"/>
      <c r="BT112" s="57"/>
      <c r="BU112" s="56"/>
      <c r="BV112" s="15"/>
      <c r="BW112" s="10"/>
      <c r="BX112" s="15"/>
      <c r="BY112" s="11"/>
      <c r="BZ112" s="15"/>
      <c r="CA112" s="57"/>
      <c r="CB112" s="56"/>
      <c r="CC112" s="15"/>
      <c r="CD112" s="10"/>
      <c r="CE112" s="15"/>
      <c r="CF112" s="11"/>
      <c r="CG112" s="15"/>
      <c r="CH112" s="57"/>
      <c r="CI112" s="56"/>
      <c r="CJ112" s="15"/>
      <c r="CK112" s="10"/>
      <c r="CL112" s="15"/>
      <c r="CM112" s="11"/>
      <c r="CN112" s="15"/>
      <c r="CO112" s="57"/>
      <c r="CP112" s="56"/>
      <c r="CQ112" s="15"/>
    </row>
    <row r="113" spans="1:95" ht="13.5" thickBot="1">
      <c r="A113" s="9"/>
      <c r="B113" s="13"/>
      <c r="C113" s="13"/>
      <c r="D113" s="22">
        <f>SUM(D100:D112)</f>
        <v>9589083.6</v>
      </c>
      <c r="E113" s="24"/>
      <c r="F113" s="23">
        <f>SUM(F100:F111)</f>
        <v>556</v>
      </c>
      <c r="G113" s="24"/>
      <c r="H113" s="9"/>
      <c r="I113" s="9"/>
      <c r="J113" s="22">
        <f>SUM(J100:J112)</f>
        <v>9248915.15</v>
      </c>
      <c r="K113" s="24"/>
      <c r="L113" s="23">
        <f>SUM(L100:L112)</f>
        <v>549</v>
      </c>
      <c r="M113" s="64"/>
      <c r="N113" s="55"/>
      <c r="O113" s="56"/>
      <c r="P113" s="9"/>
      <c r="Q113" s="9"/>
      <c r="R113" s="22">
        <f>SUM(R100:R112)</f>
        <v>23467666.970000003</v>
      </c>
      <c r="S113" s="24"/>
      <c r="T113" s="23">
        <f>SUM(T100:T112)</f>
        <v>1336</v>
      </c>
      <c r="U113" s="64"/>
      <c r="V113" s="55"/>
      <c r="W113" s="56"/>
      <c r="X113" s="9"/>
      <c r="Y113" s="22">
        <f>SUM(Y100:Y112)</f>
        <v>40555096.249999985</v>
      </c>
      <c r="Z113" s="24"/>
      <c r="AA113" s="23">
        <f>SUM(AA100:AA112)</f>
        <v>2177</v>
      </c>
      <c r="AB113" s="64"/>
      <c r="AC113" s="55"/>
      <c r="AD113" s="56"/>
      <c r="AE113" s="56"/>
      <c r="AF113" s="9"/>
      <c r="AG113" s="22">
        <f>SUM(AG100:AG112)</f>
        <v>55818703.750000015</v>
      </c>
      <c r="AH113" s="24"/>
      <c r="AI113" s="23">
        <f>SUM(AI100:AI112)</f>
        <v>2956</v>
      </c>
      <c r="AJ113" s="64"/>
      <c r="AK113" s="55"/>
      <c r="AL113" s="56"/>
      <c r="AM113" s="9"/>
      <c r="AN113" s="22">
        <f>SUM(AN100:AN112)</f>
        <v>59219482.94</v>
      </c>
      <c r="AO113" s="24"/>
      <c r="AP113" s="23">
        <f>SUM(AP100:AP112)</f>
        <v>2946</v>
      </c>
      <c r="AQ113" s="64"/>
      <c r="AR113" s="55"/>
      <c r="AS113" s="56"/>
      <c r="AT113" s="9"/>
      <c r="AU113" s="22">
        <f>SUM(AU100:AU112)</f>
        <v>76793942.44999999</v>
      </c>
      <c r="AV113" s="24"/>
      <c r="AW113" s="23">
        <f>SUM(AW100:AW112)</f>
        <v>3644</v>
      </c>
      <c r="AX113" s="64"/>
      <c r="AY113" s="55"/>
      <c r="AZ113" s="56"/>
      <c r="BA113" s="9"/>
      <c r="BB113" s="22">
        <f>SUM(BB100:BB112)</f>
        <v>83500204.92</v>
      </c>
      <c r="BC113" s="24"/>
      <c r="BD113" s="23">
        <f>SUM(BD100:BD112)</f>
        <v>3815</v>
      </c>
      <c r="BE113" s="64"/>
      <c r="BF113" s="55"/>
      <c r="BG113" s="56"/>
      <c r="BH113" s="9"/>
      <c r="BI113" s="22">
        <f>SUM(BI100:BI112)</f>
        <v>86655942.08999999</v>
      </c>
      <c r="BJ113" s="24"/>
      <c r="BK113" s="23">
        <f>SUM(BK100:BK112)</f>
        <v>3859</v>
      </c>
      <c r="BL113" s="64"/>
      <c r="BM113" s="55"/>
      <c r="BN113" s="56"/>
      <c r="BO113" s="9"/>
      <c r="BP113" s="22">
        <f>SUM(BP100:BP112)</f>
        <v>102770375.48</v>
      </c>
      <c r="BQ113" s="24"/>
      <c r="BR113" s="23">
        <f>SUM(BR100:BR112)</f>
        <v>4419</v>
      </c>
      <c r="BS113" s="64"/>
      <c r="BT113" s="55"/>
      <c r="BU113" s="56"/>
      <c r="BV113" s="9"/>
      <c r="BW113" s="22">
        <f>SUM(BW100:BW112)</f>
        <v>107181937.50999998</v>
      </c>
      <c r="BX113" s="24"/>
      <c r="BY113" s="23">
        <f>SUM(BY100:BY112)</f>
        <v>4500</v>
      </c>
      <c r="BZ113" s="64"/>
      <c r="CA113" s="55"/>
      <c r="CB113" s="56"/>
      <c r="CC113" s="9"/>
      <c r="CD113" s="22">
        <f>SUM(CD100:CD112)</f>
        <v>114950057.93999997</v>
      </c>
      <c r="CE113" s="24"/>
      <c r="CF113" s="23">
        <f>SUM(CF100:CF112)</f>
        <v>4666</v>
      </c>
      <c r="CG113" s="64"/>
      <c r="CH113" s="55"/>
      <c r="CI113" s="56"/>
      <c r="CJ113" s="9"/>
      <c r="CK113" s="22">
        <f>SUM(CK100:CK112)</f>
        <v>114459639.90999997</v>
      </c>
      <c r="CL113" s="24"/>
      <c r="CM113" s="23">
        <f>SUM(CM100:CM112)</f>
        <v>4566</v>
      </c>
      <c r="CN113" s="64"/>
      <c r="CO113" s="55"/>
      <c r="CP113" s="56"/>
      <c r="CQ113" s="9"/>
    </row>
    <row r="114" spans="1:95" ht="13.5" thickTop="1">
      <c r="A114" s="9"/>
      <c r="B114" s="9"/>
      <c r="C114" s="9"/>
      <c r="D114" s="10"/>
      <c r="E114" s="9"/>
      <c r="F114" s="11"/>
      <c r="G114" s="9"/>
      <c r="H114" s="9"/>
      <c r="I114" s="9"/>
      <c r="J114" s="35"/>
      <c r="K114" s="35"/>
      <c r="L114" s="35"/>
      <c r="M114" s="31"/>
      <c r="N114" s="58"/>
      <c r="O114" s="32"/>
      <c r="P114" s="24"/>
      <c r="Q114" s="9"/>
      <c r="R114" s="35"/>
      <c r="S114" s="35"/>
      <c r="T114" s="35"/>
      <c r="U114" s="31"/>
      <c r="V114" s="58"/>
      <c r="W114" s="32"/>
      <c r="X114" s="24"/>
      <c r="Y114" s="35"/>
      <c r="Z114" s="35"/>
      <c r="AA114" s="35"/>
      <c r="AB114" s="31"/>
      <c r="AC114" s="58"/>
      <c r="AD114" s="32"/>
      <c r="AE114" s="32"/>
      <c r="AF114" s="24"/>
      <c r="AG114" s="35"/>
      <c r="AH114" s="35"/>
      <c r="AI114" s="35"/>
      <c r="AJ114" s="31"/>
      <c r="AK114" s="58"/>
      <c r="AL114" s="32"/>
      <c r="AM114" s="24"/>
      <c r="AN114" s="35"/>
      <c r="AO114" s="35"/>
      <c r="AP114" s="35"/>
      <c r="AQ114" s="31"/>
      <c r="AR114" s="58"/>
      <c r="AS114" s="32"/>
      <c r="AT114" s="24"/>
      <c r="AU114" s="35"/>
      <c r="AV114" s="35"/>
      <c r="AW114" s="35"/>
      <c r="AX114" s="31"/>
      <c r="AY114" s="58"/>
      <c r="AZ114" s="32"/>
      <c r="BA114" s="24"/>
      <c r="BB114" s="35"/>
      <c r="BC114" s="35"/>
      <c r="BD114" s="35"/>
      <c r="BE114" s="31"/>
      <c r="BF114" s="58"/>
      <c r="BG114" s="32"/>
      <c r="BH114" s="24"/>
      <c r="BI114" s="35"/>
      <c r="BJ114" s="35"/>
      <c r="BK114" s="35"/>
      <c r="BL114" s="31"/>
      <c r="BM114" s="58"/>
      <c r="BN114" s="32"/>
      <c r="BO114" s="24"/>
      <c r="BP114" s="35"/>
      <c r="BQ114" s="35"/>
      <c r="BR114" s="35"/>
      <c r="BS114" s="31"/>
      <c r="BT114" s="58"/>
      <c r="BU114" s="32"/>
      <c r="BV114" s="24"/>
      <c r="BW114" s="35"/>
      <c r="BX114" s="35"/>
      <c r="BY114" s="35"/>
      <c r="BZ114" s="31"/>
      <c r="CA114" s="58"/>
      <c r="CB114" s="32"/>
      <c r="CC114" s="24"/>
      <c r="CD114" s="35"/>
      <c r="CE114" s="35"/>
      <c r="CF114" s="35"/>
      <c r="CG114" s="31"/>
      <c r="CH114" s="58"/>
      <c r="CI114" s="32"/>
      <c r="CJ114" s="24"/>
      <c r="CK114" s="35"/>
      <c r="CL114" s="35"/>
      <c r="CM114" s="35"/>
      <c r="CN114" s="31"/>
      <c r="CO114" s="58"/>
      <c r="CP114" s="32"/>
      <c r="CQ114" s="24"/>
    </row>
    <row r="115" spans="1:95" ht="12.75">
      <c r="A115" s="9"/>
      <c r="B115" s="9"/>
      <c r="C115" s="9"/>
      <c r="D115" s="10"/>
      <c r="E115" s="9"/>
      <c r="F115" s="11"/>
      <c r="G115" s="9"/>
      <c r="H115" s="9"/>
      <c r="I115" s="9"/>
      <c r="J115" s="10"/>
      <c r="K115" s="9"/>
      <c r="L115" s="11"/>
      <c r="M115" s="64"/>
      <c r="N115" s="55"/>
      <c r="O115" s="56"/>
      <c r="P115" s="9"/>
      <c r="Q115" s="9"/>
      <c r="R115" s="10"/>
      <c r="S115" s="9"/>
      <c r="T115" s="11"/>
      <c r="U115" s="64"/>
      <c r="V115" s="55"/>
      <c r="W115" s="56"/>
      <c r="X115" s="9"/>
      <c r="Y115" s="10"/>
      <c r="Z115" s="9"/>
      <c r="AA115" s="11"/>
      <c r="AB115" s="64"/>
      <c r="AC115" s="55"/>
      <c r="AD115" s="56"/>
      <c r="AE115" s="56"/>
      <c r="AF115" s="9"/>
      <c r="AG115" s="10"/>
      <c r="AH115" s="9"/>
      <c r="AI115" s="11"/>
      <c r="AJ115" s="64"/>
      <c r="AK115" s="55"/>
      <c r="AL115" s="56"/>
      <c r="AM115" s="9"/>
      <c r="AN115" s="10"/>
      <c r="AO115" s="9"/>
      <c r="AP115" s="11"/>
      <c r="AQ115" s="64"/>
      <c r="AR115" s="55"/>
      <c r="AS115" s="56"/>
      <c r="AT115" s="9"/>
      <c r="AU115" s="10"/>
      <c r="AV115" s="9"/>
      <c r="AW115" s="11"/>
      <c r="AX115" s="64"/>
      <c r="AY115" s="55"/>
      <c r="AZ115" s="56"/>
      <c r="BA115" s="9"/>
      <c r="BB115" s="10"/>
      <c r="BC115" s="9"/>
      <c r="BD115" s="11"/>
      <c r="BE115" s="64"/>
      <c r="BF115" s="55"/>
      <c r="BG115" s="56"/>
      <c r="BH115" s="9"/>
      <c r="BI115" s="10"/>
      <c r="BJ115" s="9"/>
      <c r="BK115" s="11"/>
      <c r="BL115" s="64"/>
      <c r="BM115" s="55"/>
      <c r="BN115" s="56"/>
      <c r="BO115" s="9"/>
      <c r="BP115" s="10"/>
      <c r="BQ115" s="9"/>
      <c r="BR115" s="11"/>
      <c r="BS115" s="64"/>
      <c r="BT115" s="55"/>
      <c r="BU115" s="56"/>
      <c r="BV115" s="9"/>
      <c r="BW115" s="10"/>
      <c r="BX115" s="9"/>
      <c r="BY115" s="11"/>
      <c r="BZ115" s="64"/>
      <c r="CA115" s="55"/>
      <c r="CB115" s="56"/>
      <c r="CC115" s="9"/>
      <c r="CD115" s="10"/>
      <c r="CE115" s="9"/>
      <c r="CF115" s="11"/>
      <c r="CG115" s="64"/>
      <c r="CH115" s="55"/>
      <c r="CI115" s="56"/>
      <c r="CJ115" s="9"/>
      <c r="CK115" s="10"/>
      <c r="CL115" s="9"/>
      <c r="CM115" s="11"/>
      <c r="CN115" s="64"/>
      <c r="CO115" s="55"/>
      <c r="CP115" s="56"/>
      <c r="CQ115" s="9"/>
    </row>
    <row r="116" spans="1:95" ht="12.75">
      <c r="A116" s="20" t="s">
        <v>122</v>
      </c>
      <c r="B116" s="9"/>
      <c r="C116" s="9"/>
      <c r="D116" s="10"/>
      <c r="E116" s="9"/>
      <c r="F116" s="11"/>
      <c r="G116" s="9"/>
      <c r="H116" s="9"/>
      <c r="I116" s="9"/>
      <c r="J116" s="20" t="s">
        <v>122</v>
      </c>
      <c r="K116" s="9"/>
      <c r="L116" s="9"/>
      <c r="M116" s="10"/>
      <c r="N116" s="9"/>
      <c r="O116" s="11"/>
      <c r="P116" s="9"/>
      <c r="Q116" s="9"/>
      <c r="R116" s="20" t="s">
        <v>122</v>
      </c>
      <c r="S116" s="9"/>
      <c r="T116" s="9"/>
      <c r="U116" s="10"/>
      <c r="V116" s="9"/>
      <c r="W116" s="11"/>
      <c r="X116" s="9"/>
      <c r="Y116" s="20" t="s">
        <v>122</v>
      </c>
      <c r="Z116" s="9"/>
      <c r="AA116" s="9"/>
      <c r="AB116" s="10"/>
      <c r="AC116" s="9"/>
      <c r="AD116" s="11"/>
      <c r="AE116" s="11"/>
      <c r="AF116" s="9"/>
      <c r="AG116" s="20" t="s">
        <v>122</v>
      </c>
      <c r="AH116" s="9"/>
      <c r="AI116" s="9"/>
      <c r="AJ116" s="10"/>
      <c r="AK116" s="9"/>
      <c r="AL116" s="11"/>
      <c r="AM116" s="9"/>
      <c r="AN116" s="20" t="s">
        <v>122</v>
      </c>
      <c r="AO116" s="9"/>
      <c r="AP116" s="9"/>
      <c r="AQ116" s="10"/>
      <c r="AR116" s="9"/>
      <c r="AS116" s="11"/>
      <c r="AT116" s="9"/>
      <c r="AU116" s="20" t="s">
        <v>122</v>
      </c>
      <c r="AV116" s="9"/>
      <c r="AW116" s="9"/>
      <c r="AX116" s="10"/>
      <c r="AY116" s="9"/>
      <c r="AZ116" s="11"/>
      <c r="BA116" s="9"/>
      <c r="BB116" s="20" t="s">
        <v>122</v>
      </c>
      <c r="BC116" s="9"/>
      <c r="BD116" s="9"/>
      <c r="BE116" s="10"/>
      <c r="BF116" s="9"/>
      <c r="BG116" s="11"/>
      <c r="BH116" s="9"/>
      <c r="BI116" s="20" t="s">
        <v>122</v>
      </c>
      <c r="BJ116" s="9"/>
      <c r="BK116" s="9"/>
      <c r="BL116" s="10"/>
      <c r="BM116" s="9"/>
      <c r="BN116" s="11"/>
      <c r="BO116" s="9"/>
      <c r="BP116" s="20" t="s">
        <v>122</v>
      </c>
      <c r="BQ116" s="9"/>
      <c r="BR116" s="9"/>
      <c r="BS116" s="10"/>
      <c r="BT116" s="9"/>
      <c r="BU116" s="11"/>
      <c r="BV116" s="9"/>
      <c r="BW116" s="20" t="s">
        <v>122</v>
      </c>
      <c r="BX116" s="9"/>
      <c r="BY116" s="9"/>
      <c r="BZ116" s="10"/>
      <c r="CA116" s="9"/>
      <c r="CB116" s="11"/>
      <c r="CC116" s="9"/>
      <c r="CD116" s="20" t="s">
        <v>122</v>
      </c>
      <c r="CE116" s="9"/>
      <c r="CF116" s="9"/>
      <c r="CG116" s="10"/>
      <c r="CH116" s="9"/>
      <c r="CI116" s="11"/>
      <c r="CJ116" s="9"/>
      <c r="CK116" s="20" t="s">
        <v>122</v>
      </c>
      <c r="CL116" s="9"/>
      <c r="CM116" s="9"/>
      <c r="CN116" s="10"/>
      <c r="CO116" s="9"/>
      <c r="CP116" s="11"/>
      <c r="CQ116" s="9"/>
    </row>
    <row r="117" spans="1:95" ht="12.75">
      <c r="A117" s="9"/>
      <c r="B117" s="9"/>
      <c r="C117" s="9"/>
      <c r="D117" s="10"/>
      <c r="E117" s="9"/>
      <c r="F117" s="11"/>
      <c r="G117" s="9"/>
      <c r="H117" s="9"/>
      <c r="I117" s="9"/>
      <c r="J117" s="9"/>
      <c r="K117" s="9"/>
      <c r="L117" s="9"/>
      <c r="M117" s="10"/>
      <c r="N117" s="9"/>
      <c r="O117" s="11"/>
      <c r="P117" s="9"/>
      <c r="Q117" s="9"/>
      <c r="R117" s="9"/>
      <c r="S117" s="9"/>
      <c r="T117" s="9"/>
      <c r="U117" s="10"/>
      <c r="V117" s="9"/>
      <c r="W117" s="11"/>
      <c r="X117" s="9"/>
      <c r="Y117" s="9"/>
      <c r="Z117" s="9"/>
      <c r="AA117" s="9"/>
      <c r="AB117" s="10"/>
      <c r="AC117" s="9"/>
      <c r="AD117" s="11"/>
      <c r="AE117" s="11"/>
      <c r="AF117" s="9"/>
      <c r="AG117" s="9"/>
      <c r="AH117" s="9"/>
      <c r="AI117" s="9"/>
      <c r="AJ117" s="10"/>
      <c r="AK117" s="9"/>
      <c r="AL117" s="11"/>
      <c r="AM117" s="9"/>
      <c r="AN117" s="9"/>
      <c r="AO117" s="9"/>
      <c r="AP117" s="9"/>
      <c r="AQ117" s="10"/>
      <c r="AR117" s="9"/>
      <c r="AS117" s="11"/>
      <c r="AT117" s="9"/>
      <c r="AU117" s="9"/>
      <c r="AV117" s="9"/>
      <c r="AW117" s="9"/>
      <c r="AX117" s="10"/>
      <c r="AY117" s="9"/>
      <c r="AZ117" s="11"/>
      <c r="BA117" s="9"/>
      <c r="BB117" s="9"/>
      <c r="BC117" s="9"/>
      <c r="BD117" s="9"/>
      <c r="BE117" s="10"/>
      <c r="BF117" s="9"/>
      <c r="BG117" s="11"/>
      <c r="BH117" s="9"/>
      <c r="BI117" s="9"/>
      <c r="BJ117" s="9"/>
      <c r="BK117" s="9"/>
      <c r="BL117" s="10"/>
      <c r="BM117" s="9"/>
      <c r="BN117" s="11"/>
      <c r="BO117" s="9"/>
      <c r="BP117" s="9"/>
      <c r="BQ117" s="9"/>
      <c r="BR117" s="9"/>
      <c r="BS117" s="10"/>
      <c r="BT117" s="9"/>
      <c r="BU117" s="11"/>
      <c r="BV117" s="9"/>
      <c r="BW117" s="9"/>
      <c r="BX117" s="9"/>
      <c r="BY117" s="9"/>
      <c r="BZ117" s="10"/>
      <c r="CA117" s="9"/>
      <c r="CB117" s="11"/>
      <c r="CC117" s="9"/>
      <c r="CD117" s="9"/>
      <c r="CE117" s="9"/>
      <c r="CF117" s="9"/>
      <c r="CG117" s="10"/>
      <c r="CH117" s="9"/>
      <c r="CI117" s="11"/>
      <c r="CJ117" s="9"/>
      <c r="CK117" s="9"/>
      <c r="CL117" s="9"/>
      <c r="CM117" s="9"/>
      <c r="CN117" s="10"/>
      <c r="CO117" s="9"/>
      <c r="CP117" s="11"/>
      <c r="CQ117" s="9"/>
    </row>
    <row r="118" spans="1:95" s="30" customFormat="1" ht="12.75">
      <c r="A118" s="26"/>
      <c r="B118" s="26"/>
      <c r="C118" s="26"/>
      <c r="D118" s="28" t="s">
        <v>143</v>
      </c>
      <c r="E118" s="27" t="s">
        <v>96</v>
      </c>
      <c r="F118" s="29" t="s">
        <v>97</v>
      </c>
      <c r="G118" s="27" t="s">
        <v>96</v>
      </c>
      <c r="H118" s="26"/>
      <c r="I118" s="26"/>
      <c r="J118" s="28" t="s">
        <v>143</v>
      </c>
      <c r="K118" s="27" t="s">
        <v>96</v>
      </c>
      <c r="L118" s="29" t="s">
        <v>97</v>
      </c>
      <c r="M118" s="27" t="s">
        <v>96</v>
      </c>
      <c r="N118" s="65"/>
      <c r="O118" s="66"/>
      <c r="P118" s="27" t="s">
        <v>96</v>
      </c>
      <c r="Q118" s="26"/>
      <c r="R118" s="28" t="s">
        <v>143</v>
      </c>
      <c r="S118" s="27" t="s">
        <v>96</v>
      </c>
      <c r="T118" s="29" t="s">
        <v>97</v>
      </c>
      <c r="U118" s="27" t="s">
        <v>96</v>
      </c>
      <c r="V118" s="65"/>
      <c r="W118" s="66"/>
      <c r="X118" s="27"/>
      <c r="Y118" s="28" t="s">
        <v>143</v>
      </c>
      <c r="Z118" s="27" t="s">
        <v>96</v>
      </c>
      <c r="AA118" s="29" t="s">
        <v>97</v>
      </c>
      <c r="AB118" s="27" t="s">
        <v>96</v>
      </c>
      <c r="AC118" s="65"/>
      <c r="AD118" s="66"/>
      <c r="AE118" s="66"/>
      <c r="AF118" s="27"/>
      <c r="AG118" s="28" t="s">
        <v>143</v>
      </c>
      <c r="AH118" s="27" t="s">
        <v>96</v>
      </c>
      <c r="AI118" s="29" t="s">
        <v>97</v>
      </c>
      <c r="AJ118" s="27" t="s">
        <v>96</v>
      </c>
      <c r="AK118" s="65"/>
      <c r="AL118" s="66"/>
      <c r="AM118" s="27"/>
      <c r="AN118" s="94" t="s">
        <v>143</v>
      </c>
      <c r="AO118" s="45" t="s">
        <v>96</v>
      </c>
      <c r="AP118" s="93" t="s">
        <v>97</v>
      </c>
      <c r="AQ118" s="45" t="s">
        <v>96</v>
      </c>
      <c r="AR118" s="65"/>
      <c r="AS118" s="66"/>
      <c r="AT118" s="27"/>
      <c r="AU118" s="94" t="s">
        <v>143</v>
      </c>
      <c r="AV118" s="45" t="s">
        <v>96</v>
      </c>
      <c r="AW118" s="93" t="s">
        <v>97</v>
      </c>
      <c r="AX118" s="45" t="s">
        <v>96</v>
      </c>
      <c r="AY118" s="65"/>
      <c r="AZ118" s="66"/>
      <c r="BA118" s="27"/>
      <c r="BB118" s="94" t="s">
        <v>143</v>
      </c>
      <c r="BC118" s="45" t="s">
        <v>96</v>
      </c>
      <c r="BD118" s="93" t="s">
        <v>97</v>
      </c>
      <c r="BE118" s="45" t="s">
        <v>96</v>
      </c>
      <c r="BF118" s="65"/>
      <c r="BG118" s="66"/>
      <c r="BH118" s="27"/>
      <c r="BI118" s="94" t="s">
        <v>143</v>
      </c>
      <c r="BJ118" s="45" t="s">
        <v>96</v>
      </c>
      <c r="BK118" s="93" t="s">
        <v>97</v>
      </c>
      <c r="BL118" s="45" t="s">
        <v>96</v>
      </c>
      <c r="BM118" s="65"/>
      <c r="BN118" s="66"/>
      <c r="BO118" s="27"/>
      <c r="BP118" s="94" t="s">
        <v>143</v>
      </c>
      <c r="BQ118" s="45" t="s">
        <v>96</v>
      </c>
      <c r="BR118" s="93" t="s">
        <v>97</v>
      </c>
      <c r="BS118" s="45" t="s">
        <v>96</v>
      </c>
      <c r="BT118" s="65"/>
      <c r="BU118" s="66"/>
      <c r="BV118" s="27"/>
      <c r="BW118" s="94" t="s">
        <v>143</v>
      </c>
      <c r="BX118" s="45" t="s">
        <v>96</v>
      </c>
      <c r="BY118" s="93" t="s">
        <v>97</v>
      </c>
      <c r="BZ118" s="45" t="s">
        <v>96</v>
      </c>
      <c r="CA118" s="65"/>
      <c r="CB118" s="66"/>
      <c r="CC118" s="27"/>
      <c r="CD118" s="94" t="s">
        <v>143</v>
      </c>
      <c r="CE118" s="45" t="s">
        <v>96</v>
      </c>
      <c r="CF118" s="93" t="s">
        <v>97</v>
      </c>
      <c r="CG118" s="45" t="s">
        <v>96</v>
      </c>
      <c r="CH118" s="65"/>
      <c r="CI118" s="66"/>
      <c r="CJ118" s="27"/>
      <c r="CK118" s="94" t="s">
        <v>143</v>
      </c>
      <c r="CL118" s="45" t="s">
        <v>96</v>
      </c>
      <c r="CM118" s="93" t="s">
        <v>97</v>
      </c>
      <c r="CN118" s="45" t="s">
        <v>96</v>
      </c>
      <c r="CO118" s="65"/>
      <c r="CP118" s="66"/>
      <c r="CQ118" s="27"/>
    </row>
    <row r="119" spans="1:95" ht="12.75">
      <c r="A119" s="9"/>
      <c r="B119" s="9"/>
      <c r="C119" s="9"/>
      <c r="D119" s="10"/>
      <c r="E119" s="9"/>
      <c r="F119" s="11"/>
      <c r="G119" s="9"/>
      <c r="H119" s="9"/>
      <c r="I119" s="9"/>
      <c r="J119" s="10"/>
      <c r="K119" s="9"/>
      <c r="L119" s="11"/>
      <c r="N119" s="55"/>
      <c r="O119" s="56"/>
      <c r="P119" s="9"/>
      <c r="Q119" s="9"/>
      <c r="R119" s="10"/>
      <c r="S119" s="9"/>
      <c r="T119" s="11"/>
      <c r="U119" s="35"/>
      <c r="V119" s="55"/>
      <c r="W119" s="56"/>
      <c r="X119" s="9"/>
      <c r="Y119" s="10"/>
      <c r="Z119" s="9"/>
      <c r="AA119" s="11"/>
      <c r="AB119" s="35"/>
      <c r="AC119" s="55"/>
      <c r="AD119" s="56"/>
      <c r="AE119" s="56"/>
      <c r="AF119" s="9"/>
      <c r="AG119" s="10"/>
      <c r="AH119" s="9"/>
      <c r="AI119" s="11"/>
      <c r="AJ119" s="35"/>
      <c r="AK119" s="55"/>
      <c r="AL119" s="56"/>
      <c r="AM119" s="9"/>
      <c r="AN119" s="10"/>
      <c r="AO119" s="9"/>
      <c r="AP119" s="11"/>
      <c r="AQ119" s="35"/>
      <c r="AR119" s="55"/>
      <c r="AS119" s="56"/>
      <c r="AT119" s="9"/>
      <c r="AU119" s="10"/>
      <c r="AV119" s="9"/>
      <c r="AW119" s="11"/>
      <c r="AX119" s="35"/>
      <c r="AY119" s="55"/>
      <c r="AZ119" s="56"/>
      <c r="BA119" s="9"/>
      <c r="BB119" s="10"/>
      <c r="BC119" s="9"/>
      <c r="BD119" s="11"/>
      <c r="BE119" s="35"/>
      <c r="BF119" s="55"/>
      <c r="BG119" s="56"/>
      <c r="BH119" s="9"/>
      <c r="BI119" s="10"/>
      <c r="BJ119" s="9"/>
      <c r="BK119" s="11"/>
      <c r="BL119" s="35"/>
      <c r="BM119" s="55"/>
      <c r="BN119" s="56"/>
      <c r="BO119" s="9"/>
      <c r="BP119" s="10"/>
      <c r="BQ119" s="9"/>
      <c r="BR119" s="11"/>
      <c r="BS119" s="35"/>
      <c r="BT119" s="55"/>
      <c r="BU119" s="56"/>
      <c r="BV119" s="9"/>
      <c r="BW119" s="10"/>
      <c r="BX119" s="9"/>
      <c r="BY119" s="11"/>
      <c r="BZ119" s="35"/>
      <c r="CA119" s="55"/>
      <c r="CB119" s="56"/>
      <c r="CC119" s="9"/>
      <c r="CD119" s="10"/>
      <c r="CE119" s="9"/>
      <c r="CF119" s="11"/>
      <c r="CG119" s="35"/>
      <c r="CH119" s="55"/>
      <c r="CI119" s="56"/>
      <c r="CJ119" s="9"/>
      <c r="CK119" s="10"/>
      <c r="CL119" s="9"/>
      <c r="CM119" s="11"/>
      <c r="CN119" s="35"/>
      <c r="CO119" s="55"/>
      <c r="CP119" s="56"/>
      <c r="CQ119" s="9"/>
    </row>
    <row r="120" spans="1:95" ht="12.75">
      <c r="A120" s="25">
        <v>1996</v>
      </c>
      <c r="B120" s="9"/>
      <c r="C120" s="9"/>
      <c r="D120" s="10">
        <v>0</v>
      </c>
      <c r="E120" s="15">
        <v>0</v>
      </c>
      <c r="F120" s="11">
        <v>0</v>
      </c>
      <c r="G120" s="15">
        <v>0</v>
      </c>
      <c r="H120" s="9"/>
      <c r="I120" s="9"/>
      <c r="J120" s="10">
        <v>0</v>
      </c>
      <c r="K120" s="15">
        <v>0</v>
      </c>
      <c r="L120" s="11">
        <v>0</v>
      </c>
      <c r="M120" s="15">
        <v>0</v>
      </c>
      <c r="N120" s="57"/>
      <c r="O120" s="56"/>
      <c r="P120" s="15">
        <v>0</v>
      </c>
      <c r="Q120" s="9"/>
      <c r="R120" s="10">
        <v>0</v>
      </c>
      <c r="S120" s="15">
        <v>0</v>
      </c>
      <c r="T120" s="11">
        <v>0</v>
      </c>
      <c r="U120" s="15">
        <v>0</v>
      </c>
      <c r="V120" s="57"/>
      <c r="W120" s="56"/>
      <c r="X120" s="15"/>
      <c r="Y120" s="10">
        <v>0</v>
      </c>
      <c r="Z120" s="15">
        <v>0</v>
      </c>
      <c r="AA120" s="11">
        <v>0</v>
      </c>
      <c r="AB120" s="15">
        <v>0</v>
      </c>
      <c r="AC120" s="57"/>
      <c r="AD120" s="56"/>
      <c r="AE120" s="56"/>
      <c r="AF120" s="15"/>
      <c r="AG120" s="10">
        <v>0</v>
      </c>
      <c r="AH120" s="15">
        <v>0</v>
      </c>
      <c r="AI120" s="11">
        <v>0</v>
      </c>
      <c r="AJ120" s="15">
        <v>0</v>
      </c>
      <c r="AK120" s="57"/>
      <c r="AL120" s="56"/>
      <c r="AM120" s="15"/>
      <c r="AN120" s="10">
        <v>0</v>
      </c>
      <c r="AO120" s="15">
        <v>0</v>
      </c>
      <c r="AP120" s="11">
        <v>0</v>
      </c>
      <c r="AQ120" s="15">
        <v>0</v>
      </c>
      <c r="AR120" s="57"/>
      <c r="AS120" s="56"/>
      <c r="AT120" s="15"/>
      <c r="AU120" s="10">
        <v>0</v>
      </c>
      <c r="AV120" s="15">
        <v>0</v>
      </c>
      <c r="AW120" s="11">
        <v>0</v>
      </c>
      <c r="AX120" s="15">
        <v>0</v>
      </c>
      <c r="AY120" s="57"/>
      <c r="AZ120" s="56"/>
      <c r="BA120" s="15"/>
      <c r="BB120" s="10">
        <v>0</v>
      </c>
      <c r="BC120" s="15">
        <v>0</v>
      </c>
      <c r="BD120" s="11">
        <v>0</v>
      </c>
      <c r="BE120" s="15">
        <v>0</v>
      </c>
      <c r="BF120" s="57"/>
      <c r="BG120" s="56"/>
      <c r="BH120" s="15"/>
      <c r="BI120" s="10">
        <v>0</v>
      </c>
      <c r="BJ120" s="15">
        <v>0</v>
      </c>
      <c r="BK120" s="11">
        <v>0</v>
      </c>
      <c r="BL120" s="15">
        <v>0</v>
      </c>
      <c r="BM120" s="57"/>
      <c r="BN120" s="56"/>
      <c r="BO120" s="15"/>
      <c r="BP120" s="10">
        <v>0</v>
      </c>
      <c r="BQ120" s="15">
        <v>0</v>
      </c>
      <c r="BR120" s="11">
        <v>0</v>
      </c>
      <c r="BS120" s="15">
        <v>0</v>
      </c>
      <c r="BT120" s="57"/>
      <c r="BU120" s="56"/>
      <c r="BV120" s="15"/>
      <c r="BW120" s="10">
        <v>0</v>
      </c>
      <c r="BX120" s="15">
        <v>0</v>
      </c>
      <c r="BY120" s="11">
        <v>0</v>
      </c>
      <c r="BZ120" s="15">
        <v>0</v>
      </c>
      <c r="CA120" s="57"/>
      <c r="CB120" s="56"/>
      <c r="CC120" s="15"/>
      <c r="CD120" s="10">
        <v>0</v>
      </c>
      <c r="CE120" s="15">
        <v>0</v>
      </c>
      <c r="CF120" s="11">
        <v>0</v>
      </c>
      <c r="CG120" s="15">
        <v>0</v>
      </c>
      <c r="CH120" s="57"/>
      <c r="CI120" s="56"/>
      <c r="CJ120" s="15"/>
      <c r="CK120" s="10">
        <v>0</v>
      </c>
      <c r="CL120" s="15">
        <v>0</v>
      </c>
      <c r="CM120" s="11">
        <v>0</v>
      </c>
      <c r="CN120" s="15">
        <v>0</v>
      </c>
      <c r="CO120" s="57"/>
      <c r="CP120" s="56"/>
      <c r="CQ120" s="15"/>
    </row>
    <row r="121" spans="1:95" ht="12.75">
      <c r="A121" s="25">
        <v>1997</v>
      </c>
      <c r="B121" s="9"/>
      <c r="C121" s="9"/>
      <c r="D121" s="10">
        <v>0</v>
      </c>
      <c r="E121" s="15">
        <v>0</v>
      </c>
      <c r="F121" s="11">
        <v>0</v>
      </c>
      <c r="G121" s="15">
        <v>0</v>
      </c>
      <c r="H121" s="9"/>
      <c r="I121" s="9"/>
      <c r="J121" s="10">
        <v>0</v>
      </c>
      <c r="K121" s="15">
        <v>0</v>
      </c>
      <c r="L121" s="11">
        <v>0</v>
      </c>
      <c r="M121" s="15">
        <v>0</v>
      </c>
      <c r="N121" s="57"/>
      <c r="O121" s="56"/>
      <c r="P121" s="15">
        <v>0</v>
      </c>
      <c r="Q121" s="9"/>
      <c r="R121" s="10">
        <v>0</v>
      </c>
      <c r="S121" s="15">
        <v>0</v>
      </c>
      <c r="T121" s="11">
        <v>0</v>
      </c>
      <c r="U121" s="15">
        <v>0</v>
      </c>
      <c r="V121" s="57"/>
      <c r="W121" s="56"/>
      <c r="X121" s="15"/>
      <c r="Y121" s="10">
        <v>0</v>
      </c>
      <c r="Z121" s="15">
        <v>0</v>
      </c>
      <c r="AA121" s="11">
        <v>0</v>
      </c>
      <c r="AB121" s="15">
        <v>0</v>
      </c>
      <c r="AC121" s="57"/>
      <c r="AD121" s="56"/>
      <c r="AE121" s="56"/>
      <c r="AF121" s="15"/>
      <c r="AG121" s="10">
        <v>0</v>
      </c>
      <c r="AH121" s="15">
        <v>0</v>
      </c>
      <c r="AI121" s="11">
        <v>0</v>
      </c>
      <c r="AJ121" s="15">
        <v>0</v>
      </c>
      <c r="AK121" s="57"/>
      <c r="AL121" s="56"/>
      <c r="AM121" s="15"/>
      <c r="AN121" s="10">
        <v>0</v>
      </c>
      <c r="AO121" s="15">
        <v>0</v>
      </c>
      <c r="AP121" s="11">
        <v>0</v>
      </c>
      <c r="AQ121" s="15">
        <v>0</v>
      </c>
      <c r="AR121" s="57"/>
      <c r="AS121" s="56"/>
      <c r="AT121" s="15"/>
      <c r="AU121" s="10">
        <v>0</v>
      </c>
      <c r="AV121" s="15">
        <v>0</v>
      </c>
      <c r="AW121" s="11">
        <v>0</v>
      </c>
      <c r="AX121" s="15">
        <v>0</v>
      </c>
      <c r="AY121" s="57"/>
      <c r="AZ121" s="56"/>
      <c r="BA121" s="15"/>
      <c r="BB121" s="10">
        <v>0</v>
      </c>
      <c r="BC121" s="15">
        <v>0</v>
      </c>
      <c r="BD121" s="11">
        <v>0</v>
      </c>
      <c r="BE121" s="15">
        <v>0</v>
      </c>
      <c r="BF121" s="57"/>
      <c r="BG121" s="56"/>
      <c r="BH121" s="15"/>
      <c r="BI121" s="10">
        <v>0</v>
      </c>
      <c r="BJ121" s="15">
        <v>0</v>
      </c>
      <c r="BK121" s="11">
        <v>0</v>
      </c>
      <c r="BL121" s="15">
        <v>0</v>
      </c>
      <c r="BM121" s="57"/>
      <c r="BN121" s="56"/>
      <c r="BO121" s="15"/>
      <c r="BP121" s="10">
        <v>0</v>
      </c>
      <c r="BQ121" s="15">
        <v>0</v>
      </c>
      <c r="BR121" s="11">
        <v>0</v>
      </c>
      <c r="BS121" s="15">
        <v>0</v>
      </c>
      <c r="BT121" s="57"/>
      <c r="BU121" s="56"/>
      <c r="BV121" s="15"/>
      <c r="BW121" s="10">
        <v>0</v>
      </c>
      <c r="BX121" s="15">
        <v>0</v>
      </c>
      <c r="BY121" s="11">
        <v>0</v>
      </c>
      <c r="BZ121" s="15">
        <v>0</v>
      </c>
      <c r="CA121" s="57"/>
      <c r="CB121" s="56"/>
      <c r="CC121" s="15"/>
      <c r="CD121" s="10">
        <v>0</v>
      </c>
      <c r="CE121" s="15">
        <v>0</v>
      </c>
      <c r="CF121" s="11">
        <v>0</v>
      </c>
      <c r="CG121" s="15">
        <v>0</v>
      </c>
      <c r="CH121" s="57"/>
      <c r="CI121" s="56"/>
      <c r="CJ121" s="15"/>
      <c r="CK121" s="10">
        <v>0</v>
      </c>
      <c r="CL121" s="15">
        <v>0</v>
      </c>
      <c r="CM121" s="11">
        <v>0</v>
      </c>
      <c r="CN121" s="15">
        <v>0</v>
      </c>
      <c r="CO121" s="57"/>
      <c r="CP121" s="56"/>
      <c r="CQ121" s="15"/>
    </row>
    <row r="122" spans="1:95" ht="12.75">
      <c r="A122" s="25">
        <v>1998</v>
      </c>
      <c r="B122" s="9"/>
      <c r="C122" s="9"/>
      <c r="D122" s="10">
        <v>0</v>
      </c>
      <c r="E122" s="15">
        <v>0</v>
      </c>
      <c r="F122" s="11">
        <v>0</v>
      </c>
      <c r="G122" s="15">
        <v>0</v>
      </c>
      <c r="H122" s="9"/>
      <c r="I122" s="9"/>
      <c r="J122" s="10">
        <v>0</v>
      </c>
      <c r="K122" s="15">
        <v>0</v>
      </c>
      <c r="L122" s="11">
        <v>0</v>
      </c>
      <c r="M122" s="15">
        <v>0</v>
      </c>
      <c r="N122" s="57"/>
      <c r="O122" s="56"/>
      <c r="P122" s="15">
        <v>0</v>
      </c>
      <c r="Q122" s="9"/>
      <c r="R122" s="10">
        <v>0</v>
      </c>
      <c r="S122" s="15">
        <v>0</v>
      </c>
      <c r="T122" s="11">
        <v>0</v>
      </c>
      <c r="U122" s="15">
        <v>0</v>
      </c>
      <c r="V122" s="57"/>
      <c r="W122" s="56"/>
      <c r="X122" s="15"/>
      <c r="Y122" s="10">
        <v>0</v>
      </c>
      <c r="Z122" s="15">
        <v>0</v>
      </c>
      <c r="AA122" s="11">
        <v>0</v>
      </c>
      <c r="AB122" s="15">
        <v>0</v>
      </c>
      <c r="AC122" s="57"/>
      <c r="AD122" s="56"/>
      <c r="AE122" s="56"/>
      <c r="AF122" s="15"/>
      <c r="AG122" s="10">
        <v>0</v>
      </c>
      <c r="AH122" s="15">
        <v>0</v>
      </c>
      <c r="AI122" s="11">
        <v>0</v>
      </c>
      <c r="AJ122" s="15">
        <v>0</v>
      </c>
      <c r="AK122" s="57"/>
      <c r="AL122" s="56"/>
      <c r="AM122" s="15"/>
      <c r="AN122" s="10">
        <v>0</v>
      </c>
      <c r="AO122" s="15">
        <v>0</v>
      </c>
      <c r="AP122" s="11">
        <v>0</v>
      </c>
      <c r="AQ122" s="15">
        <v>0</v>
      </c>
      <c r="AR122" s="57"/>
      <c r="AS122" s="56"/>
      <c r="AT122" s="15"/>
      <c r="AU122" s="10">
        <v>0</v>
      </c>
      <c r="AV122" s="15">
        <v>0</v>
      </c>
      <c r="AW122" s="11">
        <v>0</v>
      </c>
      <c r="AX122" s="15">
        <v>0</v>
      </c>
      <c r="AY122" s="57"/>
      <c r="AZ122" s="56"/>
      <c r="BA122" s="15"/>
      <c r="BB122" s="10">
        <v>0</v>
      </c>
      <c r="BC122" s="15">
        <v>0</v>
      </c>
      <c r="BD122" s="11">
        <v>0</v>
      </c>
      <c r="BE122" s="15">
        <v>0</v>
      </c>
      <c r="BF122" s="57"/>
      <c r="BG122" s="56"/>
      <c r="BH122" s="15"/>
      <c r="BI122" s="10">
        <v>0</v>
      </c>
      <c r="BJ122" s="15">
        <v>0</v>
      </c>
      <c r="BK122" s="11">
        <v>0</v>
      </c>
      <c r="BL122" s="15">
        <v>0</v>
      </c>
      <c r="BM122" s="57"/>
      <c r="BN122" s="56"/>
      <c r="BO122" s="15"/>
      <c r="BP122" s="10">
        <v>0</v>
      </c>
      <c r="BQ122" s="15">
        <v>0</v>
      </c>
      <c r="BR122" s="11">
        <v>0</v>
      </c>
      <c r="BS122" s="15">
        <v>0</v>
      </c>
      <c r="BT122" s="57"/>
      <c r="BU122" s="56"/>
      <c r="BV122" s="15"/>
      <c r="BW122" s="10">
        <v>0</v>
      </c>
      <c r="BX122" s="15">
        <v>0</v>
      </c>
      <c r="BY122" s="11">
        <v>0</v>
      </c>
      <c r="BZ122" s="15">
        <v>0</v>
      </c>
      <c r="CA122" s="57"/>
      <c r="CB122" s="56"/>
      <c r="CC122" s="15"/>
      <c r="CD122" s="10">
        <v>0</v>
      </c>
      <c r="CE122" s="15">
        <v>0</v>
      </c>
      <c r="CF122" s="11">
        <v>0</v>
      </c>
      <c r="CG122" s="15">
        <v>0</v>
      </c>
      <c r="CH122" s="57"/>
      <c r="CI122" s="56"/>
      <c r="CJ122" s="15"/>
      <c r="CK122" s="10">
        <v>0</v>
      </c>
      <c r="CL122" s="15">
        <v>0</v>
      </c>
      <c r="CM122" s="11">
        <v>0</v>
      </c>
      <c r="CN122" s="15">
        <v>0</v>
      </c>
      <c r="CO122" s="57"/>
      <c r="CP122" s="56"/>
      <c r="CQ122" s="15"/>
    </row>
    <row r="123" spans="1:95" ht="12.75">
      <c r="A123" s="25">
        <v>1999</v>
      </c>
      <c r="B123" s="9"/>
      <c r="C123" s="9"/>
      <c r="D123" s="10">
        <v>0</v>
      </c>
      <c r="E123" s="15">
        <v>0</v>
      </c>
      <c r="F123" s="11">
        <v>0</v>
      </c>
      <c r="G123" s="15">
        <v>0</v>
      </c>
      <c r="H123" s="9"/>
      <c r="I123" s="9"/>
      <c r="J123" s="10">
        <v>0</v>
      </c>
      <c r="K123" s="15">
        <v>0</v>
      </c>
      <c r="L123" s="11">
        <v>0</v>
      </c>
      <c r="M123" s="15">
        <v>0</v>
      </c>
      <c r="N123" s="57"/>
      <c r="O123" s="56"/>
      <c r="P123" s="15">
        <v>0</v>
      </c>
      <c r="Q123" s="9"/>
      <c r="R123" s="10">
        <v>0</v>
      </c>
      <c r="S123" s="15">
        <v>0</v>
      </c>
      <c r="T123" s="11">
        <v>0</v>
      </c>
      <c r="U123" s="15">
        <v>0</v>
      </c>
      <c r="V123" s="57"/>
      <c r="W123" s="56"/>
      <c r="X123" s="15"/>
      <c r="Y123" s="10">
        <v>0</v>
      </c>
      <c r="Z123" s="15">
        <v>0</v>
      </c>
      <c r="AA123" s="11">
        <v>0</v>
      </c>
      <c r="AB123" s="15">
        <v>0</v>
      </c>
      <c r="AC123" s="57"/>
      <c r="AD123" s="56"/>
      <c r="AE123" s="56"/>
      <c r="AF123" s="15"/>
      <c r="AG123" s="10">
        <v>0</v>
      </c>
      <c r="AH123" s="15">
        <v>0</v>
      </c>
      <c r="AI123" s="11">
        <v>0</v>
      </c>
      <c r="AJ123" s="15">
        <v>0</v>
      </c>
      <c r="AK123" s="57"/>
      <c r="AL123" s="56"/>
      <c r="AM123" s="15"/>
      <c r="AN123" s="10">
        <v>0</v>
      </c>
      <c r="AO123" s="15">
        <v>0</v>
      </c>
      <c r="AP123" s="11">
        <v>0</v>
      </c>
      <c r="AQ123" s="15">
        <v>0</v>
      </c>
      <c r="AR123" s="57"/>
      <c r="AS123" s="56"/>
      <c r="AT123" s="15"/>
      <c r="AU123" s="10">
        <v>0</v>
      </c>
      <c r="AV123" s="15">
        <v>0</v>
      </c>
      <c r="AW123" s="11">
        <v>0</v>
      </c>
      <c r="AX123" s="15">
        <v>0</v>
      </c>
      <c r="AY123" s="57"/>
      <c r="AZ123" s="56"/>
      <c r="BA123" s="15"/>
      <c r="BB123" s="10">
        <v>0</v>
      </c>
      <c r="BC123" s="15">
        <v>0</v>
      </c>
      <c r="BD123" s="11">
        <v>0</v>
      </c>
      <c r="BE123" s="15">
        <v>0</v>
      </c>
      <c r="BF123" s="57"/>
      <c r="BG123" s="56"/>
      <c r="BH123" s="15"/>
      <c r="BI123" s="10">
        <v>0</v>
      </c>
      <c r="BJ123" s="15">
        <v>0</v>
      </c>
      <c r="BK123" s="11">
        <v>0</v>
      </c>
      <c r="BL123" s="15">
        <v>0</v>
      </c>
      <c r="BM123" s="57"/>
      <c r="BN123" s="56"/>
      <c r="BO123" s="15"/>
      <c r="BP123" s="10">
        <v>0</v>
      </c>
      <c r="BQ123" s="15">
        <v>0</v>
      </c>
      <c r="BR123" s="11">
        <v>0</v>
      </c>
      <c r="BS123" s="15">
        <v>0</v>
      </c>
      <c r="BT123" s="57"/>
      <c r="BU123" s="56"/>
      <c r="BV123" s="15"/>
      <c r="BW123" s="10">
        <v>0</v>
      </c>
      <c r="BX123" s="15">
        <v>0</v>
      </c>
      <c r="BY123" s="11">
        <v>0</v>
      </c>
      <c r="BZ123" s="15">
        <v>0</v>
      </c>
      <c r="CA123" s="57"/>
      <c r="CB123" s="56"/>
      <c r="CC123" s="15"/>
      <c r="CD123" s="10">
        <v>0</v>
      </c>
      <c r="CE123" s="15">
        <v>0</v>
      </c>
      <c r="CF123" s="11">
        <v>0</v>
      </c>
      <c r="CG123" s="15">
        <v>0</v>
      </c>
      <c r="CH123" s="57"/>
      <c r="CI123" s="56"/>
      <c r="CJ123" s="15"/>
      <c r="CK123" s="10">
        <v>0</v>
      </c>
      <c r="CL123" s="15">
        <v>0</v>
      </c>
      <c r="CM123" s="11">
        <v>0</v>
      </c>
      <c r="CN123" s="15">
        <v>0</v>
      </c>
      <c r="CO123" s="57"/>
      <c r="CP123" s="56"/>
      <c r="CQ123" s="15"/>
    </row>
    <row r="124" spans="1:95" ht="12.75">
      <c r="A124" s="25">
        <v>2000</v>
      </c>
      <c r="B124" s="9"/>
      <c r="C124" s="9"/>
      <c r="D124" s="10">
        <v>0</v>
      </c>
      <c r="E124" s="15">
        <v>0</v>
      </c>
      <c r="F124" s="11">
        <v>0</v>
      </c>
      <c r="G124" s="15">
        <v>0</v>
      </c>
      <c r="H124" s="9"/>
      <c r="I124" s="9"/>
      <c r="J124" s="10">
        <v>0</v>
      </c>
      <c r="K124" s="15">
        <v>0</v>
      </c>
      <c r="L124" s="11">
        <v>0</v>
      </c>
      <c r="M124" s="15">
        <v>0</v>
      </c>
      <c r="N124" s="57"/>
      <c r="O124" s="56"/>
      <c r="P124" s="15">
        <v>0.020122973728339856</v>
      </c>
      <c r="Q124" s="9"/>
      <c r="R124" s="10">
        <v>0</v>
      </c>
      <c r="S124" s="15">
        <v>0</v>
      </c>
      <c r="T124" s="11">
        <v>0</v>
      </c>
      <c r="U124" s="15">
        <v>0</v>
      </c>
      <c r="V124" s="57"/>
      <c r="W124" s="56"/>
      <c r="X124" s="15"/>
      <c r="Y124" s="10">
        <v>0</v>
      </c>
      <c r="Z124" s="15">
        <v>0</v>
      </c>
      <c r="AA124" s="11">
        <v>0</v>
      </c>
      <c r="AB124" s="15">
        <v>0</v>
      </c>
      <c r="AC124" s="57"/>
      <c r="AD124" s="56"/>
      <c r="AE124" s="56"/>
      <c r="AF124" s="15"/>
      <c r="AG124" s="10">
        <v>0</v>
      </c>
      <c r="AH124" s="15">
        <v>0</v>
      </c>
      <c r="AI124" s="11">
        <v>0</v>
      </c>
      <c r="AJ124" s="15">
        <v>0</v>
      </c>
      <c r="AK124" s="57"/>
      <c r="AL124" s="56"/>
      <c r="AM124" s="15"/>
      <c r="AN124" s="10">
        <v>0</v>
      </c>
      <c r="AO124" s="15">
        <v>0</v>
      </c>
      <c r="AP124" s="11">
        <v>0</v>
      </c>
      <c r="AQ124" s="15">
        <v>0</v>
      </c>
      <c r="AR124" s="57"/>
      <c r="AS124" s="56"/>
      <c r="AT124" s="15"/>
      <c r="AU124" s="10">
        <v>0</v>
      </c>
      <c r="AV124" s="15">
        <v>0</v>
      </c>
      <c r="AW124" s="11">
        <v>0</v>
      </c>
      <c r="AX124" s="15">
        <v>0</v>
      </c>
      <c r="AY124" s="57"/>
      <c r="AZ124" s="56"/>
      <c r="BA124" s="15"/>
      <c r="BB124" s="10">
        <v>0</v>
      </c>
      <c r="BC124" s="15">
        <v>0</v>
      </c>
      <c r="BD124" s="11">
        <v>0</v>
      </c>
      <c r="BE124" s="15">
        <v>0</v>
      </c>
      <c r="BF124" s="57"/>
      <c r="BG124" s="56"/>
      <c r="BH124" s="15"/>
      <c r="BI124" s="10">
        <v>0</v>
      </c>
      <c r="BJ124" s="15">
        <v>0</v>
      </c>
      <c r="BK124" s="11">
        <v>0</v>
      </c>
      <c r="BL124" s="15">
        <v>0</v>
      </c>
      <c r="BM124" s="57"/>
      <c r="BN124" s="56"/>
      <c r="BO124" s="15"/>
      <c r="BP124" s="10">
        <v>0</v>
      </c>
      <c r="BQ124" s="15">
        <v>0</v>
      </c>
      <c r="BR124" s="11">
        <v>0</v>
      </c>
      <c r="BS124" s="15">
        <v>0</v>
      </c>
      <c r="BT124" s="57"/>
      <c r="BU124" s="56"/>
      <c r="BV124" s="15"/>
      <c r="BW124" s="10">
        <v>0</v>
      </c>
      <c r="BX124" s="15">
        <v>0</v>
      </c>
      <c r="BY124" s="11">
        <v>0</v>
      </c>
      <c r="BZ124" s="15">
        <v>0</v>
      </c>
      <c r="CA124" s="57"/>
      <c r="CB124" s="56"/>
      <c r="CC124" s="15"/>
      <c r="CD124" s="10">
        <v>0</v>
      </c>
      <c r="CE124" s="15">
        <v>0</v>
      </c>
      <c r="CF124" s="11">
        <v>0</v>
      </c>
      <c r="CG124" s="15">
        <v>0</v>
      </c>
      <c r="CH124" s="57"/>
      <c r="CI124" s="56"/>
      <c r="CJ124" s="15"/>
      <c r="CK124" s="10">
        <v>0</v>
      </c>
      <c r="CL124" s="15">
        <v>0</v>
      </c>
      <c r="CM124" s="11">
        <v>0</v>
      </c>
      <c r="CN124" s="15">
        <v>0</v>
      </c>
      <c r="CO124" s="57"/>
      <c r="CP124" s="56"/>
      <c r="CQ124" s="15"/>
    </row>
    <row r="125" spans="1:95" ht="12.75">
      <c r="A125" s="25">
        <v>2001</v>
      </c>
      <c r="B125" s="9"/>
      <c r="C125" s="9"/>
      <c r="D125" s="10">
        <v>9589083.600000001</v>
      </c>
      <c r="E125" s="15">
        <v>1</v>
      </c>
      <c r="F125" s="11">
        <v>556</v>
      </c>
      <c r="G125" s="15">
        <v>1</v>
      </c>
      <c r="H125" s="9"/>
      <c r="I125" s="9"/>
      <c r="J125" s="10">
        <v>9248915.150000004</v>
      </c>
      <c r="K125" s="15">
        <v>1</v>
      </c>
      <c r="L125" s="11">
        <v>549</v>
      </c>
      <c r="M125" s="15">
        <v>1</v>
      </c>
      <c r="N125" s="57"/>
      <c r="O125" s="56"/>
      <c r="P125" s="15">
        <v>0.9798770262716602</v>
      </c>
      <c r="Q125" s="9"/>
      <c r="R125" s="10">
        <v>8364117.590000003</v>
      </c>
      <c r="S125" s="15">
        <v>0.3564102729381794</v>
      </c>
      <c r="T125" s="11">
        <v>541</v>
      </c>
      <c r="U125" s="15">
        <v>0.40494011976047906</v>
      </c>
      <c r="V125" s="57"/>
      <c r="W125" s="56"/>
      <c r="X125" s="15"/>
      <c r="Y125" s="10">
        <v>6853378.509999999</v>
      </c>
      <c r="Z125" s="15">
        <v>0.16898932917709436</v>
      </c>
      <c r="AA125" s="11">
        <v>416</v>
      </c>
      <c r="AB125" s="15">
        <v>0.19108865411116216</v>
      </c>
      <c r="AC125" s="57"/>
      <c r="AD125" s="56"/>
      <c r="AE125" s="56"/>
      <c r="AF125" s="15"/>
      <c r="AG125" s="10">
        <v>5951748.609999999</v>
      </c>
      <c r="AH125" s="15">
        <v>0.10662642107664486</v>
      </c>
      <c r="AI125" s="11">
        <v>383</v>
      </c>
      <c r="AJ125" s="15">
        <v>0.12956698240866035</v>
      </c>
      <c r="AK125" s="57"/>
      <c r="AL125" s="56"/>
      <c r="AM125" s="15"/>
      <c r="AN125" s="10">
        <v>4870660.52</v>
      </c>
      <c r="AO125" s="15">
        <v>0.08224760295416378</v>
      </c>
      <c r="AP125" s="11">
        <v>303</v>
      </c>
      <c r="AQ125" s="15">
        <v>0.10285132382892057</v>
      </c>
      <c r="AR125" s="57"/>
      <c r="AS125" s="56"/>
      <c r="AT125" s="15"/>
      <c r="AU125" s="10">
        <v>3783860.76</v>
      </c>
      <c r="AV125" s="15">
        <v>0.049272906680935716</v>
      </c>
      <c r="AW125" s="11">
        <v>245</v>
      </c>
      <c r="AX125" s="15">
        <v>0.0672338090010977</v>
      </c>
      <c r="AY125" s="57"/>
      <c r="AZ125" s="56"/>
      <c r="BA125" s="15"/>
      <c r="BB125" s="10">
        <v>3085063.8</v>
      </c>
      <c r="BC125" s="15">
        <v>0.03694678118401911</v>
      </c>
      <c r="BD125" s="11">
        <v>202</v>
      </c>
      <c r="BE125" s="15">
        <v>0.05294888597640891</v>
      </c>
      <c r="BF125" s="57"/>
      <c r="BG125" s="56"/>
      <c r="BH125" s="15"/>
      <c r="BI125" s="10">
        <v>2495951.2</v>
      </c>
      <c r="BJ125" s="15">
        <v>0.02880300115377809</v>
      </c>
      <c r="BK125" s="11">
        <v>173</v>
      </c>
      <c r="BL125" s="15">
        <v>0.044830266908525526</v>
      </c>
      <c r="BM125" s="57"/>
      <c r="BN125" s="56"/>
      <c r="BO125" s="15"/>
      <c r="BP125" s="10">
        <v>2160034.39</v>
      </c>
      <c r="BQ125" s="15">
        <v>0.021018064592168047</v>
      </c>
      <c r="BR125" s="11">
        <v>154</v>
      </c>
      <c r="BS125" s="15">
        <v>0.034849513464584744</v>
      </c>
      <c r="BT125" s="57"/>
      <c r="BU125" s="56"/>
      <c r="BV125" s="15"/>
      <c r="BW125" s="10">
        <v>1637949.59</v>
      </c>
      <c r="BX125" s="15">
        <v>0.015281955412003773</v>
      </c>
      <c r="BY125" s="11">
        <v>124</v>
      </c>
      <c r="BZ125" s="15">
        <v>0.027555555555555555</v>
      </c>
      <c r="CA125" s="57"/>
      <c r="CB125" s="56"/>
      <c r="CC125" s="15"/>
      <c r="CD125" s="10">
        <v>1326169.24</v>
      </c>
      <c r="CE125" s="15">
        <v>0.01153691667291039</v>
      </c>
      <c r="CF125" s="11">
        <v>104</v>
      </c>
      <c r="CG125" s="15">
        <v>0.022288898414059153</v>
      </c>
      <c r="CH125" s="57"/>
      <c r="CI125" s="56"/>
      <c r="CJ125" s="15"/>
      <c r="CK125" s="10">
        <v>1139509.89</v>
      </c>
      <c r="CL125" s="15">
        <v>0.009955560675326248</v>
      </c>
      <c r="CM125" s="11">
        <v>93</v>
      </c>
      <c r="CN125" s="15">
        <v>0.020367936925098553</v>
      </c>
      <c r="CO125" s="57"/>
      <c r="CP125" s="56"/>
      <c r="CQ125" s="15"/>
    </row>
    <row r="126" spans="1:95" ht="12.75">
      <c r="A126" s="25">
        <v>2002</v>
      </c>
      <c r="B126" s="9"/>
      <c r="C126" s="9"/>
      <c r="D126" s="10">
        <v>0</v>
      </c>
      <c r="E126" s="15">
        <v>0</v>
      </c>
      <c r="F126" s="11">
        <v>0</v>
      </c>
      <c r="G126" s="15">
        <v>0</v>
      </c>
      <c r="H126" s="9"/>
      <c r="I126" s="9"/>
      <c r="J126" s="10">
        <v>0</v>
      </c>
      <c r="K126" s="15">
        <v>0</v>
      </c>
      <c r="L126" s="11">
        <v>0</v>
      </c>
      <c r="M126" s="15">
        <v>0</v>
      </c>
      <c r="N126" s="57"/>
      <c r="O126" s="56"/>
      <c r="P126" s="15"/>
      <c r="Q126" s="9"/>
      <c r="R126" s="10">
        <v>15103549.380000012</v>
      </c>
      <c r="S126" s="15">
        <v>0.6435897270618206</v>
      </c>
      <c r="T126" s="11">
        <v>795</v>
      </c>
      <c r="U126" s="15">
        <v>0.5950598802395209</v>
      </c>
      <c r="V126" s="57"/>
      <c r="W126" s="56"/>
      <c r="X126" s="15"/>
      <c r="Y126" s="10">
        <v>33701717.740000024</v>
      </c>
      <c r="Z126" s="15">
        <v>0.8310106708229057</v>
      </c>
      <c r="AA126" s="11">
        <v>1761</v>
      </c>
      <c r="AB126" s="15">
        <v>0.8089113458888378</v>
      </c>
      <c r="AC126" s="57"/>
      <c r="AD126" s="56"/>
      <c r="AE126" s="56"/>
      <c r="AF126" s="15"/>
      <c r="AG126" s="10">
        <v>49866955.14000004</v>
      </c>
      <c r="AH126" s="15">
        <v>0.8933735789233551</v>
      </c>
      <c r="AI126" s="11">
        <v>2573</v>
      </c>
      <c r="AJ126" s="15">
        <v>0.8704330175913396</v>
      </c>
      <c r="AK126" s="57"/>
      <c r="AL126" s="56"/>
      <c r="AM126" s="15"/>
      <c r="AN126" s="10">
        <v>48624577.11000008</v>
      </c>
      <c r="AO126" s="15">
        <v>0.8210908757725134</v>
      </c>
      <c r="AP126" s="11">
        <v>2406</v>
      </c>
      <c r="AQ126" s="15">
        <v>0.8167006109979633</v>
      </c>
      <c r="AR126" s="57"/>
      <c r="AS126" s="56"/>
      <c r="AT126" s="15"/>
      <c r="AU126" s="10">
        <v>41250054.33000002</v>
      </c>
      <c r="AV126" s="15">
        <v>0.5371524499716579</v>
      </c>
      <c r="AW126" s="11">
        <v>2052</v>
      </c>
      <c r="AX126" s="15">
        <v>0.5631174533479693</v>
      </c>
      <c r="AY126" s="57"/>
      <c r="AZ126" s="56"/>
      <c r="BA126" s="15"/>
      <c r="BB126" s="10">
        <v>32674153.69000001</v>
      </c>
      <c r="BC126" s="15">
        <v>0.3913062695032241</v>
      </c>
      <c r="BD126" s="11">
        <v>1640</v>
      </c>
      <c r="BE126" s="15">
        <v>0.42988204456094364</v>
      </c>
      <c r="BF126" s="57"/>
      <c r="BG126" s="56"/>
      <c r="BH126" s="15"/>
      <c r="BI126" s="10">
        <v>26277250.15</v>
      </c>
      <c r="BJ126" s="15">
        <v>0.3032365642359377</v>
      </c>
      <c r="BK126" s="11">
        <v>1320</v>
      </c>
      <c r="BL126" s="15">
        <v>0.34205752785695775</v>
      </c>
      <c r="BM126" s="57"/>
      <c r="BN126" s="56"/>
      <c r="BO126" s="15"/>
      <c r="BP126" s="10">
        <v>21984086.93999999</v>
      </c>
      <c r="BQ126" s="15">
        <v>0.21391463091694482</v>
      </c>
      <c r="BR126" s="11">
        <v>1119</v>
      </c>
      <c r="BS126" s="15">
        <v>0.253224711473184</v>
      </c>
      <c r="BT126" s="57"/>
      <c r="BU126" s="56"/>
      <c r="BV126" s="15"/>
      <c r="BW126" s="10">
        <v>17958138.939999975</v>
      </c>
      <c r="BX126" s="15">
        <v>0.16754818355774204</v>
      </c>
      <c r="BY126" s="11">
        <v>926</v>
      </c>
      <c r="BZ126" s="15">
        <v>0.20577777777777778</v>
      </c>
      <c r="CA126" s="57"/>
      <c r="CB126" s="56"/>
      <c r="CC126" s="15"/>
      <c r="CD126" s="10">
        <v>14550115.170000013</v>
      </c>
      <c r="CE126" s="15">
        <v>0.1265777106227705</v>
      </c>
      <c r="CF126" s="11">
        <v>757</v>
      </c>
      <c r="CG126" s="15">
        <v>0.1622374624946421</v>
      </c>
      <c r="CH126" s="57"/>
      <c r="CI126" s="56"/>
      <c r="CJ126" s="15"/>
      <c r="CK126" s="10">
        <v>12317141.59</v>
      </c>
      <c r="CL126" s="15">
        <v>0.10761122086077678</v>
      </c>
      <c r="CM126" s="11">
        <v>645</v>
      </c>
      <c r="CN126" s="15">
        <v>0.14126149802890933</v>
      </c>
      <c r="CO126" s="57"/>
      <c r="CP126" s="56"/>
      <c r="CQ126" s="15"/>
    </row>
    <row r="127" spans="1:95" ht="12.75">
      <c r="A127" s="25">
        <v>2003</v>
      </c>
      <c r="B127" s="9"/>
      <c r="C127" s="9"/>
      <c r="D127" s="10"/>
      <c r="E127" s="15"/>
      <c r="F127" s="11"/>
      <c r="G127" s="15"/>
      <c r="H127" s="9"/>
      <c r="I127" s="9"/>
      <c r="J127" s="10"/>
      <c r="K127" s="15"/>
      <c r="L127" s="11"/>
      <c r="M127" s="15"/>
      <c r="N127" s="57"/>
      <c r="O127" s="56"/>
      <c r="P127" s="15"/>
      <c r="Q127" s="9"/>
      <c r="R127" s="10"/>
      <c r="S127" s="15"/>
      <c r="T127" s="11"/>
      <c r="U127" s="15"/>
      <c r="V127" s="57"/>
      <c r="W127" s="56"/>
      <c r="X127" s="15"/>
      <c r="Y127" s="10"/>
      <c r="Z127" s="15"/>
      <c r="AA127" s="11"/>
      <c r="AB127" s="15"/>
      <c r="AC127" s="57"/>
      <c r="AD127" s="56"/>
      <c r="AE127" s="56"/>
      <c r="AF127" s="15"/>
      <c r="AG127" s="10"/>
      <c r="AH127" s="15"/>
      <c r="AI127" s="11"/>
      <c r="AJ127" s="15"/>
      <c r="AK127" s="57"/>
      <c r="AL127" s="56"/>
      <c r="AM127" s="15"/>
      <c r="AN127" s="10">
        <v>5724245.309999997</v>
      </c>
      <c r="AO127" s="15">
        <v>0.09666152127332284</v>
      </c>
      <c r="AP127" s="11">
        <v>237</v>
      </c>
      <c r="AQ127" s="15">
        <v>0.08044806517311609</v>
      </c>
      <c r="AR127" s="57"/>
      <c r="AS127" s="56"/>
      <c r="AT127" s="15"/>
      <c r="AU127" s="10">
        <v>31760027.360000018</v>
      </c>
      <c r="AV127" s="15">
        <v>0.4135746433474064</v>
      </c>
      <c r="AW127" s="11">
        <v>1347</v>
      </c>
      <c r="AX127" s="15">
        <v>0.36964873765093303</v>
      </c>
      <c r="AY127" s="57"/>
      <c r="AZ127" s="56"/>
      <c r="BA127" s="15"/>
      <c r="BB127" s="10">
        <v>47740987.43000011</v>
      </c>
      <c r="BC127" s="15">
        <v>0.5717469493127567</v>
      </c>
      <c r="BD127" s="11">
        <v>1973</v>
      </c>
      <c r="BE127" s="15">
        <v>0.5171690694626474</v>
      </c>
      <c r="BF127" s="57"/>
      <c r="BG127" s="56"/>
      <c r="BH127" s="15"/>
      <c r="BI127" s="10">
        <v>57882740.74000005</v>
      </c>
      <c r="BJ127" s="15">
        <v>0.6679604346102841</v>
      </c>
      <c r="BK127" s="11">
        <v>2366</v>
      </c>
      <c r="BL127" s="15">
        <v>0.6131122052345167</v>
      </c>
      <c r="BM127" s="57"/>
      <c r="BN127" s="56"/>
      <c r="BO127" s="15"/>
      <c r="BP127" s="10">
        <v>78433302.8099998</v>
      </c>
      <c r="BQ127" s="15">
        <v>0.7631898048797512</v>
      </c>
      <c r="BR127" s="11">
        <v>3126</v>
      </c>
      <c r="BS127" s="15">
        <v>0.7073998642226749</v>
      </c>
      <c r="BT127" s="57"/>
      <c r="BU127" s="56"/>
      <c r="BV127" s="15"/>
      <c r="BW127" s="10">
        <v>85534594.60000038</v>
      </c>
      <c r="BX127" s="15">
        <v>0.7980318007595243</v>
      </c>
      <c r="BY127" s="11">
        <v>3340</v>
      </c>
      <c r="BZ127" s="15">
        <v>0.7422222222222222</v>
      </c>
      <c r="CA127" s="57"/>
      <c r="CB127" s="56"/>
      <c r="CC127" s="15"/>
      <c r="CD127" s="10">
        <v>71826529.17999989</v>
      </c>
      <c r="CE127" s="15">
        <v>0.6248498736511376</v>
      </c>
      <c r="CF127" s="11">
        <v>2756</v>
      </c>
      <c r="CG127" s="15">
        <v>0.5906558079725676</v>
      </c>
      <c r="CH127" s="57"/>
      <c r="CI127" s="56"/>
      <c r="CJ127" s="15"/>
      <c r="CK127" s="10">
        <v>61411872.40000012</v>
      </c>
      <c r="CL127" s="15">
        <v>0.5365373545495027</v>
      </c>
      <c r="CM127" s="11">
        <v>2336</v>
      </c>
      <c r="CN127" s="15">
        <v>0.5116075339465616</v>
      </c>
      <c r="CO127" s="57"/>
      <c r="CP127" s="56"/>
      <c r="CQ127" s="15"/>
    </row>
    <row r="128" spans="1:95" ht="12.75">
      <c r="A128" s="25">
        <v>2004</v>
      </c>
      <c r="B128" s="9"/>
      <c r="C128" s="9"/>
      <c r="D128" s="10"/>
      <c r="E128" s="15"/>
      <c r="F128" s="11"/>
      <c r="G128" s="15"/>
      <c r="H128" s="9"/>
      <c r="I128" s="9"/>
      <c r="J128" s="10"/>
      <c r="K128" s="15"/>
      <c r="L128" s="11"/>
      <c r="M128" s="15"/>
      <c r="N128" s="57"/>
      <c r="O128" s="56"/>
      <c r="P128" s="15"/>
      <c r="Q128" s="9"/>
      <c r="R128" s="10"/>
      <c r="S128" s="15"/>
      <c r="T128" s="11"/>
      <c r="U128" s="15"/>
      <c r="V128" s="57"/>
      <c r="W128" s="56"/>
      <c r="X128" s="15"/>
      <c r="Y128" s="10"/>
      <c r="Z128" s="15"/>
      <c r="AA128" s="11"/>
      <c r="AB128" s="15"/>
      <c r="AC128" s="57"/>
      <c r="AD128" s="56"/>
      <c r="AE128" s="56"/>
      <c r="AF128" s="15"/>
      <c r="AG128" s="10"/>
      <c r="AH128" s="15"/>
      <c r="AI128" s="11"/>
      <c r="AJ128" s="15"/>
      <c r="AK128" s="57"/>
      <c r="AL128" s="56"/>
      <c r="AM128" s="15"/>
      <c r="AN128" s="10"/>
      <c r="AO128" s="15"/>
      <c r="AP128" s="11"/>
      <c r="AQ128" s="15"/>
      <c r="AR128" s="57"/>
      <c r="AS128" s="56"/>
      <c r="AT128" s="15"/>
      <c r="AU128" s="10"/>
      <c r="AV128" s="15"/>
      <c r="AW128" s="11"/>
      <c r="AX128" s="15"/>
      <c r="AY128" s="57"/>
      <c r="AZ128" s="56"/>
      <c r="BA128" s="15"/>
      <c r="BB128" s="10"/>
      <c r="BC128" s="15"/>
      <c r="BD128" s="11"/>
      <c r="BE128" s="15"/>
      <c r="BF128" s="57"/>
      <c r="BG128" s="56"/>
      <c r="BH128" s="15"/>
      <c r="BI128" s="10"/>
      <c r="BJ128" s="15"/>
      <c r="BK128" s="11"/>
      <c r="BL128" s="15"/>
      <c r="BM128" s="57"/>
      <c r="BN128" s="56"/>
      <c r="BO128" s="15"/>
      <c r="BP128" s="10">
        <v>192951.34</v>
      </c>
      <c r="BQ128" s="15">
        <v>0.001877499611135997</v>
      </c>
      <c r="BR128" s="11">
        <v>20</v>
      </c>
      <c r="BS128" s="15">
        <v>0.004525910839556461</v>
      </c>
      <c r="BT128" s="57"/>
      <c r="BU128" s="56"/>
      <c r="BV128" s="15"/>
      <c r="BW128" s="10">
        <v>2051254.38</v>
      </c>
      <c r="BX128" s="15">
        <v>0.019138060270729968</v>
      </c>
      <c r="BY128" s="11">
        <v>110</v>
      </c>
      <c r="BZ128" s="15">
        <v>0.024444444444444446</v>
      </c>
      <c r="CA128" s="57"/>
      <c r="CB128" s="56"/>
      <c r="CC128" s="15"/>
      <c r="CD128" s="10">
        <v>27247244.350000016</v>
      </c>
      <c r="CE128" s="15">
        <v>0.23703549905318158</v>
      </c>
      <c r="CF128" s="11">
        <v>1049</v>
      </c>
      <c r="CG128" s="15">
        <v>0.22481783111873124</v>
      </c>
      <c r="CH128" s="57"/>
      <c r="CI128" s="56"/>
      <c r="CJ128" s="15"/>
      <c r="CK128" s="10">
        <v>39591116.02999997</v>
      </c>
      <c r="CL128" s="15">
        <v>0.34589586391439436</v>
      </c>
      <c r="CM128" s="11">
        <v>1492</v>
      </c>
      <c r="CN128" s="15">
        <v>0.32676303109943056</v>
      </c>
      <c r="CO128" s="57"/>
      <c r="CP128" s="56"/>
      <c r="CQ128" s="15"/>
    </row>
    <row r="129" spans="1:95" ht="12.75">
      <c r="A129" s="9"/>
      <c r="B129" s="9"/>
      <c r="C129" s="9"/>
      <c r="D129" s="10"/>
      <c r="E129" s="9"/>
      <c r="F129" s="11"/>
      <c r="G129" s="9"/>
      <c r="H129" s="9"/>
      <c r="I129" s="9"/>
      <c r="J129" s="10"/>
      <c r="K129" s="9"/>
      <c r="L129" s="11"/>
      <c r="M129" s="64"/>
      <c r="N129" s="55"/>
      <c r="O129" s="56"/>
      <c r="P129" s="9"/>
      <c r="Q129" s="9"/>
      <c r="R129" s="10"/>
      <c r="S129" s="9"/>
      <c r="T129" s="11"/>
      <c r="U129" s="64"/>
      <c r="V129" s="55"/>
      <c r="W129" s="56"/>
      <c r="X129" s="9"/>
      <c r="Y129" s="10"/>
      <c r="Z129" s="9"/>
      <c r="AA129" s="11"/>
      <c r="AB129" s="64"/>
      <c r="AC129" s="55"/>
      <c r="AD129" s="56"/>
      <c r="AE129" s="56"/>
      <c r="AF129" s="9"/>
      <c r="AG129" s="10"/>
      <c r="AH129" s="9"/>
      <c r="AI129" s="11"/>
      <c r="AJ129" s="64"/>
      <c r="AK129" s="55"/>
      <c r="AL129" s="56"/>
      <c r="AM129" s="9"/>
      <c r="AN129" s="10"/>
      <c r="AO129" s="9"/>
      <c r="AP129" s="11"/>
      <c r="AQ129" s="64"/>
      <c r="AR129" s="55"/>
      <c r="AS129" s="56"/>
      <c r="AT129" s="9"/>
      <c r="AU129" s="10"/>
      <c r="AV129" s="9"/>
      <c r="AW129" s="11"/>
      <c r="AX129" s="64"/>
      <c r="AY129" s="55"/>
      <c r="AZ129" s="56"/>
      <c r="BA129" s="9"/>
      <c r="BB129" s="10"/>
      <c r="BC129" s="9"/>
      <c r="BD129" s="11"/>
      <c r="BE129" s="64"/>
      <c r="BF129" s="55"/>
      <c r="BG129" s="56"/>
      <c r="BH129" s="9"/>
      <c r="BI129" s="10"/>
      <c r="BJ129" s="9"/>
      <c r="BK129" s="11"/>
      <c r="BL129" s="64"/>
      <c r="BM129" s="55"/>
      <c r="BN129" s="56"/>
      <c r="BO129" s="9"/>
      <c r="BP129" s="10"/>
      <c r="BQ129" s="9"/>
      <c r="BR129" s="11"/>
      <c r="BS129" s="64"/>
      <c r="BT129" s="55"/>
      <c r="BU129" s="56"/>
      <c r="BV129" s="9"/>
      <c r="BW129" s="10"/>
      <c r="BX129" s="9"/>
      <c r="BY129" s="11"/>
      <c r="BZ129" s="64"/>
      <c r="CA129" s="55"/>
      <c r="CB129" s="56"/>
      <c r="CC129" s="9"/>
      <c r="CD129" s="10"/>
      <c r="CE129" s="9"/>
      <c r="CF129" s="11"/>
      <c r="CG129" s="64"/>
      <c r="CH129" s="55"/>
      <c r="CI129" s="56"/>
      <c r="CJ129" s="9"/>
      <c r="CK129" s="10"/>
      <c r="CL129" s="9"/>
      <c r="CM129" s="11"/>
      <c r="CN129" s="64"/>
      <c r="CO129" s="55"/>
      <c r="CP129" s="56"/>
      <c r="CQ129" s="9"/>
    </row>
    <row r="130" spans="1:95" ht="13.5" thickBot="1">
      <c r="A130" s="9"/>
      <c r="B130" s="9"/>
      <c r="C130" s="9"/>
      <c r="D130" s="22">
        <f>SUM(D120:D125)</f>
        <v>9589083.600000001</v>
      </c>
      <c r="E130" s="9"/>
      <c r="F130" s="23">
        <f>SUM(F120:F125)</f>
        <v>556</v>
      </c>
      <c r="G130" s="9"/>
      <c r="H130" s="9"/>
      <c r="I130" s="9"/>
      <c r="J130" s="22">
        <f>SUM(J120:J125)</f>
        <v>9248915.150000004</v>
      </c>
      <c r="K130" s="9"/>
      <c r="L130" s="23">
        <f>SUM(L120:L125)</f>
        <v>549</v>
      </c>
      <c r="M130" s="31"/>
      <c r="N130" s="55"/>
      <c r="O130" s="32"/>
      <c r="P130" s="9"/>
      <c r="Q130" s="9"/>
      <c r="R130" s="22">
        <f>SUM(R120:R126)</f>
        <v>23467666.970000014</v>
      </c>
      <c r="S130" s="9"/>
      <c r="T130" s="23">
        <f>SUM(T120:T126)</f>
        <v>1336</v>
      </c>
      <c r="U130" s="31"/>
      <c r="V130" s="55"/>
      <c r="W130" s="32"/>
      <c r="X130" s="9"/>
      <c r="Y130" s="22">
        <f>SUM(Y120:Y126)</f>
        <v>40555096.25000002</v>
      </c>
      <c r="Z130" s="9"/>
      <c r="AA130" s="23">
        <f>SUM(AA120:AA126)</f>
        <v>2177</v>
      </c>
      <c r="AB130" s="31"/>
      <c r="AC130" s="55"/>
      <c r="AD130" s="32"/>
      <c r="AE130" s="32"/>
      <c r="AF130" s="9"/>
      <c r="AG130" s="22">
        <f>SUM(AG120:AG126)</f>
        <v>55818703.75000004</v>
      </c>
      <c r="AH130" s="9"/>
      <c r="AI130" s="23">
        <f>SUM(AI120:AI126)</f>
        <v>2956</v>
      </c>
      <c r="AJ130" s="31"/>
      <c r="AK130" s="55"/>
      <c r="AL130" s="32"/>
      <c r="AM130" s="9"/>
      <c r="AN130" s="22">
        <f>SUM(AN120:AN127)</f>
        <v>59219482.94000008</v>
      </c>
      <c r="AO130" s="9"/>
      <c r="AP130" s="23">
        <f>SUM(AP120:AP127)</f>
        <v>2946</v>
      </c>
      <c r="AQ130" s="31"/>
      <c r="AR130" s="55"/>
      <c r="AS130" s="32"/>
      <c r="AT130" s="9"/>
      <c r="AU130" s="22">
        <f>SUM(AU120:AU127)</f>
        <v>76793942.45000003</v>
      </c>
      <c r="AV130" s="9"/>
      <c r="AW130" s="23">
        <f>SUM(AW120:AW127)</f>
        <v>3644</v>
      </c>
      <c r="AX130" s="31"/>
      <c r="AY130" s="55"/>
      <c r="AZ130" s="32"/>
      <c r="BA130" s="9"/>
      <c r="BB130" s="22">
        <f>SUM(BB120:BB127)</f>
        <v>83500204.92000012</v>
      </c>
      <c r="BC130" s="9"/>
      <c r="BD130" s="23">
        <f>SUM(BD120:BD127)</f>
        <v>3815</v>
      </c>
      <c r="BE130" s="31"/>
      <c r="BF130" s="55"/>
      <c r="BG130" s="32"/>
      <c r="BH130" s="9"/>
      <c r="BI130" s="22">
        <f>SUM(BI120:BI127)</f>
        <v>86655942.09000005</v>
      </c>
      <c r="BJ130" s="9"/>
      <c r="BK130" s="23">
        <f>SUM(BK120:BK127)</f>
        <v>3859</v>
      </c>
      <c r="BL130" s="31"/>
      <c r="BM130" s="55"/>
      <c r="BN130" s="32"/>
      <c r="BO130" s="9"/>
      <c r="BP130" s="22">
        <f>SUM(BP120:BP128)</f>
        <v>102770375.47999978</v>
      </c>
      <c r="BQ130" s="9"/>
      <c r="BR130" s="23">
        <f>SUM(BR120:BR128)</f>
        <v>4419</v>
      </c>
      <c r="BS130" s="31"/>
      <c r="BT130" s="55"/>
      <c r="BU130" s="32"/>
      <c r="BV130" s="9"/>
      <c r="BW130" s="22">
        <f>SUM(BW120:BW128)</f>
        <v>107181937.51000035</v>
      </c>
      <c r="BX130" s="9"/>
      <c r="BY130" s="23">
        <f>SUM(BY120:BY128)</f>
        <v>4500</v>
      </c>
      <c r="BZ130" s="31"/>
      <c r="CA130" s="55"/>
      <c r="CB130" s="32"/>
      <c r="CC130" s="9"/>
      <c r="CD130" s="22">
        <f>SUM(CD120:CD128)</f>
        <v>114950057.93999991</v>
      </c>
      <c r="CE130" s="9"/>
      <c r="CF130" s="23">
        <f>SUM(CF120:CF128)</f>
        <v>4666</v>
      </c>
      <c r="CG130" s="31"/>
      <c r="CH130" s="55"/>
      <c r="CI130" s="32"/>
      <c r="CJ130" s="9"/>
      <c r="CK130" s="22">
        <f>SUM(CK120:CK128)</f>
        <v>114459639.91000009</v>
      </c>
      <c r="CL130" s="9"/>
      <c r="CM130" s="23">
        <f>SUM(CM120:CM128)</f>
        <v>4566</v>
      </c>
      <c r="CN130" s="31"/>
      <c r="CO130" s="55"/>
      <c r="CP130" s="32"/>
      <c r="CQ130" s="9"/>
    </row>
    <row r="131" spans="1:95" ht="13.5" thickTop="1">
      <c r="A131" s="9"/>
      <c r="B131" s="9"/>
      <c r="C131" s="9"/>
      <c r="D131" s="10"/>
      <c r="E131" s="9"/>
      <c r="F131" s="11"/>
      <c r="G131" s="9"/>
      <c r="H131" s="9"/>
      <c r="I131" s="9"/>
      <c r="J131" s="10"/>
      <c r="K131" s="9"/>
      <c r="L131" s="11"/>
      <c r="M131" s="64"/>
      <c r="N131" s="55"/>
      <c r="O131" s="56"/>
      <c r="P131" s="9"/>
      <c r="Q131" s="9"/>
      <c r="R131" s="10"/>
      <c r="S131" s="9"/>
      <c r="T131" s="11"/>
      <c r="U131" s="64"/>
      <c r="V131" s="55"/>
      <c r="W131" s="56"/>
      <c r="X131" s="9"/>
      <c r="Y131" s="10"/>
      <c r="Z131" s="9"/>
      <c r="AA131" s="11"/>
      <c r="AB131" s="64"/>
      <c r="AC131" s="55"/>
      <c r="AD131" s="56"/>
      <c r="AE131" s="56"/>
      <c r="AF131" s="9"/>
      <c r="AG131" s="10"/>
      <c r="AH131" s="9"/>
      <c r="AI131" s="11"/>
      <c r="AJ131" s="64"/>
      <c r="AK131" s="55"/>
      <c r="AL131" s="56"/>
      <c r="AM131" s="9"/>
      <c r="AN131" s="10"/>
      <c r="AO131" s="9"/>
      <c r="AP131" s="11"/>
      <c r="AQ131" s="64"/>
      <c r="AR131" s="55"/>
      <c r="AS131" s="56"/>
      <c r="AT131" s="9"/>
      <c r="AU131" s="10"/>
      <c r="AV131" s="9"/>
      <c r="AW131" s="11"/>
      <c r="AX131" s="64"/>
      <c r="AY131" s="55"/>
      <c r="AZ131" s="56"/>
      <c r="BA131" s="9"/>
      <c r="BB131" s="10"/>
      <c r="BC131" s="9"/>
      <c r="BD131" s="11"/>
      <c r="BE131" s="64"/>
      <c r="BF131" s="55"/>
      <c r="BG131" s="56"/>
      <c r="BH131" s="9"/>
      <c r="BI131" s="10"/>
      <c r="BJ131" s="9"/>
      <c r="BK131" s="11"/>
      <c r="BL131" s="64"/>
      <c r="BM131" s="55"/>
      <c r="BN131" s="56"/>
      <c r="BO131" s="9"/>
      <c r="BP131" s="10"/>
      <c r="BQ131" s="9"/>
      <c r="BR131" s="11"/>
      <c r="BS131" s="64"/>
      <c r="BT131" s="55"/>
      <c r="BU131" s="56"/>
      <c r="BV131" s="9"/>
      <c r="BW131" s="10"/>
      <c r="BX131" s="9"/>
      <c r="BY131" s="11"/>
      <c r="BZ131" s="64"/>
      <c r="CA131" s="55"/>
      <c r="CB131" s="56"/>
      <c r="CC131" s="9"/>
      <c r="CD131" s="10"/>
      <c r="CE131" s="9"/>
      <c r="CF131" s="11"/>
      <c r="CG131" s="64"/>
      <c r="CH131" s="55"/>
      <c r="CI131" s="56"/>
      <c r="CJ131" s="9"/>
      <c r="CK131" s="10"/>
      <c r="CL131" s="9"/>
      <c r="CM131" s="11"/>
      <c r="CN131" s="64"/>
      <c r="CO131" s="55"/>
      <c r="CP131" s="56"/>
      <c r="CQ131" s="9"/>
    </row>
    <row r="132" spans="1:95" ht="12.75">
      <c r="A132" s="9"/>
      <c r="B132" s="9"/>
      <c r="C132" s="9"/>
      <c r="D132" s="10"/>
      <c r="E132" s="9"/>
      <c r="F132" s="11"/>
      <c r="G132" s="9"/>
      <c r="H132" s="9"/>
      <c r="I132" s="9"/>
      <c r="J132" s="9"/>
      <c r="K132" s="9"/>
      <c r="L132" s="9"/>
      <c r="M132" s="10"/>
      <c r="N132" s="9"/>
      <c r="O132" s="11"/>
      <c r="P132" s="9"/>
      <c r="Q132" s="9"/>
      <c r="R132" s="9"/>
      <c r="S132" s="9"/>
      <c r="T132" s="9"/>
      <c r="U132" s="10"/>
      <c r="V132" s="9"/>
      <c r="W132" s="11"/>
      <c r="X132" s="9"/>
      <c r="Y132" s="9"/>
      <c r="Z132" s="9"/>
      <c r="AA132" s="9"/>
      <c r="AB132" s="10"/>
      <c r="AC132" s="9"/>
      <c r="AD132" s="11"/>
      <c r="AE132" s="11"/>
      <c r="AF132" s="9"/>
      <c r="AG132" s="9"/>
      <c r="AH132" s="9"/>
      <c r="AI132" s="9"/>
      <c r="AJ132" s="10"/>
      <c r="AK132" s="9"/>
      <c r="AL132" s="11"/>
      <c r="AM132" s="9"/>
      <c r="AN132" s="9"/>
      <c r="AO132" s="9"/>
      <c r="AP132" s="9"/>
      <c r="AQ132" s="10"/>
      <c r="AR132" s="9"/>
      <c r="AS132" s="11"/>
      <c r="AT132" s="9"/>
      <c r="AU132" s="9"/>
      <c r="AV132" s="9"/>
      <c r="AW132" s="9"/>
      <c r="AX132" s="10"/>
      <c r="AY132" s="9"/>
      <c r="AZ132" s="11"/>
      <c r="BA132" s="9"/>
      <c r="BB132" s="9"/>
      <c r="BC132" s="9"/>
      <c r="BD132" s="9"/>
      <c r="BE132" s="10"/>
      <c r="BF132" s="9"/>
      <c r="BG132" s="11"/>
      <c r="BH132" s="9"/>
      <c r="BI132" s="9"/>
      <c r="BJ132" s="9"/>
      <c r="BK132" s="9"/>
      <c r="BL132" s="10"/>
      <c r="BM132" s="9"/>
      <c r="BN132" s="11"/>
      <c r="BO132" s="9"/>
      <c r="BP132" s="9"/>
      <c r="BQ132" s="9"/>
      <c r="BR132" s="9"/>
      <c r="BS132" s="10"/>
      <c r="BT132" s="9"/>
      <c r="BU132" s="11"/>
      <c r="BV132" s="9"/>
      <c r="BW132" s="9"/>
      <c r="BX132" s="9"/>
      <c r="BY132" s="9"/>
      <c r="BZ132" s="10"/>
      <c r="CA132" s="9"/>
      <c r="CB132" s="11"/>
      <c r="CC132" s="9"/>
      <c r="CD132" s="9"/>
      <c r="CE132" s="9"/>
      <c r="CF132" s="9"/>
      <c r="CG132" s="10"/>
      <c r="CH132" s="9"/>
      <c r="CI132" s="11"/>
      <c r="CJ132" s="9"/>
      <c r="CK132" s="9"/>
      <c r="CL132" s="9"/>
      <c r="CM132" s="9"/>
      <c r="CN132" s="10"/>
      <c r="CO132" s="9"/>
      <c r="CP132" s="11"/>
      <c r="CQ132" s="9"/>
    </row>
    <row r="133" spans="1:95" ht="12.75">
      <c r="A133" s="20" t="s">
        <v>123</v>
      </c>
      <c r="B133" s="9"/>
      <c r="C133" s="9"/>
      <c r="D133" s="10"/>
      <c r="E133" s="9"/>
      <c r="F133" s="11"/>
      <c r="G133" s="9"/>
      <c r="H133" s="9"/>
      <c r="I133" s="9"/>
      <c r="J133" s="20" t="s">
        <v>123</v>
      </c>
      <c r="K133" s="9"/>
      <c r="L133" s="9"/>
      <c r="M133" s="10"/>
      <c r="N133" s="9"/>
      <c r="O133" s="11"/>
      <c r="P133" s="9"/>
      <c r="Q133" s="9"/>
      <c r="R133" s="20" t="s">
        <v>123</v>
      </c>
      <c r="S133" s="9"/>
      <c r="T133" s="9"/>
      <c r="U133" s="10"/>
      <c r="V133" s="9"/>
      <c r="W133" s="11"/>
      <c r="X133" s="9"/>
      <c r="Y133" s="20" t="s">
        <v>123</v>
      </c>
      <c r="Z133" s="9"/>
      <c r="AA133" s="9"/>
      <c r="AB133" s="10"/>
      <c r="AC133" s="9"/>
      <c r="AD133" s="11"/>
      <c r="AE133" s="11"/>
      <c r="AF133" s="9"/>
      <c r="AG133" s="20" t="s">
        <v>123</v>
      </c>
      <c r="AH133" s="9"/>
      <c r="AI133" s="9"/>
      <c r="AJ133" s="10"/>
      <c r="AK133" s="9"/>
      <c r="AL133" s="11"/>
      <c r="AM133" s="9"/>
      <c r="AN133" s="20" t="s">
        <v>123</v>
      </c>
      <c r="AO133" s="9"/>
      <c r="AP133" s="9"/>
      <c r="AQ133" s="10"/>
      <c r="AR133" s="9"/>
      <c r="AS133" s="11"/>
      <c r="AT133" s="9"/>
      <c r="AU133" s="20" t="s">
        <v>123</v>
      </c>
      <c r="AV133" s="9"/>
      <c r="AW133" s="9"/>
      <c r="AX133" s="10"/>
      <c r="AY133" s="9"/>
      <c r="AZ133" s="11"/>
      <c r="BA133" s="9"/>
      <c r="BB133" s="20" t="s">
        <v>123</v>
      </c>
      <c r="BC133" s="9"/>
      <c r="BD133" s="9"/>
      <c r="BE133" s="10"/>
      <c r="BF133" s="9"/>
      <c r="BG133" s="11"/>
      <c r="BH133" s="9"/>
      <c r="BI133" s="20" t="s">
        <v>123</v>
      </c>
      <c r="BJ133" s="9"/>
      <c r="BK133" s="9"/>
      <c r="BL133" s="10"/>
      <c r="BM133" s="9"/>
      <c r="BN133" s="11"/>
      <c r="BO133" s="9"/>
      <c r="BP133" s="20" t="s">
        <v>123</v>
      </c>
      <c r="BQ133" s="9"/>
      <c r="BR133" s="9"/>
      <c r="BS133" s="10"/>
      <c r="BT133" s="9"/>
      <c r="BU133" s="11"/>
      <c r="BV133" s="9"/>
      <c r="BW133" s="20" t="s">
        <v>123</v>
      </c>
      <c r="BX133" s="9"/>
      <c r="BY133" s="9"/>
      <c r="BZ133" s="10"/>
      <c r="CA133" s="9"/>
      <c r="CB133" s="11"/>
      <c r="CC133" s="9"/>
      <c r="CD133" s="20" t="s">
        <v>123</v>
      </c>
      <c r="CE133" s="9"/>
      <c r="CF133" s="9"/>
      <c r="CG133" s="10"/>
      <c r="CH133" s="9"/>
      <c r="CI133" s="11"/>
      <c r="CJ133" s="9"/>
      <c r="CK133" s="20" t="s">
        <v>123</v>
      </c>
      <c r="CL133" s="9"/>
      <c r="CM133" s="9"/>
      <c r="CN133" s="10"/>
      <c r="CO133" s="9"/>
      <c r="CP133" s="11"/>
      <c r="CQ133" s="9"/>
    </row>
    <row r="134" spans="1:95" ht="12.75">
      <c r="A134" s="20"/>
      <c r="B134" s="9"/>
      <c r="C134" s="9"/>
      <c r="D134" s="10"/>
      <c r="E134" s="9"/>
      <c r="F134" s="11"/>
      <c r="G134" s="9"/>
      <c r="H134" s="9"/>
      <c r="I134" s="9"/>
      <c r="J134" s="20"/>
      <c r="K134" s="9"/>
      <c r="L134" s="9"/>
      <c r="M134" s="10"/>
      <c r="N134" s="9"/>
      <c r="O134" s="11"/>
      <c r="P134" s="9"/>
      <c r="Q134" s="9"/>
      <c r="R134" s="20"/>
      <c r="S134" s="9"/>
      <c r="T134" s="9"/>
      <c r="U134" s="10"/>
      <c r="V134" s="9"/>
      <c r="W134" s="11"/>
      <c r="X134" s="9"/>
      <c r="Y134" s="20"/>
      <c r="Z134" s="9"/>
      <c r="AA134" s="9"/>
      <c r="AB134" s="10"/>
      <c r="AC134" s="9"/>
      <c r="AD134" s="11"/>
      <c r="AE134" s="11"/>
      <c r="AF134" s="9"/>
      <c r="AG134" s="20"/>
      <c r="AH134" s="9"/>
      <c r="AI134" s="9"/>
      <c r="AJ134" s="10"/>
      <c r="AK134" s="9"/>
      <c r="AL134" s="11"/>
      <c r="AM134" s="9"/>
      <c r="AN134" s="20"/>
      <c r="AO134" s="9"/>
      <c r="AP134" s="9"/>
      <c r="AQ134" s="10"/>
      <c r="AR134" s="9"/>
      <c r="AS134" s="11"/>
      <c r="AT134" s="9"/>
      <c r="AU134" s="20"/>
      <c r="AV134" s="9"/>
      <c r="AW134" s="9"/>
      <c r="AX134" s="10"/>
      <c r="AY134" s="9"/>
      <c r="AZ134" s="11"/>
      <c r="BA134" s="9"/>
      <c r="BB134" s="20"/>
      <c r="BC134" s="9"/>
      <c r="BD134" s="9"/>
      <c r="BE134" s="10"/>
      <c r="BF134" s="9"/>
      <c r="BG134" s="11"/>
      <c r="BH134" s="9"/>
      <c r="BI134" s="20"/>
      <c r="BJ134" s="9"/>
      <c r="BK134" s="9"/>
      <c r="BL134" s="10"/>
      <c r="BM134" s="9"/>
      <c r="BN134" s="11"/>
      <c r="BO134" s="9"/>
      <c r="BP134" s="20"/>
      <c r="BQ134" s="9"/>
      <c r="BR134" s="9"/>
      <c r="BS134" s="10"/>
      <c r="BT134" s="9"/>
      <c r="BU134" s="11"/>
      <c r="BV134" s="9"/>
      <c r="BW134" s="20"/>
      <c r="BX134" s="9"/>
      <c r="BY134" s="9"/>
      <c r="BZ134" s="10"/>
      <c r="CA134" s="9"/>
      <c r="CB134" s="11"/>
      <c r="CC134" s="9"/>
      <c r="CD134" s="20"/>
      <c r="CE134" s="9"/>
      <c r="CF134" s="9"/>
      <c r="CG134" s="10"/>
      <c r="CH134" s="9"/>
      <c r="CI134" s="11"/>
      <c r="CJ134" s="9"/>
      <c r="CK134" s="20"/>
      <c r="CL134" s="9"/>
      <c r="CM134" s="9"/>
      <c r="CN134" s="10"/>
      <c r="CO134" s="9"/>
      <c r="CP134" s="11"/>
      <c r="CQ134" s="9"/>
    </row>
    <row r="135" spans="1:95" s="30" customFormat="1" ht="12.75">
      <c r="A135" s="26"/>
      <c r="B135" s="27"/>
      <c r="C135" s="27"/>
      <c r="D135" s="28" t="s">
        <v>143</v>
      </c>
      <c r="E135" s="27" t="s">
        <v>96</v>
      </c>
      <c r="F135" s="29" t="s">
        <v>97</v>
      </c>
      <c r="G135" s="27" t="s">
        <v>96</v>
      </c>
      <c r="H135" s="26"/>
      <c r="I135" s="26"/>
      <c r="J135" s="28" t="s">
        <v>143</v>
      </c>
      <c r="K135" s="27" t="s">
        <v>96</v>
      </c>
      <c r="L135" s="29" t="s">
        <v>97</v>
      </c>
      <c r="M135" s="27" t="s">
        <v>96</v>
      </c>
      <c r="N135" s="65"/>
      <c r="O135" s="66"/>
      <c r="P135" s="27" t="s">
        <v>96</v>
      </c>
      <c r="Q135" s="26"/>
      <c r="R135" s="28" t="s">
        <v>143</v>
      </c>
      <c r="S135" s="27" t="s">
        <v>96</v>
      </c>
      <c r="T135" s="29" t="s">
        <v>97</v>
      </c>
      <c r="U135" s="27" t="s">
        <v>96</v>
      </c>
      <c r="V135" s="65"/>
      <c r="W135" s="66"/>
      <c r="X135" s="27"/>
      <c r="Y135" s="28" t="s">
        <v>143</v>
      </c>
      <c r="Z135" s="27" t="s">
        <v>96</v>
      </c>
      <c r="AA135" s="29" t="s">
        <v>97</v>
      </c>
      <c r="AB135" s="27" t="s">
        <v>96</v>
      </c>
      <c r="AC135" s="65"/>
      <c r="AD135" s="66"/>
      <c r="AE135" s="66"/>
      <c r="AF135" s="27"/>
      <c r="AG135" s="28" t="s">
        <v>143</v>
      </c>
      <c r="AH135" s="27" t="s">
        <v>96</v>
      </c>
      <c r="AI135" s="29" t="s">
        <v>97</v>
      </c>
      <c r="AJ135" s="27" t="s">
        <v>96</v>
      </c>
      <c r="AK135" s="65"/>
      <c r="AL135" s="66"/>
      <c r="AM135" s="27"/>
      <c r="AN135" s="94" t="s">
        <v>143</v>
      </c>
      <c r="AO135" s="45" t="s">
        <v>96</v>
      </c>
      <c r="AP135" s="93" t="s">
        <v>97</v>
      </c>
      <c r="AQ135" s="45" t="s">
        <v>96</v>
      </c>
      <c r="AR135" s="65"/>
      <c r="AS135" s="66"/>
      <c r="AT135" s="27"/>
      <c r="AU135" s="94" t="s">
        <v>143</v>
      </c>
      <c r="AV135" s="45" t="s">
        <v>96</v>
      </c>
      <c r="AW135" s="93" t="s">
        <v>97</v>
      </c>
      <c r="AX135" s="45" t="s">
        <v>96</v>
      </c>
      <c r="AY135" s="65"/>
      <c r="AZ135" s="66"/>
      <c r="BA135" s="27"/>
      <c r="BB135" s="94" t="s">
        <v>143</v>
      </c>
      <c r="BC135" s="45" t="s">
        <v>96</v>
      </c>
      <c r="BD135" s="93" t="s">
        <v>97</v>
      </c>
      <c r="BE135" s="45" t="s">
        <v>96</v>
      </c>
      <c r="BF135" s="65"/>
      <c r="BG135" s="66"/>
      <c r="BH135" s="27"/>
      <c r="BI135" s="94" t="s">
        <v>143</v>
      </c>
      <c r="BJ135" s="45" t="s">
        <v>96</v>
      </c>
      <c r="BK135" s="93" t="s">
        <v>97</v>
      </c>
      <c r="BL135" s="45" t="s">
        <v>96</v>
      </c>
      <c r="BM135" s="65"/>
      <c r="BN135" s="66"/>
      <c r="BO135" s="27"/>
      <c r="BP135" s="94" t="s">
        <v>143</v>
      </c>
      <c r="BQ135" s="45" t="s">
        <v>96</v>
      </c>
      <c r="BR135" s="93" t="s">
        <v>97</v>
      </c>
      <c r="BS135" s="45" t="s">
        <v>96</v>
      </c>
      <c r="BT135" s="65"/>
      <c r="BU135" s="66"/>
      <c r="BV135" s="27"/>
      <c r="BW135" s="94" t="s">
        <v>143</v>
      </c>
      <c r="BX135" s="45" t="s">
        <v>96</v>
      </c>
      <c r="BY135" s="93" t="s">
        <v>97</v>
      </c>
      <c r="BZ135" s="45" t="s">
        <v>96</v>
      </c>
      <c r="CA135" s="65"/>
      <c r="CB135" s="66"/>
      <c r="CC135" s="27"/>
      <c r="CD135" s="94" t="s">
        <v>143</v>
      </c>
      <c r="CE135" s="45" t="s">
        <v>96</v>
      </c>
      <c r="CF135" s="93" t="s">
        <v>97</v>
      </c>
      <c r="CG135" s="45" t="s">
        <v>96</v>
      </c>
      <c r="CH135" s="65"/>
      <c r="CI135" s="66"/>
      <c r="CJ135" s="27"/>
      <c r="CK135" s="94" t="s">
        <v>143</v>
      </c>
      <c r="CL135" s="45" t="s">
        <v>96</v>
      </c>
      <c r="CM135" s="93" t="s">
        <v>97</v>
      </c>
      <c r="CN135" s="45" t="s">
        <v>96</v>
      </c>
      <c r="CO135" s="65"/>
      <c r="CP135" s="66"/>
      <c r="CQ135" s="27"/>
    </row>
    <row r="136" spans="1:95" ht="12.75">
      <c r="A136" s="13"/>
      <c r="B136" s="9"/>
      <c r="C136" s="9"/>
      <c r="D136" s="10"/>
      <c r="E136" s="9"/>
      <c r="F136" s="11"/>
      <c r="G136" s="9"/>
      <c r="H136" s="9"/>
      <c r="I136" s="9"/>
      <c r="J136" s="10"/>
      <c r="K136" s="9"/>
      <c r="L136" s="11"/>
      <c r="N136" s="55"/>
      <c r="O136" s="56"/>
      <c r="P136" s="9"/>
      <c r="Q136" s="9"/>
      <c r="R136" s="10"/>
      <c r="S136" s="9"/>
      <c r="T136" s="11"/>
      <c r="U136" s="35"/>
      <c r="V136" s="55"/>
      <c r="W136" s="56"/>
      <c r="X136" s="9"/>
      <c r="Y136" s="10"/>
      <c r="Z136" s="9"/>
      <c r="AA136" s="11"/>
      <c r="AB136" s="35"/>
      <c r="AC136" s="55"/>
      <c r="AD136" s="56"/>
      <c r="AE136" s="56"/>
      <c r="AF136" s="9"/>
      <c r="AG136" s="10"/>
      <c r="AH136" s="9"/>
      <c r="AI136" s="11"/>
      <c r="AJ136" s="35"/>
      <c r="AK136" s="55"/>
      <c r="AL136" s="56"/>
      <c r="AM136" s="9"/>
      <c r="AN136" s="10"/>
      <c r="AO136" s="9"/>
      <c r="AP136" s="11"/>
      <c r="AQ136" s="35"/>
      <c r="AR136" s="55"/>
      <c r="AS136" s="56"/>
      <c r="AT136" s="9"/>
      <c r="AU136" s="10"/>
      <c r="AV136" s="9"/>
      <c r="AW136" s="11"/>
      <c r="AX136" s="35"/>
      <c r="AY136" s="55"/>
      <c r="AZ136" s="56"/>
      <c r="BA136" s="9"/>
      <c r="BB136" s="10"/>
      <c r="BC136" s="9"/>
      <c r="BD136" s="11"/>
      <c r="BE136" s="35"/>
      <c r="BF136" s="55"/>
      <c r="BG136" s="56"/>
      <c r="BH136" s="9"/>
      <c r="BI136" s="10"/>
      <c r="BJ136" s="9"/>
      <c r="BK136" s="11"/>
      <c r="BL136" s="35"/>
      <c r="BM136" s="55"/>
      <c r="BN136" s="56"/>
      <c r="BO136" s="9"/>
      <c r="BP136" s="10"/>
      <c r="BQ136" s="9"/>
      <c r="BR136" s="11"/>
      <c r="BS136" s="35"/>
      <c r="BT136" s="55"/>
      <c r="BU136" s="56"/>
      <c r="BV136" s="9"/>
      <c r="BW136" s="10"/>
      <c r="BX136" s="9"/>
      <c r="BY136" s="11"/>
      <c r="BZ136" s="35"/>
      <c r="CA136" s="55"/>
      <c r="CB136" s="56"/>
      <c r="CC136" s="9"/>
      <c r="CD136" s="10"/>
      <c r="CE136" s="9"/>
      <c r="CF136" s="11"/>
      <c r="CG136" s="35"/>
      <c r="CH136" s="55"/>
      <c r="CI136" s="56"/>
      <c r="CJ136" s="9"/>
      <c r="CK136" s="10"/>
      <c r="CL136" s="9"/>
      <c r="CM136" s="11"/>
      <c r="CN136" s="35"/>
      <c r="CO136" s="55"/>
      <c r="CP136" s="56"/>
      <c r="CQ136" s="9"/>
    </row>
    <row r="137" spans="1:95" ht="12.75">
      <c r="A137" s="9" t="s">
        <v>79</v>
      </c>
      <c r="B137" s="9"/>
      <c r="C137" s="9"/>
      <c r="D137" s="10">
        <v>7874357.879999995</v>
      </c>
      <c r="E137" s="15">
        <v>0.8211793961208139</v>
      </c>
      <c r="F137" s="11">
        <v>455</v>
      </c>
      <c r="G137" s="15">
        <v>0.8183453237410072</v>
      </c>
      <c r="H137" s="9"/>
      <c r="I137" s="9"/>
      <c r="J137" s="10">
        <v>7630465.670000001</v>
      </c>
      <c r="K137" s="15">
        <v>0.8250119658628289</v>
      </c>
      <c r="L137" s="11">
        <v>449</v>
      </c>
      <c r="M137" s="15">
        <v>0.8178506375227687</v>
      </c>
      <c r="N137" s="57"/>
      <c r="O137" s="56"/>
      <c r="P137" s="15">
        <v>0.7870318613750699</v>
      </c>
      <c r="Q137" s="9"/>
      <c r="R137" s="10">
        <v>20441125.080000013</v>
      </c>
      <c r="S137" s="15">
        <v>0.8710335418570159</v>
      </c>
      <c r="T137" s="11">
        <v>1150</v>
      </c>
      <c r="U137" s="15">
        <v>0.8607784431137725</v>
      </c>
      <c r="V137" s="57"/>
      <c r="W137" s="56"/>
      <c r="X137" s="15"/>
      <c r="Y137" s="10">
        <v>36435734.849999994</v>
      </c>
      <c r="Z137" s="15">
        <v>0.8984255548401021</v>
      </c>
      <c r="AA137" s="11">
        <v>1926</v>
      </c>
      <c r="AB137" s="15">
        <v>0.8847037207165824</v>
      </c>
      <c r="AC137" s="57"/>
      <c r="AD137" s="56"/>
      <c r="AE137" s="56"/>
      <c r="AF137" s="15"/>
      <c r="AG137" s="10">
        <v>51484557.18999996</v>
      </c>
      <c r="AH137" s="15">
        <v>0.9223531492344982</v>
      </c>
      <c r="AI137" s="11">
        <v>2687</v>
      </c>
      <c r="AJ137" s="15">
        <v>0.9089986468200271</v>
      </c>
      <c r="AK137" s="57"/>
      <c r="AL137" s="56"/>
      <c r="AM137" s="15"/>
      <c r="AN137" s="10">
        <v>55807945.880000085</v>
      </c>
      <c r="AO137" s="15">
        <v>0.9423916439213679</v>
      </c>
      <c r="AP137" s="11">
        <v>2727</v>
      </c>
      <c r="AQ137" s="15">
        <v>0.9256619144602851</v>
      </c>
      <c r="AR137" s="57"/>
      <c r="AS137" s="56"/>
      <c r="AT137" s="15"/>
      <c r="AU137" s="10">
        <v>73927327.94000019</v>
      </c>
      <c r="AV137" s="15">
        <v>0.9626713459610902</v>
      </c>
      <c r="AW137" s="11">
        <v>3466</v>
      </c>
      <c r="AX137" s="15">
        <v>0.9511525795828759</v>
      </c>
      <c r="AY137" s="57"/>
      <c r="AZ137" s="56"/>
      <c r="BA137" s="15"/>
      <c r="BB137" s="10">
        <v>81332941.61000006</v>
      </c>
      <c r="BC137" s="15">
        <v>0.9740448144758876</v>
      </c>
      <c r="BD137" s="11">
        <v>3679</v>
      </c>
      <c r="BE137" s="15">
        <v>0.96435124508519</v>
      </c>
      <c r="BF137" s="57"/>
      <c r="BG137" s="56"/>
      <c r="BH137" s="15"/>
      <c r="BI137" s="10">
        <v>84690311.34000015</v>
      </c>
      <c r="BJ137" s="15">
        <v>0.9773168382618411</v>
      </c>
      <c r="BK137" s="11">
        <v>3740</v>
      </c>
      <c r="BL137" s="15">
        <v>0.9691629955947136</v>
      </c>
      <c r="BM137" s="57"/>
      <c r="BN137" s="56"/>
      <c r="BO137" s="15"/>
      <c r="BP137" s="10">
        <v>101181846.0699998</v>
      </c>
      <c r="BQ137" s="15">
        <v>0.984542924917997</v>
      </c>
      <c r="BR137" s="11">
        <v>4319</v>
      </c>
      <c r="BS137" s="15">
        <v>0.9773704458022177</v>
      </c>
      <c r="BT137" s="57"/>
      <c r="BU137" s="56"/>
      <c r="BV137" s="15"/>
      <c r="BW137" s="10">
        <v>105769176.75000033</v>
      </c>
      <c r="BX137" s="15">
        <v>0.9868190406628151</v>
      </c>
      <c r="BY137" s="11">
        <v>4414</v>
      </c>
      <c r="BZ137" s="15">
        <v>0.9808888888888889</v>
      </c>
      <c r="CA137" s="57"/>
      <c r="CB137" s="56"/>
      <c r="CC137" s="15"/>
      <c r="CD137" s="10">
        <v>113484457.22000013</v>
      </c>
      <c r="CE137" s="15">
        <v>0.9872501089058607</v>
      </c>
      <c r="CF137" s="11">
        <v>4581</v>
      </c>
      <c r="CG137" s="15">
        <v>0.9817831118731247</v>
      </c>
      <c r="CH137" s="57"/>
      <c r="CI137" s="56"/>
      <c r="CJ137" s="15"/>
      <c r="CK137" s="10">
        <v>113257919.12000002</v>
      </c>
      <c r="CL137" s="15">
        <v>0.9895009211024521</v>
      </c>
      <c r="CM137" s="11">
        <v>4499</v>
      </c>
      <c r="CN137" s="15">
        <v>0.9853263250109505</v>
      </c>
      <c r="CO137" s="57"/>
      <c r="CP137" s="56"/>
      <c r="CQ137" s="15"/>
    </row>
    <row r="138" spans="1:95" ht="12.75">
      <c r="A138" s="9" t="s">
        <v>80</v>
      </c>
      <c r="B138" s="9"/>
      <c r="C138" s="9"/>
      <c r="D138" s="10">
        <v>1714725.72</v>
      </c>
      <c r="E138" s="15">
        <v>0.17882060387918616</v>
      </c>
      <c r="F138" s="11">
        <v>101</v>
      </c>
      <c r="G138" s="15">
        <v>0.18165467625899281</v>
      </c>
      <c r="H138" s="9"/>
      <c r="I138" s="9"/>
      <c r="J138" s="10">
        <v>1618449.48</v>
      </c>
      <c r="K138" s="15">
        <v>0.17498803413717118</v>
      </c>
      <c r="L138" s="11">
        <v>100</v>
      </c>
      <c r="M138" s="15">
        <v>0.18214936247723132</v>
      </c>
      <c r="N138" s="57"/>
      <c r="O138" s="56"/>
      <c r="P138" s="15">
        <v>0.21296813862493014</v>
      </c>
      <c r="Q138" s="9"/>
      <c r="R138" s="10">
        <v>3026541.89</v>
      </c>
      <c r="S138" s="15">
        <v>0.12896645814298416</v>
      </c>
      <c r="T138" s="11">
        <v>186</v>
      </c>
      <c r="U138" s="15">
        <v>0.13922155688622753</v>
      </c>
      <c r="V138" s="57"/>
      <c r="W138" s="56"/>
      <c r="X138" s="15"/>
      <c r="Y138" s="10">
        <v>4119361.4</v>
      </c>
      <c r="Z138" s="15">
        <v>0.1015744451598978</v>
      </c>
      <c r="AA138" s="11">
        <v>251</v>
      </c>
      <c r="AB138" s="15">
        <v>0.11529627928341754</v>
      </c>
      <c r="AC138" s="57"/>
      <c r="AD138" s="56"/>
      <c r="AE138" s="56"/>
      <c r="AF138" s="15"/>
      <c r="AG138" s="10">
        <v>4334146.56</v>
      </c>
      <c r="AH138" s="15">
        <v>0.07764685076550175</v>
      </c>
      <c r="AI138" s="11">
        <v>269</v>
      </c>
      <c r="AJ138" s="15">
        <v>0.09100135317997293</v>
      </c>
      <c r="AK138" s="57"/>
      <c r="AL138" s="56"/>
      <c r="AM138" s="15"/>
      <c r="AN138" s="10">
        <v>3411537.06</v>
      </c>
      <c r="AO138" s="15">
        <v>0.057608356078632114</v>
      </c>
      <c r="AP138" s="11">
        <v>219</v>
      </c>
      <c r="AQ138" s="15">
        <v>0.07433808553971487</v>
      </c>
      <c r="AR138" s="57"/>
      <c r="AS138" s="56"/>
      <c r="AT138" s="15"/>
      <c r="AU138" s="10">
        <v>2866614.51</v>
      </c>
      <c r="AV138" s="15">
        <v>0.03732865403890972</v>
      </c>
      <c r="AW138" s="11">
        <v>178</v>
      </c>
      <c r="AX138" s="15">
        <v>0.04884742041712404</v>
      </c>
      <c r="AY138" s="57"/>
      <c r="AZ138" s="56"/>
      <c r="BA138" s="15"/>
      <c r="BB138" s="10">
        <v>2167263.31</v>
      </c>
      <c r="BC138" s="15">
        <v>0.025955185524112336</v>
      </c>
      <c r="BD138" s="11">
        <v>136</v>
      </c>
      <c r="BE138" s="15">
        <v>0.03564875491480996</v>
      </c>
      <c r="BF138" s="57"/>
      <c r="BG138" s="56"/>
      <c r="BH138" s="15"/>
      <c r="BI138" s="10">
        <v>1965630.75</v>
      </c>
      <c r="BJ138" s="15">
        <v>0.02268316173815884</v>
      </c>
      <c r="BK138" s="11">
        <v>119</v>
      </c>
      <c r="BL138" s="15">
        <v>0.030837004405286344</v>
      </c>
      <c r="BM138" s="57"/>
      <c r="BN138" s="56"/>
      <c r="BO138" s="15"/>
      <c r="BP138" s="10">
        <v>1588529.41</v>
      </c>
      <c r="BQ138" s="15">
        <v>0.015457075082003032</v>
      </c>
      <c r="BR138" s="11">
        <v>100</v>
      </c>
      <c r="BS138" s="15">
        <v>0.022629554197782304</v>
      </c>
      <c r="BT138" s="57"/>
      <c r="BU138" s="56"/>
      <c r="BV138" s="15"/>
      <c r="BW138" s="10">
        <v>1412760.76</v>
      </c>
      <c r="BX138" s="15">
        <v>0.013180959337184828</v>
      </c>
      <c r="BY138" s="11">
        <v>86</v>
      </c>
      <c r="BZ138" s="15">
        <v>0.01911111111111111</v>
      </c>
      <c r="CA138" s="57"/>
      <c r="CB138" s="56"/>
      <c r="CC138" s="15"/>
      <c r="CD138" s="10">
        <v>1465600.72</v>
      </c>
      <c r="CE138" s="15">
        <v>0.012749891094139262</v>
      </c>
      <c r="CF138" s="11">
        <v>85</v>
      </c>
      <c r="CG138" s="15">
        <v>0.018216888126875268</v>
      </c>
      <c r="CH138" s="57"/>
      <c r="CI138" s="56"/>
      <c r="CJ138" s="15"/>
      <c r="CK138" s="10">
        <v>1201720.79</v>
      </c>
      <c r="CL138" s="15">
        <v>0.010499078897547792</v>
      </c>
      <c r="CM138" s="11">
        <v>67</v>
      </c>
      <c r="CN138" s="15">
        <v>0.014673674989049496</v>
      </c>
      <c r="CO138" s="57"/>
      <c r="CP138" s="56"/>
      <c r="CQ138" s="15"/>
    </row>
    <row r="139" spans="1:95" ht="12.75">
      <c r="A139" s="9"/>
      <c r="B139" s="9"/>
      <c r="C139" s="9"/>
      <c r="D139" s="10"/>
      <c r="E139" s="9"/>
      <c r="F139" s="11"/>
      <c r="G139" s="9"/>
      <c r="H139" s="9"/>
      <c r="I139" s="9"/>
      <c r="J139" s="10"/>
      <c r="K139" s="9"/>
      <c r="L139" s="11"/>
      <c r="N139" s="55"/>
      <c r="O139" s="56"/>
      <c r="P139" s="9"/>
      <c r="Q139" s="9"/>
      <c r="R139" s="10"/>
      <c r="S139" s="9"/>
      <c r="T139" s="11"/>
      <c r="U139" s="35"/>
      <c r="V139" s="55"/>
      <c r="W139" s="56"/>
      <c r="X139" s="9"/>
      <c r="Y139" s="10"/>
      <c r="Z139" s="9"/>
      <c r="AA139" s="11"/>
      <c r="AB139" s="35"/>
      <c r="AC139" s="55"/>
      <c r="AD139" s="56"/>
      <c r="AE139" s="56"/>
      <c r="AF139" s="9"/>
      <c r="AG139" s="10"/>
      <c r="AH139" s="9"/>
      <c r="AI139" s="11"/>
      <c r="AJ139" s="35"/>
      <c r="AK139" s="55"/>
      <c r="AL139" s="56"/>
      <c r="AM139" s="9"/>
      <c r="AN139" s="10"/>
      <c r="AO139" s="9"/>
      <c r="AP139" s="11"/>
      <c r="AQ139" s="35"/>
      <c r="AR139" s="55"/>
      <c r="AS139" s="56"/>
      <c r="AT139" s="9"/>
      <c r="AU139" s="10"/>
      <c r="AV139" s="9"/>
      <c r="AW139" s="11"/>
      <c r="AX139" s="35"/>
      <c r="AY139" s="55"/>
      <c r="AZ139" s="56"/>
      <c r="BA139" s="9"/>
      <c r="BB139" s="10"/>
      <c r="BC139" s="9"/>
      <c r="BD139" s="11"/>
      <c r="BE139" s="35"/>
      <c r="BF139" s="55"/>
      <c r="BG139" s="56"/>
      <c r="BH139" s="9"/>
      <c r="BI139" s="10"/>
      <c r="BJ139" s="9"/>
      <c r="BK139" s="11"/>
      <c r="BL139" s="35"/>
      <c r="BM139" s="55"/>
      <c r="BN139" s="56"/>
      <c r="BO139" s="9"/>
      <c r="BP139" s="10"/>
      <c r="BQ139" s="9"/>
      <c r="BR139" s="11"/>
      <c r="BS139" s="35"/>
      <c r="BT139" s="55"/>
      <c r="BU139" s="56"/>
      <c r="BV139" s="9"/>
      <c r="BW139" s="10"/>
      <c r="BX139" s="9"/>
      <c r="BY139" s="11"/>
      <c r="BZ139" s="35"/>
      <c r="CA139" s="55"/>
      <c r="CB139" s="56"/>
      <c r="CC139" s="9"/>
      <c r="CD139" s="10"/>
      <c r="CE139" s="9"/>
      <c r="CF139" s="11"/>
      <c r="CG139" s="35"/>
      <c r="CH139" s="55"/>
      <c r="CI139" s="56"/>
      <c r="CJ139" s="9"/>
      <c r="CK139" s="10"/>
      <c r="CL139" s="9"/>
      <c r="CM139" s="11"/>
      <c r="CN139" s="35"/>
      <c r="CO139" s="55"/>
      <c r="CP139" s="56"/>
      <c r="CQ139" s="9"/>
    </row>
    <row r="140" spans="1:95" ht="13.5" thickBot="1">
      <c r="A140" s="9"/>
      <c r="B140" s="9"/>
      <c r="C140" s="9"/>
      <c r="D140" s="22">
        <f>SUM(D137:D139)</f>
        <v>9589083.599999996</v>
      </c>
      <c r="E140" s="13"/>
      <c r="F140" s="23">
        <f>SUM(F137:F138)</f>
        <v>556</v>
      </c>
      <c r="G140" s="9"/>
      <c r="H140" s="9"/>
      <c r="I140" s="9"/>
      <c r="J140" s="77">
        <f>SUM(J137:J139)</f>
        <v>9248915.15</v>
      </c>
      <c r="K140" s="13"/>
      <c r="L140" s="23">
        <f>SUM(L137:L138)</f>
        <v>549</v>
      </c>
      <c r="M140" s="31"/>
      <c r="N140" s="54"/>
      <c r="O140" s="32"/>
      <c r="P140" s="9"/>
      <c r="Q140" s="9"/>
      <c r="R140" s="77">
        <f>SUM(R137:R139)</f>
        <v>23467666.970000014</v>
      </c>
      <c r="S140" s="13"/>
      <c r="T140" s="23">
        <f>SUM(T137:T138)</f>
        <v>1336</v>
      </c>
      <c r="U140" s="31"/>
      <c r="V140" s="54"/>
      <c r="W140" s="32"/>
      <c r="X140" s="9"/>
      <c r="Y140" s="77">
        <f>SUM(Y137:Y139)</f>
        <v>40555096.24999999</v>
      </c>
      <c r="Z140" s="13"/>
      <c r="AA140" s="23">
        <f>SUM(AA137:AA138)</f>
        <v>2177</v>
      </c>
      <c r="AB140" s="31"/>
      <c r="AC140" s="54"/>
      <c r="AD140" s="32"/>
      <c r="AE140" s="32"/>
      <c r="AF140" s="9"/>
      <c r="AG140" s="77">
        <f>SUM(AG137:AG139)</f>
        <v>55818703.74999996</v>
      </c>
      <c r="AH140" s="13"/>
      <c r="AI140" s="23">
        <f>SUM(AI137:AI138)</f>
        <v>2956</v>
      </c>
      <c r="AJ140" s="31"/>
      <c r="AK140" s="54"/>
      <c r="AL140" s="32"/>
      <c r="AM140" s="9"/>
      <c r="AN140" s="77">
        <f>SUM(AN137:AN139)</f>
        <v>59219482.94000009</v>
      </c>
      <c r="AO140" s="13"/>
      <c r="AP140" s="23">
        <f>SUM(AP137:AP138)</f>
        <v>2946</v>
      </c>
      <c r="AQ140" s="31"/>
      <c r="AR140" s="54"/>
      <c r="AS140" s="32"/>
      <c r="AT140" s="9"/>
      <c r="AU140" s="77">
        <f>SUM(AU137:AU139)</f>
        <v>76793942.4500002</v>
      </c>
      <c r="AV140" s="13"/>
      <c r="AW140" s="23">
        <f>SUM(AW137:AW138)</f>
        <v>3644</v>
      </c>
      <c r="AX140" s="31"/>
      <c r="AY140" s="54"/>
      <c r="AZ140" s="32"/>
      <c r="BA140" s="9"/>
      <c r="BB140" s="77">
        <f>SUM(BB137:BB139)</f>
        <v>83500204.92000006</v>
      </c>
      <c r="BC140" s="13"/>
      <c r="BD140" s="23">
        <f>SUM(BD137:BD138)</f>
        <v>3815</v>
      </c>
      <c r="BE140" s="31"/>
      <c r="BF140" s="54"/>
      <c r="BG140" s="32"/>
      <c r="BH140" s="9"/>
      <c r="BI140" s="77">
        <f>SUM(BI137:BI139)</f>
        <v>86655942.09000015</v>
      </c>
      <c r="BJ140" s="13"/>
      <c r="BK140" s="23">
        <f>SUM(BK137:BK138)</f>
        <v>3859</v>
      </c>
      <c r="BL140" s="31"/>
      <c r="BM140" s="54"/>
      <c r="BN140" s="32"/>
      <c r="BO140" s="9"/>
      <c r="BP140" s="77">
        <f>SUM(BP137:BP139)</f>
        <v>102770375.4799998</v>
      </c>
      <c r="BQ140" s="13"/>
      <c r="BR140" s="23">
        <f>SUM(BR137:BR138)</f>
        <v>4419</v>
      </c>
      <c r="BS140" s="31"/>
      <c r="BT140" s="54"/>
      <c r="BU140" s="32"/>
      <c r="BV140" s="9"/>
      <c r="BW140" s="77">
        <f>SUM(BW137:BW139)</f>
        <v>107181937.51000033</v>
      </c>
      <c r="BX140" s="13"/>
      <c r="BY140" s="23">
        <f>SUM(BY137:BY138)</f>
        <v>4500</v>
      </c>
      <c r="BZ140" s="31"/>
      <c r="CA140" s="54"/>
      <c r="CB140" s="32"/>
      <c r="CC140" s="9"/>
      <c r="CD140" s="77">
        <f>SUM(CD137:CD139)</f>
        <v>114950057.94000013</v>
      </c>
      <c r="CE140" s="13"/>
      <c r="CF140" s="23">
        <f>SUM(CF137:CF138)</f>
        <v>4666</v>
      </c>
      <c r="CG140" s="31"/>
      <c r="CH140" s="54"/>
      <c r="CI140" s="32"/>
      <c r="CJ140" s="9"/>
      <c r="CK140" s="77">
        <f>SUM(CK137:CK139)</f>
        <v>114459639.91000003</v>
      </c>
      <c r="CL140" s="13"/>
      <c r="CM140" s="23">
        <f>SUM(CM137:CM138)</f>
        <v>4566</v>
      </c>
      <c r="CN140" s="31"/>
      <c r="CO140" s="54"/>
      <c r="CP140" s="32"/>
      <c r="CQ140" s="9"/>
    </row>
    <row r="141" spans="1:95" ht="13.5" thickTop="1">
      <c r="A141" s="9"/>
      <c r="B141" s="9"/>
      <c r="C141" s="9"/>
      <c r="D141" s="31"/>
      <c r="E141" s="13"/>
      <c r="F141" s="32"/>
      <c r="G141" s="9"/>
      <c r="H141" s="9"/>
      <c r="I141" s="9"/>
      <c r="J141" s="9"/>
      <c r="K141" s="9"/>
      <c r="L141" s="9"/>
      <c r="M141" s="31"/>
      <c r="N141" s="13"/>
      <c r="O141" s="32"/>
      <c r="P141" s="9"/>
      <c r="Q141" s="9"/>
      <c r="R141" s="9"/>
      <c r="S141" s="9"/>
      <c r="T141" s="9"/>
      <c r="U141" s="31"/>
      <c r="V141" s="13"/>
      <c r="W141" s="32"/>
      <c r="X141" s="9"/>
      <c r="Y141" s="9"/>
      <c r="Z141" s="9"/>
      <c r="AA141" s="9"/>
      <c r="AB141" s="31"/>
      <c r="AC141" s="13"/>
      <c r="AD141" s="32"/>
      <c r="AE141" s="32"/>
      <c r="AF141" s="9"/>
      <c r="AG141" s="9"/>
      <c r="AH141" s="9"/>
      <c r="AI141" s="9"/>
      <c r="AJ141" s="31"/>
      <c r="AK141" s="13"/>
      <c r="AL141" s="32"/>
      <c r="AM141" s="9"/>
      <c r="AN141" s="9"/>
      <c r="AO141" s="9"/>
      <c r="AP141" s="9"/>
      <c r="AQ141" s="31"/>
      <c r="AR141" s="13"/>
      <c r="AS141" s="32"/>
      <c r="AT141" s="9"/>
      <c r="AU141" s="9"/>
      <c r="AV141" s="9"/>
      <c r="AW141" s="9"/>
      <c r="AX141" s="31"/>
      <c r="AY141" s="13"/>
      <c r="AZ141" s="32"/>
      <c r="BA141" s="9"/>
      <c r="BB141" s="9"/>
      <c r="BC141" s="9"/>
      <c r="BD141" s="9"/>
      <c r="BE141" s="31"/>
      <c r="BF141" s="13"/>
      <c r="BG141" s="32"/>
      <c r="BH141" s="9"/>
      <c r="BI141" s="9"/>
      <c r="BJ141" s="9"/>
      <c r="BK141" s="9"/>
      <c r="BL141" s="31"/>
      <c r="BM141" s="13"/>
      <c r="BN141" s="32"/>
      <c r="BO141" s="9"/>
      <c r="BP141" s="9"/>
      <c r="BQ141" s="9"/>
      <c r="BR141" s="9"/>
      <c r="BS141" s="31"/>
      <c r="BT141" s="13"/>
      <c r="BU141" s="32"/>
      <c r="BV141" s="9"/>
      <c r="BW141" s="9"/>
      <c r="BX141" s="9"/>
      <c r="BY141" s="9"/>
      <c r="BZ141" s="31"/>
      <c r="CA141" s="13"/>
      <c r="CB141" s="32"/>
      <c r="CC141" s="9"/>
      <c r="CD141" s="9"/>
      <c r="CE141" s="9"/>
      <c r="CF141" s="9"/>
      <c r="CG141" s="31"/>
      <c r="CH141" s="13"/>
      <c r="CI141" s="32"/>
      <c r="CJ141" s="9"/>
      <c r="CK141" s="9"/>
      <c r="CL141" s="9"/>
      <c r="CM141" s="9"/>
      <c r="CN141" s="31"/>
      <c r="CO141" s="13"/>
      <c r="CP141" s="32"/>
      <c r="CQ141" s="9"/>
    </row>
    <row r="142" spans="1:95" ht="12.75">
      <c r="A142" s="9"/>
      <c r="B142" s="9"/>
      <c r="C142" s="9"/>
      <c r="D142" s="10"/>
      <c r="E142" s="9"/>
      <c r="F142" s="11"/>
      <c r="G142" s="9"/>
      <c r="H142" s="9"/>
      <c r="I142" s="9"/>
      <c r="J142" s="9"/>
      <c r="K142" s="9"/>
      <c r="L142" s="9"/>
      <c r="M142" s="31"/>
      <c r="N142" s="13"/>
      <c r="O142" s="32"/>
      <c r="P142" s="9"/>
      <c r="Q142" s="9"/>
      <c r="R142" s="9"/>
      <c r="S142" s="9"/>
      <c r="T142" s="9"/>
      <c r="U142" s="31"/>
      <c r="V142" s="13"/>
      <c r="W142" s="32"/>
      <c r="X142" s="9"/>
      <c r="Y142" s="9"/>
      <c r="Z142" s="9"/>
      <c r="AA142" s="9"/>
      <c r="AB142" s="31"/>
      <c r="AC142" s="13"/>
      <c r="AD142" s="32"/>
      <c r="AE142" s="32"/>
      <c r="AF142" s="9"/>
      <c r="AG142" s="9"/>
      <c r="AH142" s="9"/>
      <c r="AI142" s="9"/>
      <c r="AJ142" s="31"/>
      <c r="AK142" s="13"/>
      <c r="AL142" s="32"/>
      <c r="AM142" s="9"/>
      <c r="AN142" s="9"/>
      <c r="AO142" s="9"/>
      <c r="AP142" s="9"/>
      <c r="AQ142" s="31"/>
      <c r="AR142" s="13"/>
      <c r="AS142" s="32"/>
      <c r="AT142" s="9"/>
      <c r="AU142" s="9"/>
      <c r="AV142" s="9"/>
      <c r="AW142" s="9"/>
      <c r="AX142" s="31"/>
      <c r="AY142" s="13"/>
      <c r="AZ142" s="32"/>
      <c r="BA142" s="9"/>
      <c r="BB142" s="9"/>
      <c r="BC142" s="9"/>
      <c r="BD142" s="9"/>
      <c r="BE142" s="31"/>
      <c r="BF142" s="13"/>
      <c r="BG142" s="32"/>
      <c r="BH142" s="9"/>
      <c r="BI142" s="9"/>
      <c r="BJ142" s="9"/>
      <c r="BK142" s="9"/>
      <c r="BL142" s="31"/>
      <c r="BM142" s="13"/>
      <c r="BN142" s="32"/>
      <c r="BO142" s="9"/>
      <c r="BP142" s="9"/>
      <c r="BQ142" s="9"/>
      <c r="BR142" s="9"/>
      <c r="BS142" s="31"/>
      <c r="BT142" s="13"/>
      <c r="BU142" s="32"/>
      <c r="BV142" s="9"/>
      <c r="BW142" s="9"/>
      <c r="BX142" s="9"/>
      <c r="BY142" s="9"/>
      <c r="BZ142" s="31"/>
      <c r="CA142" s="13"/>
      <c r="CB142" s="32"/>
      <c r="CC142" s="9"/>
      <c r="CD142" s="9"/>
      <c r="CE142" s="9"/>
      <c r="CF142" s="9"/>
      <c r="CG142" s="31"/>
      <c r="CH142" s="13"/>
      <c r="CI142" s="32"/>
      <c r="CJ142" s="9"/>
      <c r="CK142" s="9"/>
      <c r="CL142" s="9"/>
      <c r="CM142" s="9"/>
      <c r="CN142" s="31"/>
      <c r="CO142" s="13"/>
      <c r="CP142" s="32"/>
      <c r="CQ142" s="9"/>
    </row>
    <row r="143" spans="1:15" ht="12.75">
      <c r="A143" s="1"/>
      <c r="M143" s="36"/>
      <c r="O143" s="3"/>
    </row>
    <row r="144" spans="10:16" ht="12.75">
      <c r="J144" s="60"/>
      <c r="K144" s="50"/>
      <c r="L144" s="50"/>
      <c r="M144" s="67"/>
      <c r="N144" s="50"/>
      <c r="O144" s="52"/>
      <c r="P144" s="50"/>
    </row>
    <row r="145" spans="1:16" ht="12.75">
      <c r="A145" s="1"/>
      <c r="E145" s="2"/>
      <c r="G145" s="2"/>
      <c r="J145" s="60"/>
      <c r="K145" s="50"/>
      <c r="L145" s="50"/>
      <c r="M145" s="67"/>
      <c r="N145" s="50"/>
      <c r="O145" s="52"/>
      <c r="P145" s="50"/>
    </row>
    <row r="146" spans="10:16" ht="12.75">
      <c r="J146" s="50"/>
      <c r="K146" s="61"/>
      <c r="L146" s="61"/>
      <c r="M146" s="68"/>
      <c r="N146" s="61"/>
      <c r="O146" s="49"/>
      <c r="P146" s="61"/>
    </row>
    <row r="147" spans="1:16" s="1" customFormat="1" ht="12.75">
      <c r="A147"/>
      <c r="D147" s="5"/>
      <c r="E147" s="6"/>
      <c r="F147" s="4"/>
      <c r="G147" s="6"/>
      <c r="J147" s="61"/>
      <c r="K147" s="50"/>
      <c r="L147" s="50"/>
      <c r="M147" s="67"/>
      <c r="N147" s="50"/>
      <c r="O147" s="52"/>
      <c r="P147" s="50"/>
    </row>
    <row r="148" spans="1:16" ht="12.75">
      <c r="A148" s="1"/>
      <c r="J148" s="50"/>
      <c r="K148" s="50"/>
      <c r="L148" s="50"/>
      <c r="M148" s="67"/>
      <c r="N148" s="62"/>
      <c r="O148" s="52"/>
      <c r="P148" s="62"/>
    </row>
    <row r="149" spans="10:16" ht="12.75">
      <c r="J149" s="50"/>
      <c r="K149" s="50"/>
      <c r="L149" s="50"/>
      <c r="M149" s="67"/>
      <c r="N149" s="62"/>
      <c r="O149" s="52"/>
      <c r="P149" s="62"/>
    </row>
    <row r="150" spans="10:16" ht="12.75">
      <c r="J150" s="50"/>
      <c r="K150" s="50"/>
      <c r="L150" s="50"/>
      <c r="M150" s="67"/>
      <c r="N150" s="62"/>
      <c r="O150" s="52"/>
      <c r="P150" s="62"/>
    </row>
    <row r="151" spans="10:16" ht="12.75">
      <c r="J151" s="50"/>
      <c r="K151" s="50"/>
      <c r="L151" s="50"/>
      <c r="M151" s="67"/>
      <c r="N151" s="62"/>
      <c r="O151" s="52"/>
      <c r="P151" s="62"/>
    </row>
    <row r="152" spans="10:16" ht="12.75">
      <c r="J152" s="50"/>
      <c r="K152" s="50"/>
      <c r="L152" s="50"/>
      <c r="M152" s="67"/>
      <c r="N152" s="62"/>
      <c r="O152" s="52"/>
      <c r="P152" s="62"/>
    </row>
    <row r="153" spans="10:16" ht="12.75">
      <c r="J153" s="50"/>
      <c r="K153" s="50"/>
      <c r="L153" s="50"/>
      <c r="M153" s="67"/>
      <c r="N153" s="62"/>
      <c r="O153" s="52"/>
      <c r="P153" s="62"/>
    </row>
    <row r="154" spans="10:16" ht="12.75">
      <c r="J154" s="50"/>
      <c r="K154" s="50"/>
      <c r="L154" s="50"/>
      <c r="M154" s="67"/>
      <c r="N154" s="62"/>
      <c r="O154" s="52"/>
      <c r="P154" s="62"/>
    </row>
    <row r="155" spans="10:16" ht="12.75">
      <c r="J155" s="50"/>
      <c r="K155" s="50"/>
      <c r="L155" s="50"/>
      <c r="M155" s="67"/>
      <c r="N155" s="62"/>
      <c r="O155" s="52"/>
      <c r="P155" s="62"/>
    </row>
    <row r="156" spans="10:16" ht="12.75">
      <c r="J156" s="50"/>
      <c r="K156" s="50"/>
      <c r="L156" s="50"/>
      <c r="M156" s="67"/>
      <c r="N156" s="62"/>
      <c r="O156" s="52"/>
      <c r="P156" s="62"/>
    </row>
    <row r="157" spans="10:16" ht="12.75">
      <c r="J157" s="50"/>
      <c r="K157" s="50"/>
      <c r="L157" s="50"/>
      <c r="M157" s="67"/>
      <c r="N157" s="50"/>
      <c r="O157" s="52"/>
      <c r="P157" s="50"/>
    </row>
    <row r="158" spans="10:16" ht="12.75">
      <c r="J158" s="50"/>
      <c r="K158" s="61"/>
      <c r="L158" s="61"/>
      <c r="M158" s="68"/>
      <c r="N158" s="61"/>
      <c r="O158" s="49"/>
      <c r="P158" s="63"/>
    </row>
  </sheetData>
  <mergeCells count="26">
    <mergeCell ref="AG1:AM1"/>
    <mergeCell ref="AG3:AM3"/>
    <mergeCell ref="A1:G1"/>
    <mergeCell ref="A3:G3"/>
    <mergeCell ref="J1:P1"/>
    <mergeCell ref="J3:P3"/>
    <mergeCell ref="Y1:AF1"/>
    <mergeCell ref="Y3:AF3"/>
    <mergeCell ref="R1:X1"/>
    <mergeCell ref="R3:X3"/>
    <mergeCell ref="AU1:BA1"/>
    <mergeCell ref="AU3:BA3"/>
    <mergeCell ref="AN1:AT1"/>
    <mergeCell ref="AN3:AT3"/>
    <mergeCell ref="BI1:BO1"/>
    <mergeCell ref="BI3:BO3"/>
    <mergeCell ref="BB1:BH1"/>
    <mergeCell ref="BB3:BH3"/>
    <mergeCell ref="BW1:CC1"/>
    <mergeCell ref="BW3:CC3"/>
    <mergeCell ref="BP1:BV1"/>
    <mergeCell ref="BP3:BV3"/>
    <mergeCell ref="CK1:CQ1"/>
    <mergeCell ref="CK3:CQ3"/>
    <mergeCell ref="CD1:CJ1"/>
    <mergeCell ref="CD3:CJ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10" r:id="rId1"/>
  <colBreaks count="1" manualBreakCount="1">
    <brk id="81" max="1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R166"/>
  <sheetViews>
    <sheetView view="pageBreakPreview" zoomScale="60" workbookViewId="0" topLeftCell="CD1">
      <selection activeCell="CL1" sqref="CL1:CR1"/>
    </sheetView>
  </sheetViews>
  <sheetFormatPr defaultColWidth="9.140625" defaultRowHeight="12.75"/>
  <cols>
    <col min="3" max="3" width="24.00390625" style="0" customWidth="1"/>
    <col min="4" max="4" width="30.57421875" style="0" customWidth="1"/>
    <col min="5" max="5" width="11.57421875" style="0" customWidth="1"/>
    <col min="6" max="6" width="16.7109375" style="3" customWidth="1"/>
    <col min="7" max="7" width="17.57421875" style="0" customWidth="1"/>
    <col min="10" max="10" width="28.8515625" style="0" customWidth="1"/>
    <col min="11" max="11" width="13.421875" style="0" customWidth="1"/>
    <col min="12" max="12" width="16.00390625" style="0" customWidth="1"/>
    <col min="13" max="13" width="13.00390625" style="0" customWidth="1"/>
    <col min="14" max="14" width="21.140625" style="0" customWidth="1"/>
    <col min="15" max="15" width="12.00390625" style="0" bestFit="1" customWidth="1"/>
    <col min="18" max="18" width="30.140625" style="0" customWidth="1"/>
    <col min="19" max="19" width="12.28125" style="0" customWidth="1"/>
    <col min="20" max="20" width="12.7109375" style="0" customWidth="1"/>
    <col min="21" max="21" width="14.57421875" style="0" customWidth="1"/>
    <col min="24" max="24" width="12.28125" style="0" customWidth="1"/>
    <col min="26" max="26" width="37.7109375" style="0" customWidth="1"/>
    <col min="27" max="27" width="12.7109375" style="0" customWidth="1"/>
    <col min="28" max="28" width="14.140625" style="0" bestFit="1" customWidth="1"/>
    <col min="29" max="29" width="13.421875" style="0" bestFit="1" customWidth="1"/>
    <col min="31" max="31" width="13.140625" style="0" customWidth="1"/>
    <col min="34" max="34" width="32.28125" style="0" customWidth="1"/>
    <col min="35" max="35" width="19.00390625" style="0" customWidth="1"/>
    <col min="36" max="36" width="14.140625" style="0" bestFit="1" customWidth="1"/>
    <col min="37" max="37" width="13.421875" style="0" bestFit="1" customWidth="1"/>
    <col min="41" max="41" width="30.7109375" style="0" customWidth="1"/>
    <col min="42" max="42" width="15.28125" style="0" customWidth="1"/>
    <col min="43" max="43" width="15.57421875" style="0" customWidth="1"/>
    <col min="44" max="44" width="19.8515625" style="0" customWidth="1"/>
    <col min="46" max="46" width="5.8515625" style="0" customWidth="1"/>
    <col min="48" max="48" width="30.421875" style="0" customWidth="1"/>
    <col min="49" max="49" width="16.00390625" style="0" customWidth="1"/>
    <col min="50" max="50" width="16.28125" style="0" customWidth="1"/>
    <col min="51" max="51" width="14.421875" style="0" customWidth="1"/>
    <col min="55" max="55" width="30.8515625" style="0" customWidth="1"/>
    <col min="56" max="56" width="17.28125" style="0" customWidth="1"/>
    <col min="57" max="57" width="17.00390625" style="0" customWidth="1"/>
    <col min="58" max="58" width="13.421875" style="0" bestFit="1" customWidth="1"/>
    <col min="62" max="62" width="32.57421875" style="0" customWidth="1"/>
    <col min="63" max="63" width="18.140625" style="0" customWidth="1"/>
    <col min="64" max="64" width="14.140625" style="0" bestFit="1" customWidth="1"/>
    <col min="65" max="65" width="19.421875" style="0" customWidth="1"/>
    <col min="69" max="69" width="30.8515625" style="0" customWidth="1"/>
    <col min="70" max="70" width="16.57421875" style="0" customWidth="1"/>
    <col min="71" max="71" width="15.140625" style="0" customWidth="1"/>
    <col min="72" max="72" width="16.00390625" style="0" customWidth="1"/>
    <col min="76" max="76" width="32.421875" style="0" customWidth="1"/>
    <col min="77" max="77" width="20.140625" style="0" customWidth="1"/>
    <col min="78" max="78" width="16.57421875" style="0" customWidth="1"/>
    <col min="79" max="79" width="18.8515625" style="0" customWidth="1"/>
    <col min="80" max="80" width="13.421875" style="0" customWidth="1"/>
    <col min="83" max="84" width="21.57421875" style="0" customWidth="1"/>
    <col min="85" max="85" width="18.7109375" style="0" customWidth="1"/>
    <col min="86" max="86" width="17.7109375" style="0" customWidth="1"/>
    <col min="90" max="90" width="30.8515625" style="0" customWidth="1"/>
    <col min="91" max="91" width="18.8515625" style="0" customWidth="1"/>
    <col min="92" max="92" width="21.00390625" style="0" customWidth="1"/>
    <col min="93" max="93" width="18.140625" style="0" customWidth="1"/>
  </cols>
  <sheetData>
    <row r="1" spans="1:96" ht="33.75">
      <c r="A1" s="107" t="s">
        <v>109</v>
      </c>
      <c r="B1" s="107"/>
      <c r="C1" s="107"/>
      <c r="D1" s="107"/>
      <c r="E1" s="107"/>
      <c r="F1" s="107"/>
      <c r="G1" s="107"/>
      <c r="H1" s="9"/>
      <c r="I1" s="9"/>
      <c r="J1" s="107" t="s">
        <v>109</v>
      </c>
      <c r="K1" s="107"/>
      <c r="L1" s="107"/>
      <c r="M1" s="107"/>
      <c r="N1" s="107"/>
      <c r="O1" s="107"/>
      <c r="P1" s="107"/>
      <c r="Q1" s="9"/>
      <c r="R1" s="107" t="s">
        <v>109</v>
      </c>
      <c r="S1" s="107"/>
      <c r="T1" s="107"/>
      <c r="U1" s="107"/>
      <c r="V1" s="107"/>
      <c r="W1" s="107"/>
      <c r="X1" s="107"/>
      <c r="Y1" s="9"/>
      <c r="Z1" s="107" t="s">
        <v>109</v>
      </c>
      <c r="AA1" s="107"/>
      <c r="AB1" s="107"/>
      <c r="AC1" s="107"/>
      <c r="AD1" s="107"/>
      <c r="AE1" s="107"/>
      <c r="AF1" s="107"/>
      <c r="AG1" s="9"/>
      <c r="AH1" s="107" t="s">
        <v>109</v>
      </c>
      <c r="AI1" s="107"/>
      <c r="AJ1" s="107"/>
      <c r="AK1" s="107"/>
      <c r="AL1" s="107"/>
      <c r="AM1" s="107"/>
      <c r="AN1" s="107"/>
      <c r="AO1" s="107" t="s">
        <v>109</v>
      </c>
      <c r="AP1" s="107"/>
      <c r="AQ1" s="107"/>
      <c r="AR1" s="107"/>
      <c r="AS1" s="107"/>
      <c r="AT1" s="107"/>
      <c r="AU1" s="107"/>
      <c r="AV1" s="107" t="s">
        <v>109</v>
      </c>
      <c r="AW1" s="107"/>
      <c r="AX1" s="107"/>
      <c r="AY1" s="107"/>
      <c r="AZ1" s="107"/>
      <c r="BA1" s="107"/>
      <c r="BB1" s="107"/>
      <c r="BC1" s="107" t="s">
        <v>109</v>
      </c>
      <c r="BD1" s="107"/>
      <c r="BE1" s="107"/>
      <c r="BF1" s="107"/>
      <c r="BG1" s="107"/>
      <c r="BH1" s="107"/>
      <c r="BI1" s="107"/>
      <c r="BJ1" s="107" t="s">
        <v>109</v>
      </c>
      <c r="BK1" s="107"/>
      <c r="BL1" s="107"/>
      <c r="BM1" s="107"/>
      <c r="BN1" s="107"/>
      <c r="BO1" s="107"/>
      <c r="BP1" s="107"/>
      <c r="BQ1" s="107" t="s">
        <v>109</v>
      </c>
      <c r="BR1" s="107"/>
      <c r="BS1" s="107"/>
      <c r="BT1" s="107"/>
      <c r="BU1" s="107"/>
      <c r="BV1" s="107"/>
      <c r="BW1" s="107"/>
      <c r="BX1" s="107" t="s">
        <v>109</v>
      </c>
      <c r="BY1" s="107"/>
      <c r="BZ1" s="107"/>
      <c r="CA1" s="107"/>
      <c r="CB1" s="107"/>
      <c r="CC1" s="107"/>
      <c r="CD1" s="107"/>
      <c r="CE1" s="107" t="s">
        <v>109</v>
      </c>
      <c r="CF1" s="107"/>
      <c r="CG1" s="107"/>
      <c r="CH1" s="107"/>
      <c r="CI1" s="107"/>
      <c r="CJ1" s="107"/>
      <c r="CK1" s="107"/>
      <c r="CL1" s="107" t="s">
        <v>109</v>
      </c>
      <c r="CM1" s="107"/>
      <c r="CN1" s="107"/>
      <c r="CO1" s="107"/>
      <c r="CP1" s="107"/>
      <c r="CQ1" s="107"/>
      <c r="CR1" s="107"/>
    </row>
    <row r="2" spans="1:96" ht="12.75">
      <c r="A2" s="9"/>
      <c r="B2" s="9"/>
      <c r="C2" s="9"/>
      <c r="D2" s="9"/>
      <c r="E2" s="9"/>
      <c r="F2" s="11"/>
      <c r="G2" s="9"/>
      <c r="H2" s="9"/>
      <c r="I2" s="9"/>
      <c r="J2" s="9"/>
      <c r="K2" s="9"/>
      <c r="L2" s="9"/>
      <c r="M2" s="9"/>
      <c r="N2" s="9"/>
      <c r="O2" s="11"/>
      <c r="P2" s="9"/>
      <c r="Q2" s="9"/>
      <c r="R2" s="9"/>
      <c r="S2" s="9"/>
      <c r="T2" s="9"/>
      <c r="U2" s="9"/>
      <c r="V2" s="9"/>
      <c r="W2" s="11"/>
      <c r="X2" s="9"/>
      <c r="Y2" s="9"/>
      <c r="Z2" s="9"/>
      <c r="AA2" s="9"/>
      <c r="AB2" s="9"/>
      <c r="AC2" s="9"/>
      <c r="AD2" s="9"/>
      <c r="AE2" s="11"/>
      <c r="AF2" s="9"/>
      <c r="AG2" s="9"/>
      <c r="AH2" s="9"/>
      <c r="AI2" s="9"/>
      <c r="AJ2" s="9"/>
      <c r="AK2" s="9"/>
      <c r="AL2" s="9"/>
      <c r="AM2" s="11"/>
      <c r="AN2" s="9"/>
      <c r="AO2" s="9"/>
      <c r="AP2" s="9"/>
      <c r="AQ2" s="9"/>
      <c r="AR2" s="9"/>
      <c r="AS2" s="9"/>
      <c r="AT2" s="11"/>
      <c r="AU2" s="9"/>
      <c r="AV2" s="9"/>
      <c r="AW2" s="9"/>
      <c r="AX2" s="9"/>
      <c r="AY2" s="9"/>
      <c r="AZ2" s="9"/>
      <c r="BA2" s="11"/>
      <c r="BB2" s="9"/>
      <c r="BC2" s="9"/>
      <c r="BD2" s="9"/>
      <c r="BE2" s="9"/>
      <c r="BF2" s="9"/>
      <c r="BG2" s="9"/>
      <c r="BH2" s="11"/>
      <c r="BI2" s="9"/>
      <c r="BJ2" s="9"/>
      <c r="BK2" s="9"/>
      <c r="BL2" s="9"/>
      <c r="BM2" s="9"/>
      <c r="BN2" s="9"/>
      <c r="BO2" s="11"/>
      <c r="BP2" s="9"/>
      <c r="BQ2" s="9"/>
      <c r="BR2" s="9"/>
      <c r="BS2" s="9"/>
      <c r="BT2" s="9"/>
      <c r="BU2" s="9"/>
      <c r="BV2" s="11"/>
      <c r="BW2" s="9"/>
      <c r="BX2" s="9"/>
      <c r="BY2" s="9"/>
      <c r="BZ2" s="9"/>
      <c r="CA2" s="9"/>
      <c r="CB2" s="9"/>
      <c r="CC2" s="11"/>
      <c r="CD2" s="9"/>
      <c r="CE2" s="9"/>
      <c r="CF2" s="9"/>
      <c r="CG2" s="9"/>
      <c r="CH2" s="9"/>
      <c r="CI2" s="9"/>
      <c r="CJ2" s="11"/>
      <c r="CK2" s="9"/>
      <c r="CL2" s="9"/>
      <c r="CM2" s="9"/>
      <c r="CN2" s="9"/>
      <c r="CO2" s="9"/>
      <c r="CP2" s="9"/>
      <c r="CQ2" s="11"/>
      <c r="CR2" s="9"/>
    </row>
    <row r="3" spans="1:96" ht="18">
      <c r="A3" s="108" t="s">
        <v>134</v>
      </c>
      <c r="B3" s="108"/>
      <c r="C3" s="108"/>
      <c r="D3" s="108"/>
      <c r="E3" s="108"/>
      <c r="F3" s="108"/>
      <c r="G3" s="108"/>
      <c r="H3" s="9"/>
      <c r="I3" s="9"/>
      <c r="J3" s="108" t="s">
        <v>136</v>
      </c>
      <c r="K3" s="108"/>
      <c r="L3" s="108"/>
      <c r="M3" s="108"/>
      <c r="N3" s="108"/>
      <c r="O3" s="108"/>
      <c r="P3" s="108"/>
      <c r="Q3" s="9"/>
      <c r="R3" s="108" t="s">
        <v>145</v>
      </c>
      <c r="S3" s="108"/>
      <c r="T3" s="108"/>
      <c r="U3" s="108"/>
      <c r="V3" s="108"/>
      <c r="W3" s="108"/>
      <c r="X3" s="108"/>
      <c r="Y3" s="9"/>
      <c r="Z3" s="108" t="s">
        <v>147</v>
      </c>
      <c r="AA3" s="108"/>
      <c r="AB3" s="108"/>
      <c r="AC3" s="108"/>
      <c r="AD3" s="108"/>
      <c r="AE3" s="108"/>
      <c r="AF3" s="108"/>
      <c r="AG3" s="9"/>
      <c r="AH3" s="108" t="s">
        <v>149</v>
      </c>
      <c r="AI3" s="108"/>
      <c r="AJ3" s="108"/>
      <c r="AK3" s="108"/>
      <c r="AL3" s="108"/>
      <c r="AM3" s="108"/>
      <c r="AN3" s="108"/>
      <c r="AO3" s="108" t="s">
        <v>151</v>
      </c>
      <c r="AP3" s="108"/>
      <c r="AQ3" s="108"/>
      <c r="AR3" s="108"/>
      <c r="AS3" s="108"/>
      <c r="AT3" s="108"/>
      <c r="AU3" s="108"/>
      <c r="AV3" s="108" t="s">
        <v>153</v>
      </c>
      <c r="AW3" s="108"/>
      <c r="AX3" s="108"/>
      <c r="AY3" s="108"/>
      <c r="AZ3" s="108"/>
      <c r="BA3" s="108"/>
      <c r="BB3" s="108"/>
      <c r="BC3" s="108" t="s">
        <v>155</v>
      </c>
      <c r="BD3" s="108"/>
      <c r="BE3" s="108"/>
      <c r="BF3" s="108"/>
      <c r="BG3" s="108"/>
      <c r="BH3" s="108"/>
      <c r="BI3" s="108"/>
      <c r="BJ3" s="108" t="s">
        <v>157</v>
      </c>
      <c r="BK3" s="108"/>
      <c r="BL3" s="108"/>
      <c r="BM3" s="108"/>
      <c r="BN3" s="108"/>
      <c r="BO3" s="108"/>
      <c r="BP3" s="108"/>
      <c r="BQ3" s="108" t="s">
        <v>159</v>
      </c>
      <c r="BR3" s="108"/>
      <c r="BS3" s="108"/>
      <c r="BT3" s="108"/>
      <c r="BU3" s="108"/>
      <c r="BV3" s="108"/>
      <c r="BW3" s="108"/>
      <c r="BX3" s="108" t="s">
        <v>161</v>
      </c>
      <c r="BY3" s="108"/>
      <c r="BZ3" s="108"/>
      <c r="CA3" s="108"/>
      <c r="CB3" s="108"/>
      <c r="CC3" s="108"/>
      <c r="CD3" s="108"/>
      <c r="CE3" s="108" t="s">
        <v>163</v>
      </c>
      <c r="CF3" s="108"/>
      <c r="CG3" s="108"/>
      <c r="CH3" s="108"/>
      <c r="CI3" s="108"/>
      <c r="CJ3" s="108"/>
      <c r="CK3" s="108"/>
      <c r="CL3" s="108" t="s">
        <v>165</v>
      </c>
      <c r="CM3" s="108"/>
      <c r="CN3" s="108"/>
      <c r="CO3" s="108"/>
      <c r="CP3" s="108"/>
      <c r="CQ3" s="108"/>
      <c r="CR3" s="108"/>
    </row>
    <row r="4" spans="1:96" ht="18">
      <c r="A4" s="9"/>
      <c r="B4" s="9"/>
      <c r="C4" s="9"/>
      <c r="D4" s="11"/>
      <c r="E4" s="9"/>
      <c r="F4" s="11"/>
      <c r="G4" s="9"/>
      <c r="H4" s="9"/>
      <c r="I4" s="9"/>
      <c r="J4" s="9"/>
      <c r="K4" s="59" t="s">
        <v>135</v>
      </c>
      <c r="L4" s="9"/>
      <c r="M4" s="10"/>
      <c r="N4" s="9"/>
      <c r="O4" s="11"/>
      <c r="P4" s="9"/>
      <c r="Q4" s="9"/>
      <c r="R4" s="9"/>
      <c r="S4" s="59" t="s">
        <v>146</v>
      </c>
      <c r="T4" s="9"/>
      <c r="U4" s="10"/>
      <c r="V4" s="9"/>
      <c r="W4" s="11"/>
      <c r="X4" s="9"/>
      <c r="Y4" s="9"/>
      <c r="Z4" s="9"/>
      <c r="AA4" s="59" t="s">
        <v>148</v>
      </c>
      <c r="AB4" s="9"/>
      <c r="AC4" s="10"/>
      <c r="AD4" s="9"/>
      <c r="AE4" s="11"/>
      <c r="AF4" s="9"/>
      <c r="AG4" s="9"/>
      <c r="AH4" s="9"/>
      <c r="AI4" s="59" t="s">
        <v>150</v>
      </c>
      <c r="AJ4" s="9"/>
      <c r="AK4" s="10"/>
      <c r="AL4" s="9"/>
      <c r="AM4" s="11"/>
      <c r="AN4" s="9"/>
      <c r="AO4" s="9"/>
      <c r="AP4" s="59" t="s">
        <v>152</v>
      </c>
      <c r="AQ4" s="9"/>
      <c r="AR4" s="10"/>
      <c r="AS4" s="9"/>
      <c r="AT4" s="11"/>
      <c r="AU4" s="9"/>
      <c r="AV4" s="9"/>
      <c r="AW4" s="59" t="s">
        <v>154</v>
      </c>
      <c r="AX4" s="9"/>
      <c r="AY4" s="10"/>
      <c r="AZ4" s="9"/>
      <c r="BA4" s="11"/>
      <c r="BB4" s="9"/>
      <c r="BC4" s="9"/>
      <c r="BD4" s="59" t="s">
        <v>156</v>
      </c>
      <c r="BE4" s="9"/>
      <c r="BF4" s="10"/>
      <c r="BG4" s="9"/>
      <c r="BH4" s="11"/>
      <c r="BI4" s="9"/>
      <c r="BJ4" s="9"/>
      <c r="BK4" s="59" t="s">
        <v>158</v>
      </c>
      <c r="BL4" s="9"/>
      <c r="BM4" s="10"/>
      <c r="BN4" s="9"/>
      <c r="BO4" s="11"/>
      <c r="BP4" s="9"/>
      <c r="BQ4" s="9"/>
      <c r="BR4" s="59" t="s">
        <v>160</v>
      </c>
      <c r="BS4" s="9"/>
      <c r="BT4" s="10"/>
      <c r="BU4" s="9"/>
      <c r="BV4" s="11"/>
      <c r="BW4" s="9"/>
      <c r="BX4" s="9"/>
      <c r="BY4" s="59" t="s">
        <v>162</v>
      </c>
      <c r="BZ4" s="9"/>
      <c r="CA4" s="10"/>
      <c r="CB4" s="9"/>
      <c r="CC4" s="11"/>
      <c r="CD4" s="9"/>
      <c r="CE4" s="9"/>
      <c r="CF4" s="59" t="s">
        <v>164</v>
      </c>
      <c r="CG4" s="9"/>
      <c r="CH4" s="10"/>
      <c r="CI4" s="9"/>
      <c r="CJ4" s="11"/>
      <c r="CK4" s="9"/>
      <c r="CL4" s="9"/>
      <c r="CM4" s="59" t="s">
        <v>166</v>
      </c>
      <c r="CN4" s="9"/>
      <c r="CO4" s="10"/>
      <c r="CP4" s="9"/>
      <c r="CQ4" s="11"/>
      <c r="CR4" s="9"/>
    </row>
    <row r="5" spans="1:96" ht="12.75">
      <c r="A5" s="9"/>
      <c r="B5" s="9"/>
      <c r="C5" s="9"/>
      <c r="D5" s="11"/>
      <c r="E5" s="9"/>
      <c r="F5" s="11"/>
      <c r="G5" s="9"/>
      <c r="H5" s="9"/>
      <c r="I5" s="9"/>
      <c r="J5" s="9"/>
      <c r="K5" s="9"/>
      <c r="L5" s="9"/>
      <c r="M5" s="11"/>
      <c r="N5" s="9"/>
      <c r="O5" s="11"/>
      <c r="P5" s="9"/>
      <c r="Q5" s="9"/>
      <c r="R5" s="9"/>
      <c r="S5" s="9"/>
      <c r="T5" s="9"/>
      <c r="U5" s="11"/>
      <c r="V5" s="9"/>
      <c r="W5" s="11"/>
      <c r="X5" s="9"/>
      <c r="Y5" s="9"/>
      <c r="Z5" s="9"/>
      <c r="AA5" s="9"/>
      <c r="AB5" s="9"/>
      <c r="AC5" s="11"/>
      <c r="AD5" s="9"/>
      <c r="AE5" s="11"/>
      <c r="AF5" s="9"/>
      <c r="AG5" s="9"/>
      <c r="AH5" s="9"/>
      <c r="AI5" s="9"/>
      <c r="AJ5" s="9"/>
      <c r="AK5" s="11"/>
      <c r="AL5" s="9"/>
      <c r="AM5" s="11"/>
      <c r="AN5" s="9"/>
      <c r="AO5" s="9"/>
      <c r="AP5" s="9"/>
      <c r="AQ5" s="9"/>
      <c r="AR5" s="11"/>
      <c r="AS5" s="9"/>
      <c r="AT5" s="11"/>
      <c r="AU5" s="9"/>
      <c r="AV5" s="9"/>
      <c r="AW5" s="9"/>
      <c r="AX5" s="9"/>
      <c r="AY5" s="11"/>
      <c r="AZ5" s="9"/>
      <c r="BA5" s="11"/>
      <c r="BB5" s="9"/>
      <c r="BC5" s="9"/>
      <c r="BD5" s="9"/>
      <c r="BE5" s="9"/>
      <c r="BF5" s="11"/>
      <c r="BG5" s="9"/>
      <c r="BH5" s="11"/>
      <c r="BI5" s="9"/>
      <c r="BJ5" s="9"/>
      <c r="BK5" s="9"/>
      <c r="BL5" s="9"/>
      <c r="BM5" s="11"/>
      <c r="BN5" s="9"/>
      <c r="BO5" s="11"/>
      <c r="BP5" s="9"/>
      <c r="BQ5" s="9"/>
      <c r="BR5" s="9"/>
      <c r="BS5" s="9"/>
      <c r="BT5" s="11"/>
      <c r="BU5" s="9"/>
      <c r="BV5" s="11"/>
      <c r="BW5" s="9"/>
      <c r="BX5" s="9"/>
      <c r="BY5" s="9"/>
      <c r="BZ5" s="9"/>
      <c r="CA5" s="11"/>
      <c r="CB5" s="9"/>
      <c r="CC5" s="11"/>
      <c r="CD5" s="9"/>
      <c r="CE5" s="9"/>
      <c r="CF5" s="9"/>
      <c r="CG5" s="9"/>
      <c r="CH5" s="11"/>
      <c r="CI5" s="9"/>
      <c r="CJ5" s="11"/>
      <c r="CK5" s="9"/>
      <c r="CL5" s="9"/>
      <c r="CM5" s="9"/>
      <c r="CN5" s="9"/>
      <c r="CO5" s="11"/>
      <c r="CP5" s="9"/>
      <c r="CQ5" s="11"/>
      <c r="CR5" s="9"/>
    </row>
    <row r="6" spans="1:96" ht="12.75">
      <c r="A6" s="13" t="s">
        <v>137</v>
      </c>
      <c r="B6" s="9"/>
      <c r="C6" s="9"/>
      <c r="D6" s="11"/>
      <c r="E6" s="9"/>
      <c r="F6" s="11"/>
      <c r="G6" s="9"/>
      <c r="H6" s="9"/>
      <c r="I6" s="9"/>
      <c r="J6" s="13" t="s">
        <v>137</v>
      </c>
      <c r="K6" s="9"/>
      <c r="L6" s="9"/>
      <c r="M6" s="11"/>
      <c r="N6" s="9"/>
      <c r="O6" s="11"/>
      <c r="P6" s="9"/>
      <c r="Q6" s="9"/>
      <c r="R6" s="13" t="s">
        <v>137</v>
      </c>
      <c r="S6" s="9"/>
      <c r="T6" s="9"/>
      <c r="U6" s="11"/>
      <c r="V6" s="9"/>
      <c r="W6" s="11"/>
      <c r="X6" s="9"/>
      <c r="Y6" s="9"/>
      <c r="Z6" s="13" t="s">
        <v>137</v>
      </c>
      <c r="AA6" s="9"/>
      <c r="AB6" s="9"/>
      <c r="AC6" s="11"/>
      <c r="AD6" s="9"/>
      <c r="AE6" s="11"/>
      <c r="AF6" s="9"/>
      <c r="AG6" s="9"/>
      <c r="AH6" s="13" t="s">
        <v>137</v>
      </c>
      <c r="AI6" s="9"/>
      <c r="AJ6" s="9"/>
      <c r="AK6" s="11"/>
      <c r="AL6" s="9"/>
      <c r="AM6" s="11"/>
      <c r="AN6" s="9"/>
      <c r="AO6" s="13" t="s">
        <v>137</v>
      </c>
      <c r="AP6" s="9"/>
      <c r="AQ6" s="9"/>
      <c r="AR6" s="11"/>
      <c r="AS6" s="9"/>
      <c r="AT6" s="11"/>
      <c r="AU6" s="9"/>
      <c r="AV6" s="13" t="s">
        <v>137</v>
      </c>
      <c r="AW6" s="9"/>
      <c r="AX6" s="9"/>
      <c r="AY6" s="11"/>
      <c r="AZ6" s="9"/>
      <c r="BA6" s="11"/>
      <c r="BB6" s="9"/>
      <c r="BC6" s="13" t="s">
        <v>137</v>
      </c>
      <c r="BD6" s="9"/>
      <c r="BE6" s="9"/>
      <c r="BF6" s="11"/>
      <c r="BG6" s="9"/>
      <c r="BH6" s="11"/>
      <c r="BI6" s="9"/>
      <c r="BJ6" s="13" t="s">
        <v>137</v>
      </c>
      <c r="BK6" s="9"/>
      <c r="BL6" s="9"/>
      <c r="BM6" s="11"/>
      <c r="BN6" s="9"/>
      <c r="BO6" s="11"/>
      <c r="BP6" s="9"/>
      <c r="BQ6" s="13" t="s">
        <v>137</v>
      </c>
      <c r="BR6" s="9"/>
      <c r="BS6" s="9"/>
      <c r="BT6" s="11"/>
      <c r="BU6" s="9"/>
      <c r="BV6" s="11"/>
      <c r="BW6" s="9"/>
      <c r="BX6" s="13" t="s">
        <v>137</v>
      </c>
      <c r="BY6" s="9"/>
      <c r="BZ6" s="9"/>
      <c r="CA6" s="11"/>
      <c r="CB6" s="9"/>
      <c r="CC6" s="11"/>
      <c r="CD6" s="9"/>
      <c r="CE6" s="13" t="s">
        <v>137</v>
      </c>
      <c r="CF6" s="9"/>
      <c r="CG6" s="9"/>
      <c r="CH6" s="11"/>
      <c r="CI6" s="9"/>
      <c r="CJ6" s="11"/>
      <c r="CK6" s="9"/>
      <c r="CL6" s="13" t="s">
        <v>137</v>
      </c>
      <c r="CM6" s="9"/>
      <c r="CN6" s="9"/>
      <c r="CO6" s="11"/>
      <c r="CP6" s="9"/>
      <c r="CQ6" s="11"/>
      <c r="CR6" s="9"/>
    </row>
    <row r="7" spans="1:96" ht="12.75">
      <c r="A7" s="14" t="s">
        <v>11</v>
      </c>
      <c r="B7" s="9"/>
      <c r="C7" s="9"/>
      <c r="D7" s="11"/>
      <c r="E7" s="9"/>
      <c r="F7" s="11"/>
      <c r="G7" s="9"/>
      <c r="H7" s="9"/>
      <c r="I7" s="9"/>
      <c r="J7" s="14" t="s">
        <v>11</v>
      </c>
      <c r="K7" s="9"/>
      <c r="L7" s="9"/>
      <c r="M7" s="11"/>
      <c r="N7" s="9"/>
      <c r="O7" s="11"/>
      <c r="P7" s="9"/>
      <c r="Q7" s="9"/>
      <c r="R7" s="14" t="s">
        <v>11</v>
      </c>
      <c r="S7" s="9"/>
      <c r="T7" s="9"/>
      <c r="U7" s="11"/>
      <c r="V7" s="9"/>
      <c r="W7" s="11"/>
      <c r="X7" s="9"/>
      <c r="Y7" s="9"/>
      <c r="Z7" s="14" t="s">
        <v>11</v>
      </c>
      <c r="AA7" s="9"/>
      <c r="AB7" s="9"/>
      <c r="AC7" s="11"/>
      <c r="AD7" s="9"/>
      <c r="AE7" s="11"/>
      <c r="AF7" s="9"/>
      <c r="AG7" s="9"/>
      <c r="AH7" s="14" t="s">
        <v>11</v>
      </c>
      <c r="AI7" s="9"/>
      <c r="AJ7" s="9"/>
      <c r="AK7" s="11"/>
      <c r="AL7" s="9"/>
      <c r="AM7" s="11"/>
      <c r="AN7" s="9"/>
      <c r="AO7" s="14" t="s">
        <v>11</v>
      </c>
      <c r="AP7" s="9"/>
      <c r="AQ7" s="9"/>
      <c r="AR7" s="11"/>
      <c r="AS7" s="9"/>
      <c r="AT7" s="11"/>
      <c r="AU7" s="9"/>
      <c r="AV7" s="14" t="s">
        <v>11</v>
      </c>
      <c r="AW7" s="9"/>
      <c r="AX7" s="9"/>
      <c r="AY7" s="11"/>
      <c r="AZ7" s="9"/>
      <c r="BA7" s="11"/>
      <c r="BB7" s="9"/>
      <c r="BC7" s="14" t="s">
        <v>11</v>
      </c>
      <c r="BD7" s="9"/>
      <c r="BE7" s="9"/>
      <c r="BF7" s="11"/>
      <c r="BG7" s="9"/>
      <c r="BH7" s="11"/>
      <c r="BI7" s="9"/>
      <c r="BJ7" s="14" t="s">
        <v>11</v>
      </c>
      <c r="BK7" s="9"/>
      <c r="BL7" s="9"/>
      <c r="BM7" s="11"/>
      <c r="BN7" s="9"/>
      <c r="BO7" s="11"/>
      <c r="BP7" s="9"/>
      <c r="BQ7" s="14" t="s">
        <v>11</v>
      </c>
      <c r="BR7" s="9"/>
      <c r="BS7" s="9"/>
      <c r="BT7" s="11"/>
      <c r="BU7" s="9"/>
      <c r="BV7" s="11"/>
      <c r="BW7" s="9"/>
      <c r="BX7" s="14" t="s">
        <v>11</v>
      </c>
      <c r="BY7" s="9"/>
      <c r="BZ7" s="9"/>
      <c r="CA7" s="11"/>
      <c r="CB7" s="9"/>
      <c r="CC7" s="11"/>
      <c r="CD7" s="9"/>
      <c r="CE7" s="14" t="s">
        <v>11</v>
      </c>
      <c r="CF7" s="9"/>
      <c r="CG7" s="9"/>
      <c r="CH7" s="11"/>
      <c r="CI7" s="9"/>
      <c r="CJ7" s="11"/>
      <c r="CK7" s="9"/>
      <c r="CL7" s="14" t="s">
        <v>11</v>
      </c>
      <c r="CM7" s="9"/>
      <c r="CN7" s="9"/>
      <c r="CO7" s="11"/>
      <c r="CP7" s="9"/>
      <c r="CQ7" s="11"/>
      <c r="CR7" s="9"/>
    </row>
    <row r="8" spans="1:96" ht="12.75">
      <c r="A8" s="9"/>
      <c r="B8" s="9"/>
      <c r="C8" s="9"/>
      <c r="D8" s="11"/>
      <c r="E8" s="9"/>
      <c r="F8" s="11"/>
      <c r="G8" s="9"/>
      <c r="H8" s="9"/>
      <c r="I8" s="9"/>
      <c r="J8" s="9"/>
      <c r="K8" s="9"/>
      <c r="L8" s="9"/>
      <c r="M8" s="11"/>
      <c r="N8" s="9"/>
      <c r="O8" s="11"/>
      <c r="P8" s="9"/>
      <c r="Q8" s="9"/>
      <c r="R8" s="9"/>
      <c r="S8" s="9"/>
      <c r="T8" s="9"/>
      <c r="U8" s="11"/>
      <c r="V8" s="9"/>
      <c r="W8" s="11"/>
      <c r="X8" s="9"/>
      <c r="Y8" s="9"/>
      <c r="Z8" s="9"/>
      <c r="AA8" s="9"/>
      <c r="AB8" s="9"/>
      <c r="AC8" s="11"/>
      <c r="AD8" s="9"/>
      <c r="AE8" s="11"/>
      <c r="AF8" s="9"/>
      <c r="AG8" s="9"/>
      <c r="AH8" s="9"/>
      <c r="AI8" s="9"/>
      <c r="AJ8" s="9"/>
      <c r="AK8" s="11"/>
      <c r="AL8" s="9"/>
      <c r="AM8" s="11"/>
      <c r="AN8" s="9"/>
      <c r="AO8" s="9"/>
      <c r="AP8" s="9"/>
      <c r="AQ8" s="9"/>
      <c r="AR8" s="11"/>
      <c r="AS8" s="9"/>
      <c r="AT8" s="11"/>
      <c r="AU8" s="9"/>
      <c r="AV8" s="9"/>
      <c r="AW8" s="9"/>
      <c r="AX8" s="9"/>
      <c r="AY8" s="11"/>
      <c r="AZ8" s="9"/>
      <c r="BA8" s="11"/>
      <c r="BB8" s="9"/>
      <c r="BC8" s="9"/>
      <c r="BD8" s="9"/>
      <c r="BE8" s="9"/>
      <c r="BF8" s="11"/>
      <c r="BG8" s="9"/>
      <c r="BH8" s="11"/>
      <c r="BI8" s="9"/>
      <c r="BJ8" s="9"/>
      <c r="BK8" s="9"/>
      <c r="BL8" s="9"/>
      <c r="BM8" s="11"/>
      <c r="BN8" s="9"/>
      <c r="BO8" s="11"/>
      <c r="BP8" s="9"/>
      <c r="BQ8" s="9"/>
      <c r="BR8" s="9"/>
      <c r="BS8" s="9"/>
      <c r="BT8" s="11"/>
      <c r="BU8" s="9"/>
      <c r="BV8" s="11"/>
      <c r="BW8" s="9"/>
      <c r="BX8" s="9"/>
      <c r="BY8" s="9"/>
      <c r="BZ8" s="9"/>
      <c r="CA8" s="11"/>
      <c r="CB8" s="9"/>
      <c r="CC8" s="11"/>
      <c r="CD8" s="9"/>
      <c r="CE8" s="9"/>
      <c r="CF8" s="9"/>
      <c r="CG8" s="9"/>
      <c r="CH8" s="11"/>
      <c r="CI8" s="9"/>
      <c r="CJ8" s="11"/>
      <c r="CK8" s="9"/>
      <c r="CL8" s="9"/>
      <c r="CM8" s="9"/>
      <c r="CN8" s="9"/>
      <c r="CO8" s="11"/>
      <c r="CP8" s="9"/>
      <c r="CQ8" s="11"/>
      <c r="CR8" s="9"/>
    </row>
    <row r="9" spans="1:96" ht="12.75">
      <c r="A9" s="9" t="s">
        <v>141</v>
      </c>
      <c r="B9" s="9"/>
      <c r="C9" s="9"/>
      <c r="D9" s="16">
        <v>1200.704381338742</v>
      </c>
      <c r="E9" s="9"/>
      <c r="F9" s="11"/>
      <c r="G9" s="9"/>
      <c r="H9" s="9"/>
      <c r="I9" s="9"/>
      <c r="J9" s="9" t="s">
        <v>141</v>
      </c>
      <c r="K9" s="9"/>
      <c r="L9" s="9"/>
      <c r="M9" s="16">
        <v>864.6408508175373</v>
      </c>
      <c r="N9" s="9"/>
      <c r="O9" s="11"/>
      <c r="P9" s="9"/>
      <c r="Q9" s="9"/>
      <c r="R9" s="9" t="s">
        <v>141</v>
      </c>
      <c r="S9" s="9"/>
      <c r="T9" s="9"/>
      <c r="U9" s="16">
        <v>797.6392241938956</v>
      </c>
      <c r="V9" s="9"/>
      <c r="W9" s="11"/>
      <c r="X9" s="9"/>
      <c r="Y9" s="9"/>
      <c r="Z9" s="9" t="s">
        <v>141</v>
      </c>
      <c r="AA9" s="9"/>
      <c r="AB9" s="9"/>
      <c r="AC9" s="16">
        <v>851.4889522588905</v>
      </c>
      <c r="AD9" s="9"/>
      <c r="AE9" s="11"/>
      <c r="AF9" s="9"/>
      <c r="AG9" s="9"/>
      <c r="AH9" s="9" t="s">
        <v>141</v>
      </c>
      <c r="AI9" s="9"/>
      <c r="AJ9" s="9"/>
      <c r="AK9" s="16">
        <v>895.0727340089353</v>
      </c>
      <c r="AL9" s="9"/>
      <c r="AM9" s="11"/>
      <c r="AN9" s="9"/>
      <c r="AO9" s="9" t="s">
        <v>141</v>
      </c>
      <c r="AP9" s="9"/>
      <c r="AQ9" s="9"/>
      <c r="AR9" s="16">
        <v>910.7324830659539</v>
      </c>
      <c r="AS9" s="9"/>
      <c r="AT9" s="11"/>
      <c r="AU9" s="9"/>
      <c r="AV9" s="9" t="s">
        <v>141</v>
      </c>
      <c r="AW9" s="9"/>
      <c r="AX9" s="9"/>
      <c r="AY9" s="16">
        <v>963.3849906729816</v>
      </c>
      <c r="AZ9" s="9"/>
      <c r="BA9" s="11"/>
      <c r="BB9" s="9"/>
      <c r="BC9" s="9" t="s">
        <v>141</v>
      </c>
      <c r="BD9" s="9"/>
      <c r="BE9" s="9"/>
      <c r="BF9" s="16">
        <v>916.4646534098854</v>
      </c>
      <c r="BG9" s="9"/>
      <c r="BH9" s="11"/>
      <c r="BI9" s="9"/>
      <c r="BJ9" s="9" t="s">
        <v>141</v>
      </c>
      <c r="BK9" s="9"/>
      <c r="BL9" s="9"/>
      <c r="BM9" s="16">
        <v>840.3353063917518</v>
      </c>
      <c r="BN9" s="9"/>
      <c r="BO9" s="11"/>
      <c r="BP9" s="9"/>
      <c r="BQ9" s="9" t="s">
        <v>141</v>
      </c>
      <c r="BR9" s="9"/>
      <c r="BS9" s="9"/>
      <c r="BT9" s="16">
        <v>807.0569070588228</v>
      </c>
      <c r="BU9" s="9"/>
      <c r="BV9" s="11"/>
      <c r="BW9" s="9"/>
      <c r="BX9" s="9" t="s">
        <v>141</v>
      </c>
      <c r="BY9" s="9"/>
      <c r="BZ9" s="9"/>
      <c r="CA9" s="16">
        <v>807.1161265206813</v>
      </c>
      <c r="CB9" s="9"/>
      <c r="CC9" s="11"/>
      <c r="CD9" s="9"/>
      <c r="CE9" s="9" t="s">
        <v>141</v>
      </c>
      <c r="CF9" s="9"/>
      <c r="CG9" s="9"/>
      <c r="CH9" s="16">
        <v>906.1487202318226</v>
      </c>
      <c r="CI9" s="9"/>
      <c r="CJ9" s="11"/>
      <c r="CK9" s="9"/>
      <c r="CL9" s="9" t="s">
        <v>141</v>
      </c>
      <c r="CM9" s="9"/>
      <c r="CN9" s="9"/>
      <c r="CO9" s="16">
        <v>894.9389374403089</v>
      </c>
      <c r="CP9" s="9"/>
      <c r="CQ9" s="11"/>
      <c r="CR9" s="9"/>
    </row>
    <row r="10" spans="1:96" ht="12.75">
      <c r="A10" s="9" t="s">
        <v>12</v>
      </c>
      <c r="B10" s="9"/>
      <c r="C10" s="9"/>
      <c r="D10" s="17">
        <v>0.7491599865388914</v>
      </c>
      <c r="E10" s="9" t="s">
        <v>10</v>
      </c>
      <c r="F10" s="11"/>
      <c r="G10" s="9"/>
      <c r="H10" s="9"/>
      <c r="I10" s="9"/>
      <c r="J10" s="9" t="s">
        <v>12</v>
      </c>
      <c r="K10" s="9"/>
      <c r="L10" s="9"/>
      <c r="M10" s="17">
        <v>4.121422040462956</v>
      </c>
      <c r="N10" s="9" t="s">
        <v>10</v>
      </c>
      <c r="O10" s="11"/>
      <c r="P10" s="9"/>
      <c r="Q10" s="9"/>
      <c r="R10" s="9" t="s">
        <v>12</v>
      </c>
      <c r="S10" s="9"/>
      <c r="T10" s="9"/>
      <c r="U10" s="17">
        <v>5.376099917098622</v>
      </c>
      <c r="V10" s="9" t="s">
        <v>10</v>
      </c>
      <c r="W10" s="11"/>
      <c r="X10" s="9"/>
      <c r="Y10" s="9"/>
      <c r="Z10" s="9" t="s">
        <v>12</v>
      </c>
      <c r="AA10" s="9"/>
      <c r="AB10" s="9"/>
      <c r="AC10" s="17">
        <v>6.387036903118234</v>
      </c>
      <c r="AD10" s="9" t="s">
        <v>10</v>
      </c>
      <c r="AE10" s="11"/>
      <c r="AF10" s="9"/>
      <c r="AG10" s="9"/>
      <c r="AH10" s="9" t="s">
        <v>12</v>
      </c>
      <c r="AI10" s="9"/>
      <c r="AJ10" s="9"/>
      <c r="AK10" s="17">
        <v>7.372211980759188</v>
      </c>
      <c r="AL10" s="9" t="s">
        <v>10</v>
      </c>
      <c r="AM10" s="11"/>
      <c r="AN10" s="9"/>
      <c r="AO10" s="9" t="s">
        <v>12</v>
      </c>
      <c r="AP10" s="9"/>
      <c r="AQ10" s="9"/>
      <c r="AR10" s="17">
        <v>7.2238013552638085</v>
      </c>
      <c r="AS10" s="9" t="s">
        <v>10</v>
      </c>
      <c r="AT10" s="11"/>
      <c r="AU10" s="9"/>
      <c r="AV10" s="9" t="s">
        <v>12</v>
      </c>
      <c r="AW10" s="9"/>
      <c r="AX10" s="9"/>
      <c r="AY10" s="17">
        <v>6.347523894706975</v>
      </c>
      <c r="AZ10" s="9" t="s">
        <v>10</v>
      </c>
      <c r="BA10" s="11"/>
      <c r="BB10" s="9"/>
      <c r="BC10" s="9" t="s">
        <v>12</v>
      </c>
      <c r="BD10" s="9"/>
      <c r="BE10" s="9"/>
      <c r="BF10" s="17">
        <v>7.419201375430907</v>
      </c>
      <c r="BG10" s="9" t="s">
        <v>10</v>
      </c>
      <c r="BH10" s="11"/>
      <c r="BI10" s="9"/>
      <c r="BJ10" s="9" t="s">
        <v>12</v>
      </c>
      <c r="BK10" s="9"/>
      <c r="BL10" s="9"/>
      <c r="BM10" s="17">
        <v>9.33692330760631</v>
      </c>
      <c r="BN10" s="9" t="s">
        <v>10</v>
      </c>
      <c r="BO10" s="11"/>
      <c r="BP10" s="9"/>
      <c r="BQ10" s="9" t="s">
        <v>12</v>
      </c>
      <c r="BR10" s="9"/>
      <c r="BS10" s="9"/>
      <c r="BT10" s="17">
        <v>13.169796385711729</v>
      </c>
      <c r="BU10" s="9" t="s">
        <v>10</v>
      </c>
      <c r="BV10" s="11"/>
      <c r="BW10" s="9"/>
      <c r="BX10" s="9" t="s">
        <v>12</v>
      </c>
      <c r="BY10" s="9"/>
      <c r="BZ10" s="9"/>
      <c r="CA10" s="17">
        <v>16.90820863174634</v>
      </c>
      <c r="CB10" s="9" t="s">
        <v>10</v>
      </c>
      <c r="CC10" s="11"/>
      <c r="CD10" s="9"/>
      <c r="CE10" s="9" t="s">
        <v>12</v>
      </c>
      <c r="CF10" s="9"/>
      <c r="CG10" s="9"/>
      <c r="CH10" s="17">
        <v>4.540936659402298</v>
      </c>
      <c r="CI10" s="9" t="s">
        <v>10</v>
      </c>
      <c r="CJ10" s="11"/>
      <c r="CK10" s="9"/>
      <c r="CL10" s="9" t="s">
        <v>12</v>
      </c>
      <c r="CM10" s="9"/>
      <c r="CN10" s="9"/>
      <c r="CO10" s="17">
        <v>9.772674277796463</v>
      </c>
      <c r="CP10" s="9" t="s">
        <v>10</v>
      </c>
      <c r="CQ10" s="11"/>
      <c r="CR10" s="9"/>
    </row>
    <row r="11" spans="1:96" ht="12.75">
      <c r="A11" s="9" t="s">
        <v>13</v>
      </c>
      <c r="B11" s="9"/>
      <c r="C11" s="9"/>
      <c r="D11" s="18">
        <v>0.14612026621749025</v>
      </c>
      <c r="E11" s="9"/>
      <c r="F11" s="11"/>
      <c r="G11" s="9"/>
      <c r="H11" s="9"/>
      <c r="I11" s="9"/>
      <c r="J11" s="9" t="s">
        <v>13</v>
      </c>
      <c r="K11" s="9"/>
      <c r="L11" s="9"/>
      <c r="M11" s="18">
        <v>0.15042153857736343</v>
      </c>
      <c r="N11" s="9"/>
      <c r="O11" s="11"/>
      <c r="P11" s="9"/>
      <c r="Q11" s="9"/>
      <c r="R11" s="9" t="s">
        <v>13</v>
      </c>
      <c r="S11" s="9"/>
      <c r="T11" s="9"/>
      <c r="U11" s="18">
        <v>0.14550956519791383</v>
      </c>
      <c r="V11" s="9"/>
      <c r="W11" s="11"/>
      <c r="X11" s="9"/>
      <c r="Y11" s="9"/>
      <c r="Z11" s="9" t="s">
        <v>13</v>
      </c>
      <c r="AA11" s="9"/>
      <c r="AB11" s="9"/>
      <c r="AC11" s="18">
        <v>0.1413338435556048</v>
      </c>
      <c r="AD11" s="9"/>
      <c r="AE11" s="11"/>
      <c r="AF11" s="9"/>
      <c r="AG11" s="9"/>
      <c r="AH11" s="9" t="s">
        <v>13</v>
      </c>
      <c r="AI11" s="9"/>
      <c r="AJ11" s="9"/>
      <c r="AK11" s="18">
        <v>0.14169240229407426</v>
      </c>
      <c r="AL11" s="9"/>
      <c r="AM11" s="11"/>
      <c r="AN11" s="9"/>
      <c r="AO11" s="9" t="s">
        <v>13</v>
      </c>
      <c r="AP11" s="9"/>
      <c r="AQ11" s="9"/>
      <c r="AR11" s="18">
        <v>0.13743970079789053</v>
      </c>
      <c r="AS11" s="9"/>
      <c r="AT11" s="11"/>
      <c r="AU11" s="9"/>
      <c r="AV11" s="9" t="s">
        <v>13</v>
      </c>
      <c r="AW11" s="9"/>
      <c r="AX11" s="9"/>
      <c r="AY11" s="18">
        <v>0.12861547360493816</v>
      </c>
      <c r="AZ11" s="9"/>
      <c r="BA11" s="11"/>
      <c r="BB11" s="9"/>
      <c r="BC11" s="9" t="s">
        <v>13</v>
      </c>
      <c r="BD11" s="9"/>
      <c r="BE11" s="9"/>
      <c r="BF11" s="18">
        <v>0.12691955114162087</v>
      </c>
      <c r="BG11" s="9"/>
      <c r="BH11" s="11"/>
      <c r="BI11" s="9"/>
      <c r="BJ11" s="9" t="s">
        <v>13</v>
      </c>
      <c r="BK11" s="9"/>
      <c r="BL11" s="9"/>
      <c r="BM11" s="18">
        <v>0.13001631341432449</v>
      </c>
      <c r="BN11" s="9"/>
      <c r="BO11" s="11"/>
      <c r="BP11" s="9"/>
      <c r="BQ11" s="9" t="s">
        <v>13</v>
      </c>
      <c r="BR11" s="9"/>
      <c r="BS11" s="9"/>
      <c r="BT11" s="18">
        <v>0.13698217594404447</v>
      </c>
      <c r="BU11" s="9"/>
      <c r="BV11" s="11"/>
      <c r="BW11" s="9"/>
      <c r="BX11" s="9" t="s">
        <v>13</v>
      </c>
      <c r="BY11" s="9"/>
      <c r="BZ11" s="9"/>
      <c r="CA11" s="18">
        <v>0.1446755698601588</v>
      </c>
      <c r="CB11" s="9"/>
      <c r="CC11" s="11"/>
      <c r="CD11" s="9"/>
      <c r="CE11" s="9" t="s">
        <v>13</v>
      </c>
      <c r="CF11" s="9"/>
      <c r="CG11" s="9"/>
      <c r="CH11" s="18">
        <v>0.11707673744446398</v>
      </c>
      <c r="CI11" s="9"/>
      <c r="CJ11" s="11"/>
      <c r="CK11" s="9"/>
      <c r="CL11" s="9" t="s">
        <v>13</v>
      </c>
      <c r="CM11" s="9"/>
      <c r="CN11" s="9"/>
      <c r="CO11" s="18">
        <v>0.11768998465950277</v>
      </c>
      <c r="CP11" s="9"/>
      <c r="CQ11" s="11"/>
      <c r="CR11" s="9"/>
    </row>
    <row r="12" spans="1:96" ht="12.75">
      <c r="A12" s="9" t="s">
        <v>14</v>
      </c>
      <c r="B12" s="9"/>
      <c r="C12" s="9"/>
      <c r="D12" s="17">
        <v>1.7063683960816256</v>
      </c>
      <c r="E12" s="9" t="s">
        <v>77</v>
      </c>
      <c r="F12" s="11"/>
      <c r="G12" s="9"/>
      <c r="H12" s="9"/>
      <c r="I12" s="9"/>
      <c r="J12" s="9" t="s">
        <v>14</v>
      </c>
      <c r="K12" s="9"/>
      <c r="L12" s="9"/>
      <c r="M12" s="17">
        <v>1.6511914557126024</v>
      </c>
      <c r="N12" s="9" t="s">
        <v>77</v>
      </c>
      <c r="O12" s="11"/>
      <c r="P12" s="9"/>
      <c r="Q12" s="9"/>
      <c r="R12" s="9" t="s">
        <v>14</v>
      </c>
      <c r="S12" s="9"/>
      <c r="T12" s="9"/>
      <c r="U12" s="17">
        <v>1.6132972098229283</v>
      </c>
      <c r="V12" s="9" t="s">
        <v>77</v>
      </c>
      <c r="W12" s="11"/>
      <c r="X12" s="9"/>
      <c r="Y12" s="9"/>
      <c r="Z12" s="9" t="s">
        <v>14</v>
      </c>
      <c r="AA12" s="9"/>
      <c r="AB12" s="9"/>
      <c r="AC12" s="17">
        <v>1.6286109155156174</v>
      </c>
      <c r="AD12" s="9" t="s">
        <v>77</v>
      </c>
      <c r="AE12" s="11"/>
      <c r="AF12" s="9"/>
      <c r="AG12" s="9"/>
      <c r="AH12" s="9" t="s">
        <v>14</v>
      </c>
      <c r="AI12" s="9"/>
      <c r="AJ12" s="9"/>
      <c r="AK12" s="17">
        <v>1.6747395411268557</v>
      </c>
      <c r="AL12" s="9" t="s">
        <v>77</v>
      </c>
      <c r="AM12" s="11"/>
      <c r="AN12" s="9"/>
      <c r="AO12" s="9" t="s">
        <v>14</v>
      </c>
      <c r="AP12" s="9"/>
      <c r="AQ12" s="9"/>
      <c r="AR12" s="17">
        <v>1.6391485232996394</v>
      </c>
      <c r="AS12" s="9" t="s">
        <v>77</v>
      </c>
      <c r="AT12" s="11"/>
      <c r="AU12" s="9"/>
      <c r="AV12" s="9" t="s">
        <v>14</v>
      </c>
      <c r="AW12" s="9"/>
      <c r="AX12" s="9"/>
      <c r="AY12" s="17">
        <v>1.5117587123023284</v>
      </c>
      <c r="AZ12" s="9" t="s">
        <v>77</v>
      </c>
      <c r="BA12" s="11"/>
      <c r="BB12" s="9"/>
      <c r="BC12" s="9" t="s">
        <v>14</v>
      </c>
      <c r="BD12" s="9"/>
      <c r="BE12" s="9"/>
      <c r="BF12" s="17">
        <v>1.491041241240021</v>
      </c>
      <c r="BG12" s="9" t="s">
        <v>77</v>
      </c>
      <c r="BH12" s="11"/>
      <c r="BI12" s="9"/>
      <c r="BJ12" s="9" t="s">
        <v>14</v>
      </c>
      <c r="BK12" s="9"/>
      <c r="BL12" s="9"/>
      <c r="BM12" s="17">
        <v>1.4981984789801286</v>
      </c>
      <c r="BN12" s="9" t="s">
        <v>77</v>
      </c>
      <c r="BO12" s="11"/>
      <c r="BP12" s="9"/>
      <c r="BQ12" s="9" t="s">
        <v>14</v>
      </c>
      <c r="BR12" s="9"/>
      <c r="BS12" s="9"/>
      <c r="BT12" s="17">
        <v>1.5627309985745388</v>
      </c>
      <c r="BU12" s="9" t="s">
        <v>77</v>
      </c>
      <c r="BV12" s="11"/>
      <c r="BW12" s="9"/>
      <c r="BX12" s="9" t="s">
        <v>14</v>
      </c>
      <c r="BY12" s="9"/>
      <c r="BZ12" s="9"/>
      <c r="CA12" s="17">
        <v>1.5773860895290281</v>
      </c>
      <c r="CB12" s="9" t="s">
        <v>77</v>
      </c>
      <c r="CC12" s="11"/>
      <c r="CD12" s="9"/>
      <c r="CE12" s="9" t="s">
        <v>14</v>
      </c>
      <c r="CF12" s="9"/>
      <c r="CG12" s="9"/>
      <c r="CH12" s="17">
        <v>1.4285421710837027</v>
      </c>
      <c r="CI12" s="9" t="s">
        <v>77</v>
      </c>
      <c r="CJ12" s="11"/>
      <c r="CK12" s="9"/>
      <c r="CL12" s="9" t="s">
        <v>14</v>
      </c>
      <c r="CM12" s="9"/>
      <c r="CN12" s="9"/>
      <c r="CO12" s="17">
        <v>1.4458963265913571</v>
      </c>
      <c r="CP12" s="9" t="s">
        <v>77</v>
      </c>
      <c r="CQ12" s="11"/>
      <c r="CR12" s="9"/>
    </row>
    <row r="13" spans="1:96" ht="12.75">
      <c r="A13" s="9"/>
      <c r="B13" s="9"/>
      <c r="C13" s="9"/>
      <c r="D13" s="11"/>
      <c r="E13" s="9"/>
      <c r="F13" s="11"/>
      <c r="G13" s="9"/>
      <c r="H13" s="9"/>
      <c r="I13" s="9"/>
      <c r="J13" s="9"/>
      <c r="K13" s="9"/>
      <c r="L13" s="9"/>
      <c r="M13" s="11"/>
      <c r="N13" s="9"/>
      <c r="O13" s="11"/>
      <c r="P13" s="9"/>
      <c r="Q13" s="9"/>
      <c r="R13" s="9"/>
      <c r="S13" s="9"/>
      <c r="T13" s="9"/>
      <c r="U13" s="11"/>
      <c r="V13" s="9"/>
      <c r="W13" s="11"/>
      <c r="X13" s="9"/>
      <c r="Y13" s="9"/>
      <c r="Z13" s="9"/>
      <c r="AA13" s="9"/>
      <c r="AB13" s="9"/>
      <c r="AC13" s="11"/>
      <c r="AD13" s="9"/>
      <c r="AE13" s="11"/>
      <c r="AF13" s="9"/>
      <c r="AG13" s="9"/>
      <c r="AH13" s="9"/>
      <c r="AI13" s="9"/>
      <c r="AJ13" s="9"/>
      <c r="AK13" s="11"/>
      <c r="AL13" s="9"/>
      <c r="AM13" s="11"/>
      <c r="AN13" s="9"/>
      <c r="AO13" s="9"/>
      <c r="AP13" s="9"/>
      <c r="AQ13" s="9"/>
      <c r="AR13" s="11"/>
      <c r="AS13" s="9"/>
      <c r="AT13" s="11"/>
      <c r="AU13" s="9"/>
      <c r="AV13" s="9"/>
      <c r="AW13" s="9"/>
      <c r="AX13" s="9"/>
      <c r="AY13" s="11"/>
      <c r="AZ13" s="9"/>
      <c r="BA13" s="11"/>
      <c r="BB13" s="9"/>
      <c r="BC13" s="9"/>
      <c r="BD13" s="9"/>
      <c r="BE13" s="9"/>
      <c r="BF13" s="11"/>
      <c r="BG13" s="9"/>
      <c r="BH13" s="11"/>
      <c r="BI13" s="9"/>
      <c r="BJ13" s="9"/>
      <c r="BK13" s="9"/>
      <c r="BL13" s="9"/>
      <c r="BM13" s="11"/>
      <c r="BN13" s="9"/>
      <c r="BO13" s="11"/>
      <c r="BP13" s="9"/>
      <c r="BQ13" s="9"/>
      <c r="BR13" s="9"/>
      <c r="BS13" s="9"/>
      <c r="BT13" s="11"/>
      <c r="BU13" s="9"/>
      <c r="BV13" s="11"/>
      <c r="BW13" s="9"/>
      <c r="BX13" s="9"/>
      <c r="BY13" s="9"/>
      <c r="BZ13" s="9"/>
      <c r="CA13" s="11"/>
      <c r="CB13" s="9"/>
      <c r="CC13" s="11"/>
      <c r="CD13" s="9"/>
      <c r="CE13" s="9"/>
      <c r="CF13" s="9"/>
      <c r="CG13" s="9"/>
      <c r="CH13" s="11"/>
      <c r="CI13" s="9"/>
      <c r="CJ13" s="11"/>
      <c r="CK13" s="9"/>
      <c r="CL13" s="9"/>
      <c r="CM13" s="9"/>
      <c r="CN13" s="9"/>
      <c r="CO13" s="11"/>
      <c r="CP13" s="9"/>
      <c r="CQ13" s="11"/>
      <c r="CR13" s="9"/>
    </row>
    <row r="14" spans="1:96" ht="12.75">
      <c r="A14" s="9"/>
      <c r="B14" s="9"/>
      <c r="C14" s="9"/>
      <c r="D14" s="11"/>
      <c r="E14" s="9"/>
      <c r="F14" s="11"/>
      <c r="G14" s="9"/>
      <c r="H14" s="9"/>
      <c r="I14" s="9"/>
      <c r="J14" s="9"/>
      <c r="K14" s="9"/>
      <c r="L14" s="9"/>
      <c r="M14" s="11"/>
      <c r="N14" s="9"/>
      <c r="O14" s="11"/>
      <c r="P14" s="9"/>
      <c r="Q14" s="9"/>
      <c r="R14" s="9"/>
      <c r="S14" s="9"/>
      <c r="T14" s="9"/>
      <c r="U14" s="11"/>
      <c r="V14" s="9"/>
      <c r="W14" s="11"/>
      <c r="X14" s="9"/>
      <c r="Y14" s="9"/>
      <c r="Z14" s="9"/>
      <c r="AA14" s="9"/>
      <c r="AB14" s="9"/>
      <c r="AC14" s="11"/>
      <c r="AD14" s="9"/>
      <c r="AE14" s="11"/>
      <c r="AF14" s="9"/>
      <c r="AG14" s="9"/>
      <c r="AH14" s="9"/>
      <c r="AI14" s="9"/>
      <c r="AJ14" s="9"/>
      <c r="AK14" s="11"/>
      <c r="AL14" s="9"/>
      <c r="AM14" s="11"/>
      <c r="AN14" s="9"/>
      <c r="AO14" s="9"/>
      <c r="AP14" s="9"/>
      <c r="AQ14" s="9"/>
      <c r="AR14" s="11"/>
      <c r="AS14" s="9"/>
      <c r="AT14" s="11"/>
      <c r="AU14" s="9"/>
      <c r="AV14" s="9"/>
      <c r="AW14" s="9"/>
      <c r="AX14" s="9"/>
      <c r="AY14" s="11"/>
      <c r="AZ14" s="9"/>
      <c r="BA14" s="11"/>
      <c r="BB14" s="9"/>
      <c r="BC14" s="9"/>
      <c r="BD14" s="9"/>
      <c r="BE14" s="9"/>
      <c r="BF14" s="11"/>
      <c r="BG14" s="9"/>
      <c r="BH14" s="11"/>
      <c r="BI14" s="9"/>
      <c r="BJ14" s="9"/>
      <c r="BK14" s="9"/>
      <c r="BL14" s="9"/>
      <c r="BM14" s="11"/>
      <c r="BN14" s="9"/>
      <c r="BO14" s="11"/>
      <c r="BP14" s="9"/>
      <c r="BQ14" s="9"/>
      <c r="BR14" s="9"/>
      <c r="BS14" s="9"/>
      <c r="BT14" s="11"/>
      <c r="BU14" s="9"/>
      <c r="BV14" s="11"/>
      <c r="BW14" s="9"/>
      <c r="BX14" s="9"/>
      <c r="BY14" s="9"/>
      <c r="BZ14" s="9"/>
      <c r="CA14" s="11"/>
      <c r="CB14" s="9"/>
      <c r="CC14" s="11"/>
      <c r="CD14" s="9"/>
      <c r="CE14" s="9"/>
      <c r="CF14" s="9"/>
      <c r="CG14" s="9"/>
      <c r="CH14" s="11"/>
      <c r="CI14" s="9"/>
      <c r="CJ14" s="11"/>
      <c r="CK14" s="9"/>
      <c r="CL14" s="9"/>
      <c r="CM14" s="9"/>
      <c r="CN14" s="9"/>
      <c r="CO14" s="11"/>
      <c r="CP14" s="9"/>
      <c r="CQ14" s="11"/>
      <c r="CR14" s="9"/>
    </row>
    <row r="15" spans="1:96" ht="12.75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11"/>
      <c r="N15" s="9"/>
      <c r="O15" s="11"/>
      <c r="P15" s="9"/>
      <c r="Q15" s="9"/>
      <c r="R15" s="9"/>
      <c r="S15" s="9"/>
      <c r="T15" s="9"/>
      <c r="U15" s="11"/>
      <c r="V15" s="9"/>
      <c r="W15" s="11"/>
      <c r="X15" s="9"/>
      <c r="Y15" s="9"/>
      <c r="Z15" s="9"/>
      <c r="AA15" s="9"/>
      <c r="AB15" s="9"/>
      <c r="AC15" s="11"/>
      <c r="AD15" s="9"/>
      <c r="AE15" s="11"/>
      <c r="AF15" s="9"/>
      <c r="AG15" s="9"/>
      <c r="AH15" s="9"/>
      <c r="AI15" s="9"/>
      <c r="AJ15" s="9"/>
      <c r="AK15" s="11"/>
      <c r="AL15" s="9"/>
      <c r="AM15" s="11"/>
      <c r="AN15" s="9"/>
      <c r="AO15" s="9"/>
      <c r="AP15" s="9"/>
      <c r="AQ15" s="9"/>
      <c r="AR15" s="11"/>
      <c r="AS15" s="9"/>
      <c r="AT15" s="11"/>
      <c r="AU15" s="9"/>
      <c r="AV15" s="9"/>
      <c r="AW15" s="9"/>
      <c r="AX15" s="9"/>
      <c r="AY15" s="11"/>
      <c r="AZ15" s="9"/>
      <c r="BA15" s="11"/>
      <c r="BB15" s="9"/>
      <c r="BC15" s="9"/>
      <c r="BD15" s="9"/>
      <c r="BE15" s="9"/>
      <c r="BF15" s="11"/>
      <c r="BG15" s="9"/>
      <c r="BH15" s="11"/>
      <c r="BI15" s="9"/>
      <c r="BJ15" s="9"/>
      <c r="BK15" s="9"/>
      <c r="BL15" s="9"/>
      <c r="BM15" s="11"/>
      <c r="BN15" s="9"/>
      <c r="BO15" s="11"/>
      <c r="BP15" s="9"/>
      <c r="BQ15" s="9"/>
      <c r="BR15" s="9"/>
      <c r="BS15" s="9"/>
      <c r="BT15" s="11"/>
      <c r="BU15" s="9"/>
      <c r="BV15" s="11"/>
      <c r="BW15" s="9"/>
      <c r="BX15" s="9"/>
      <c r="BY15" s="9"/>
      <c r="BZ15" s="9"/>
      <c r="CA15" s="11"/>
      <c r="CB15" s="9"/>
      <c r="CC15" s="11"/>
      <c r="CD15" s="9"/>
      <c r="CE15" s="9"/>
      <c r="CF15" s="9"/>
      <c r="CG15" s="9"/>
      <c r="CH15" s="11"/>
      <c r="CI15" s="9"/>
      <c r="CJ15" s="11"/>
      <c r="CK15" s="9"/>
      <c r="CL15" s="9"/>
      <c r="CM15" s="9"/>
      <c r="CN15" s="9"/>
      <c r="CO15" s="11"/>
      <c r="CP15" s="9"/>
      <c r="CQ15" s="11"/>
      <c r="CR15" s="9"/>
    </row>
    <row r="16" spans="1:96" ht="12.75">
      <c r="A16" s="20" t="s">
        <v>106</v>
      </c>
      <c r="B16" s="9"/>
      <c r="C16" s="9"/>
      <c r="D16" s="11"/>
      <c r="E16" s="9"/>
      <c r="F16" s="11"/>
      <c r="G16" s="9"/>
      <c r="H16" s="9"/>
      <c r="I16" s="9"/>
      <c r="J16" s="20" t="s">
        <v>106</v>
      </c>
      <c r="K16" s="9"/>
      <c r="L16" s="9"/>
      <c r="M16" s="11"/>
      <c r="N16" s="9"/>
      <c r="O16" s="11"/>
      <c r="P16" s="9"/>
      <c r="Q16" s="9"/>
      <c r="R16" s="20" t="s">
        <v>106</v>
      </c>
      <c r="S16" s="9"/>
      <c r="T16" s="9"/>
      <c r="U16" s="11"/>
      <c r="V16" s="9"/>
      <c r="W16" s="11"/>
      <c r="X16" s="9"/>
      <c r="Y16" s="9"/>
      <c r="Z16" s="20" t="s">
        <v>106</v>
      </c>
      <c r="AA16" s="9"/>
      <c r="AB16" s="9"/>
      <c r="AC16" s="11"/>
      <c r="AD16" s="9"/>
      <c r="AE16" s="11"/>
      <c r="AF16" s="9"/>
      <c r="AG16" s="9"/>
      <c r="AH16" s="20" t="s">
        <v>106</v>
      </c>
      <c r="AI16" s="9"/>
      <c r="AJ16" s="9"/>
      <c r="AK16" s="11"/>
      <c r="AL16" s="9"/>
      <c r="AM16" s="11"/>
      <c r="AN16" s="9"/>
      <c r="AO16" s="20" t="s">
        <v>106</v>
      </c>
      <c r="AP16" s="9"/>
      <c r="AQ16" s="9"/>
      <c r="AR16" s="11"/>
      <c r="AS16" s="9"/>
      <c r="AT16" s="11"/>
      <c r="AU16" s="9"/>
      <c r="AV16" s="20" t="s">
        <v>106</v>
      </c>
      <c r="AW16" s="9"/>
      <c r="AX16" s="9"/>
      <c r="AY16" s="11"/>
      <c r="AZ16" s="9"/>
      <c r="BA16" s="11"/>
      <c r="BB16" s="9"/>
      <c r="BC16" s="20" t="s">
        <v>106</v>
      </c>
      <c r="BD16" s="9"/>
      <c r="BE16" s="9"/>
      <c r="BF16" s="11"/>
      <c r="BG16" s="9"/>
      <c r="BH16" s="11"/>
      <c r="BI16" s="9"/>
      <c r="BJ16" s="20" t="s">
        <v>106</v>
      </c>
      <c r="BK16" s="9"/>
      <c r="BL16" s="9"/>
      <c r="BM16" s="11"/>
      <c r="BN16" s="9"/>
      <c r="BO16" s="11"/>
      <c r="BP16" s="9"/>
      <c r="BQ16" s="20" t="s">
        <v>106</v>
      </c>
      <c r="BR16" s="9"/>
      <c r="BS16" s="9"/>
      <c r="BT16" s="11"/>
      <c r="BU16" s="9"/>
      <c r="BV16" s="11"/>
      <c r="BW16" s="9"/>
      <c r="BX16" s="20" t="s">
        <v>106</v>
      </c>
      <c r="BY16" s="9"/>
      <c r="BZ16" s="9"/>
      <c r="CA16" s="11"/>
      <c r="CB16" s="9"/>
      <c r="CC16" s="11"/>
      <c r="CD16" s="9"/>
      <c r="CE16" s="20" t="s">
        <v>106</v>
      </c>
      <c r="CF16" s="9"/>
      <c r="CG16" s="9"/>
      <c r="CH16" s="11"/>
      <c r="CI16" s="9"/>
      <c r="CJ16" s="11"/>
      <c r="CK16" s="9"/>
      <c r="CL16" s="20" t="s">
        <v>106</v>
      </c>
      <c r="CM16" s="9"/>
      <c r="CN16" s="9"/>
      <c r="CO16" s="11"/>
      <c r="CP16" s="9"/>
      <c r="CQ16" s="11"/>
      <c r="CR16" s="9"/>
    </row>
    <row r="17" spans="1:96" ht="12.75">
      <c r="A17" s="20"/>
      <c r="B17" s="9"/>
      <c r="C17" s="9"/>
      <c r="D17" s="11"/>
      <c r="E17" s="9"/>
      <c r="F17" s="11"/>
      <c r="G17" s="9"/>
      <c r="H17" s="9"/>
      <c r="I17" s="9"/>
      <c r="J17" s="20"/>
      <c r="K17" s="9"/>
      <c r="L17" s="9"/>
      <c r="M17" s="11"/>
      <c r="N17" s="9"/>
      <c r="O17" s="11"/>
      <c r="P17" s="9"/>
      <c r="Q17" s="9"/>
      <c r="R17" s="20"/>
      <c r="S17" s="9"/>
      <c r="T17" s="9"/>
      <c r="U17" s="11"/>
      <c r="V17" s="9"/>
      <c r="W17" s="11"/>
      <c r="X17" s="9"/>
      <c r="Y17" s="9"/>
      <c r="Z17" s="20"/>
      <c r="AA17" s="9"/>
      <c r="AB17" s="9"/>
      <c r="AC17" s="11"/>
      <c r="AD17" s="9"/>
      <c r="AE17" s="11"/>
      <c r="AF17" s="9"/>
      <c r="AG17" s="9"/>
      <c r="AH17" s="20"/>
      <c r="AI17" s="9"/>
      <c r="AJ17" s="9"/>
      <c r="AK17" s="11"/>
      <c r="AL17" s="9"/>
      <c r="AM17" s="11"/>
      <c r="AN17" s="9"/>
      <c r="AO17" s="20"/>
      <c r="AP17" s="9"/>
      <c r="AQ17" s="9"/>
      <c r="AR17" s="11"/>
      <c r="AS17" s="9"/>
      <c r="AT17" s="11"/>
      <c r="AU17" s="9"/>
      <c r="AV17" s="20"/>
      <c r="AW17" s="9"/>
      <c r="AX17" s="9"/>
      <c r="AY17" s="11"/>
      <c r="AZ17" s="9"/>
      <c r="BA17" s="11"/>
      <c r="BB17" s="9"/>
      <c r="BC17" s="20"/>
      <c r="BD17" s="9"/>
      <c r="BE17" s="9"/>
      <c r="BF17" s="11"/>
      <c r="BG17" s="9"/>
      <c r="BH17" s="11"/>
      <c r="BI17" s="9"/>
      <c r="BJ17" s="20"/>
      <c r="BK17" s="9"/>
      <c r="BL17" s="9"/>
      <c r="BM17" s="11"/>
      <c r="BN17" s="9"/>
      <c r="BO17" s="11"/>
      <c r="BP17" s="9"/>
      <c r="BQ17" s="20"/>
      <c r="BR17" s="9"/>
      <c r="BS17" s="9"/>
      <c r="BT17" s="11"/>
      <c r="BU17" s="9"/>
      <c r="BV17" s="11"/>
      <c r="BW17" s="9"/>
      <c r="BX17" s="20"/>
      <c r="BY17" s="9"/>
      <c r="BZ17" s="9"/>
      <c r="CA17" s="11"/>
      <c r="CB17" s="9"/>
      <c r="CC17" s="11"/>
      <c r="CD17" s="9"/>
      <c r="CE17" s="20"/>
      <c r="CF17" s="9"/>
      <c r="CG17" s="9"/>
      <c r="CH17" s="11"/>
      <c r="CI17" s="9"/>
      <c r="CJ17" s="11"/>
      <c r="CK17" s="9"/>
      <c r="CL17" s="20"/>
      <c r="CM17" s="9"/>
      <c r="CN17" s="9"/>
      <c r="CO17" s="11"/>
      <c r="CP17" s="9"/>
      <c r="CQ17" s="11"/>
      <c r="CR17" s="9"/>
    </row>
    <row r="18" spans="1:96" s="30" customFormat="1" ht="12.75">
      <c r="A18" s="26"/>
      <c r="B18" s="27"/>
      <c r="C18" s="27"/>
      <c r="D18" s="28" t="s">
        <v>143</v>
      </c>
      <c r="E18" s="27" t="s">
        <v>96</v>
      </c>
      <c r="F18" s="29" t="s">
        <v>97</v>
      </c>
      <c r="G18" s="27" t="s">
        <v>96</v>
      </c>
      <c r="H18" s="26"/>
      <c r="I18" s="26"/>
      <c r="J18" s="28" t="s">
        <v>143</v>
      </c>
      <c r="K18" s="27" t="s">
        <v>96</v>
      </c>
      <c r="L18" s="29" t="s">
        <v>97</v>
      </c>
      <c r="M18" s="27" t="s">
        <v>96</v>
      </c>
      <c r="N18" s="65"/>
      <c r="O18" s="66"/>
      <c r="P18" s="65"/>
      <c r="Q18" s="26"/>
      <c r="R18" s="28" t="s">
        <v>143</v>
      </c>
      <c r="S18" s="27" t="s">
        <v>96</v>
      </c>
      <c r="T18" s="29" t="s">
        <v>97</v>
      </c>
      <c r="U18" s="27" t="s">
        <v>96</v>
      </c>
      <c r="V18" s="65"/>
      <c r="W18" s="66"/>
      <c r="X18" s="65"/>
      <c r="Y18" s="26"/>
      <c r="Z18" s="28" t="s">
        <v>143</v>
      </c>
      <c r="AA18" s="27" t="s">
        <v>96</v>
      </c>
      <c r="AB18" s="29" t="s">
        <v>97</v>
      </c>
      <c r="AC18" s="27" t="s">
        <v>96</v>
      </c>
      <c r="AD18" s="65"/>
      <c r="AE18" s="66"/>
      <c r="AF18" s="65"/>
      <c r="AG18" s="26"/>
      <c r="AH18" s="28" t="s">
        <v>143</v>
      </c>
      <c r="AI18" s="27" t="s">
        <v>96</v>
      </c>
      <c r="AJ18" s="29" t="s">
        <v>97</v>
      </c>
      <c r="AK18" s="27" t="s">
        <v>96</v>
      </c>
      <c r="AL18" s="65"/>
      <c r="AM18" s="66"/>
      <c r="AN18" s="65"/>
      <c r="AO18" s="94" t="s">
        <v>143</v>
      </c>
      <c r="AP18" s="45" t="s">
        <v>96</v>
      </c>
      <c r="AQ18" s="93" t="s">
        <v>97</v>
      </c>
      <c r="AR18" s="45" t="s">
        <v>96</v>
      </c>
      <c r="AS18" s="65"/>
      <c r="AT18" s="66"/>
      <c r="AU18" s="65"/>
      <c r="AV18" s="94" t="s">
        <v>143</v>
      </c>
      <c r="AW18" s="45" t="s">
        <v>96</v>
      </c>
      <c r="AX18" s="93" t="s">
        <v>97</v>
      </c>
      <c r="AY18" s="45" t="s">
        <v>96</v>
      </c>
      <c r="AZ18" s="65"/>
      <c r="BA18" s="66"/>
      <c r="BB18" s="65"/>
      <c r="BC18" s="94" t="s">
        <v>143</v>
      </c>
      <c r="BD18" s="45" t="s">
        <v>96</v>
      </c>
      <c r="BE18" s="93" t="s">
        <v>97</v>
      </c>
      <c r="BF18" s="45" t="s">
        <v>96</v>
      </c>
      <c r="BG18" s="65"/>
      <c r="BH18" s="66"/>
      <c r="BI18" s="65"/>
      <c r="BJ18" s="94" t="s">
        <v>143</v>
      </c>
      <c r="BK18" s="45" t="s">
        <v>96</v>
      </c>
      <c r="BL18" s="93" t="s">
        <v>97</v>
      </c>
      <c r="BM18" s="45" t="s">
        <v>96</v>
      </c>
      <c r="BN18" s="65"/>
      <c r="BO18" s="66"/>
      <c r="BP18" s="65"/>
      <c r="BQ18" s="94" t="s">
        <v>143</v>
      </c>
      <c r="BR18" s="45" t="s">
        <v>96</v>
      </c>
      <c r="BS18" s="93" t="s">
        <v>97</v>
      </c>
      <c r="BT18" s="45" t="s">
        <v>96</v>
      </c>
      <c r="BU18" s="65"/>
      <c r="BV18" s="66"/>
      <c r="BW18" s="65"/>
      <c r="BX18" s="94" t="s">
        <v>143</v>
      </c>
      <c r="BY18" s="45" t="s">
        <v>96</v>
      </c>
      <c r="BZ18" s="93" t="s">
        <v>97</v>
      </c>
      <c r="CA18" s="45" t="s">
        <v>96</v>
      </c>
      <c r="CB18" s="65"/>
      <c r="CC18" s="66"/>
      <c r="CD18" s="65"/>
      <c r="CE18" s="94" t="s">
        <v>143</v>
      </c>
      <c r="CF18" s="45" t="s">
        <v>96</v>
      </c>
      <c r="CG18" s="93" t="s">
        <v>97</v>
      </c>
      <c r="CH18" s="45" t="s">
        <v>96</v>
      </c>
      <c r="CI18" s="65"/>
      <c r="CJ18" s="66"/>
      <c r="CK18" s="65"/>
      <c r="CL18" s="94" t="s">
        <v>143</v>
      </c>
      <c r="CM18" s="45" t="s">
        <v>96</v>
      </c>
      <c r="CN18" s="93" t="s">
        <v>97</v>
      </c>
      <c r="CO18" s="45" t="s">
        <v>96</v>
      </c>
      <c r="CP18" s="65"/>
      <c r="CQ18" s="66"/>
      <c r="CR18" s="65"/>
    </row>
    <row r="19" spans="1:96" ht="12.75">
      <c r="A19" s="13"/>
      <c r="B19" s="9"/>
      <c r="C19" s="9"/>
      <c r="D19" s="11"/>
      <c r="E19" s="9"/>
      <c r="F19" s="11"/>
      <c r="G19" s="9"/>
      <c r="H19" s="9"/>
      <c r="I19" s="9"/>
      <c r="J19" s="11"/>
      <c r="K19" s="9"/>
      <c r="L19" s="11"/>
      <c r="M19" s="9"/>
      <c r="N19" s="55"/>
      <c r="O19" s="56"/>
      <c r="P19" s="55"/>
      <c r="Q19" s="9"/>
      <c r="R19" s="11"/>
      <c r="S19" s="9"/>
      <c r="T19" s="11"/>
      <c r="U19" s="9"/>
      <c r="V19" s="55"/>
      <c r="W19" s="56"/>
      <c r="X19" s="55"/>
      <c r="Y19" s="9"/>
      <c r="Z19" s="11"/>
      <c r="AA19" s="9"/>
      <c r="AB19" s="11"/>
      <c r="AC19" s="9"/>
      <c r="AD19" s="55"/>
      <c r="AE19" s="56"/>
      <c r="AF19" s="55"/>
      <c r="AG19" s="9"/>
      <c r="AH19" s="11"/>
      <c r="AI19" s="9"/>
      <c r="AJ19" s="11"/>
      <c r="AK19" s="9"/>
      <c r="AL19" s="55"/>
      <c r="AM19" s="56"/>
      <c r="AN19" s="55"/>
      <c r="AO19" s="11"/>
      <c r="AP19" s="9"/>
      <c r="AQ19" s="11"/>
      <c r="AR19" s="9"/>
      <c r="AS19" s="55"/>
      <c r="AT19" s="56"/>
      <c r="AU19" s="55"/>
      <c r="AV19" s="11"/>
      <c r="AW19" s="9"/>
      <c r="AX19" s="11"/>
      <c r="AY19" s="9"/>
      <c r="AZ19" s="55"/>
      <c r="BA19" s="56"/>
      <c r="BB19" s="55"/>
      <c r="BC19" s="11"/>
      <c r="BD19" s="9"/>
      <c r="BE19" s="11"/>
      <c r="BF19" s="9"/>
      <c r="BG19" s="55"/>
      <c r="BH19" s="56"/>
      <c r="BI19" s="55"/>
      <c r="BJ19" s="11"/>
      <c r="BK19" s="9"/>
      <c r="BL19" s="11"/>
      <c r="BM19" s="9"/>
      <c r="BN19" s="55"/>
      <c r="BO19" s="56"/>
      <c r="BP19" s="55"/>
      <c r="BQ19" s="11"/>
      <c r="BR19" s="9"/>
      <c r="BS19" s="11"/>
      <c r="BT19" s="9"/>
      <c r="BU19" s="55"/>
      <c r="BV19" s="56"/>
      <c r="BW19" s="55"/>
      <c r="BX19" s="11"/>
      <c r="BY19" s="9"/>
      <c r="BZ19" s="11"/>
      <c r="CA19" s="9"/>
      <c r="CB19" s="55"/>
      <c r="CC19" s="56"/>
      <c r="CD19" s="55"/>
      <c r="CE19" s="11"/>
      <c r="CF19" s="9"/>
      <c r="CG19" s="11"/>
      <c r="CH19" s="9"/>
      <c r="CI19" s="55"/>
      <c r="CJ19" s="56"/>
      <c r="CK19" s="55"/>
      <c r="CL19" s="11"/>
      <c r="CM19" s="9"/>
      <c r="CN19" s="11"/>
      <c r="CO19" s="9"/>
      <c r="CP19" s="55"/>
      <c r="CQ19" s="56"/>
      <c r="CR19" s="55"/>
    </row>
    <row r="20" spans="1:96" ht="12.75">
      <c r="A20" s="9" t="s">
        <v>24</v>
      </c>
      <c r="B20" s="9"/>
      <c r="C20" s="9"/>
      <c r="D20" s="10">
        <v>4377846.27</v>
      </c>
      <c r="E20" s="15">
        <v>0.49304463036115753</v>
      </c>
      <c r="F20" s="11">
        <v>4547</v>
      </c>
      <c r="G20" s="15">
        <v>0.6148749154834348</v>
      </c>
      <c r="H20" s="9"/>
      <c r="I20" s="9"/>
      <c r="J20" s="10">
        <v>2332089.47</v>
      </c>
      <c r="K20" s="15">
        <v>0.390273051997511</v>
      </c>
      <c r="L20" s="11">
        <v>4365</v>
      </c>
      <c r="M20" s="15">
        <v>0.631601794241065</v>
      </c>
      <c r="N20" s="57"/>
      <c r="O20" s="56"/>
      <c r="P20" s="57"/>
      <c r="Q20" s="9"/>
      <c r="R20" s="10">
        <v>3066087.2899999837</v>
      </c>
      <c r="S20" s="15">
        <v>0.4159221488939057</v>
      </c>
      <c r="T20" s="11">
        <v>6177</v>
      </c>
      <c r="U20" s="15">
        <v>0.6683618264444925</v>
      </c>
      <c r="V20" s="57"/>
      <c r="W20" s="56"/>
      <c r="X20" s="57"/>
      <c r="Y20" s="9"/>
      <c r="Z20" s="10">
        <v>2996991.3599999873</v>
      </c>
      <c r="AA20" s="15">
        <v>0.37591655323850437</v>
      </c>
      <c r="AB20" s="11">
        <v>5713</v>
      </c>
      <c r="AC20" s="15">
        <v>0.610167681298729</v>
      </c>
      <c r="AD20" s="57"/>
      <c r="AE20" s="56"/>
      <c r="AF20" s="57"/>
      <c r="AG20" s="9"/>
      <c r="AH20" s="10">
        <v>3233172.57</v>
      </c>
      <c r="AI20" s="15">
        <v>0.39361335582790447</v>
      </c>
      <c r="AJ20" s="11">
        <v>5646</v>
      </c>
      <c r="AK20" s="15">
        <v>0.6152337365152011</v>
      </c>
      <c r="AL20" s="57"/>
      <c r="AM20" s="56"/>
      <c r="AN20" s="57"/>
      <c r="AO20" s="10">
        <v>4316301.04</v>
      </c>
      <c r="AP20" s="15">
        <v>0.4224040204358591</v>
      </c>
      <c r="AQ20" s="11">
        <v>7113</v>
      </c>
      <c r="AR20" s="15">
        <v>0.6339572192513369</v>
      </c>
      <c r="AS20" s="57"/>
      <c r="AT20" s="56"/>
      <c r="AU20" s="57"/>
      <c r="AV20" s="10">
        <v>6411245.060000022</v>
      </c>
      <c r="AW20" s="15">
        <v>0.47746554947027353</v>
      </c>
      <c r="AX20" s="11">
        <v>9159</v>
      </c>
      <c r="AY20" s="15">
        <v>0.6571244080929832</v>
      </c>
      <c r="AZ20" s="57"/>
      <c r="BA20" s="56"/>
      <c r="BB20" s="57"/>
      <c r="BC20" s="10">
        <v>5985959.379999986</v>
      </c>
      <c r="BD20" s="15">
        <v>0.4573292901523271</v>
      </c>
      <c r="BE20" s="11">
        <v>9394</v>
      </c>
      <c r="BF20" s="15">
        <v>0.6577510152639686</v>
      </c>
      <c r="BG20" s="57"/>
      <c r="BH20" s="56"/>
      <c r="BI20" s="57"/>
      <c r="BJ20" s="10">
        <v>4571501.519999987</v>
      </c>
      <c r="BK20" s="15">
        <v>0.44866739541716816</v>
      </c>
      <c r="BL20" s="11">
        <v>8216</v>
      </c>
      <c r="BM20" s="15">
        <v>0.6776082474226804</v>
      </c>
      <c r="BN20" s="57"/>
      <c r="BO20" s="56"/>
      <c r="BP20" s="57"/>
      <c r="BQ20" s="10">
        <v>2855747.769999995</v>
      </c>
      <c r="BR20" s="15">
        <v>0.41629075092949414</v>
      </c>
      <c r="BS20" s="11">
        <v>5525</v>
      </c>
      <c r="BT20" s="15">
        <v>0.65</v>
      </c>
      <c r="BU20" s="57"/>
      <c r="BV20" s="56"/>
      <c r="BW20" s="57"/>
      <c r="BX20" s="10">
        <v>2172170.41</v>
      </c>
      <c r="BY20" s="15">
        <v>0.43654074732308334</v>
      </c>
      <c r="BZ20" s="11">
        <v>4041</v>
      </c>
      <c r="CA20" s="15">
        <v>0.6554744525547446</v>
      </c>
      <c r="CB20" s="57"/>
      <c r="CC20" s="56"/>
      <c r="CD20" s="57"/>
      <c r="CE20" s="10">
        <v>7826908.829999989</v>
      </c>
      <c r="CF20" s="15">
        <v>0.4550871633736142</v>
      </c>
      <c r="CG20" s="11">
        <v>13145</v>
      </c>
      <c r="CH20" s="15">
        <v>0.6925711275026344</v>
      </c>
      <c r="CI20" s="57"/>
      <c r="CJ20" s="56"/>
      <c r="CK20" s="57"/>
      <c r="CL20" s="10">
        <v>7034594.570000051</v>
      </c>
      <c r="CM20" s="15">
        <v>0.4692226891459775</v>
      </c>
      <c r="CN20" s="11">
        <v>11673</v>
      </c>
      <c r="CO20" s="15">
        <v>0.6968123209169055</v>
      </c>
      <c r="CP20" s="57"/>
      <c r="CQ20" s="56"/>
      <c r="CR20" s="57"/>
    </row>
    <row r="21" spans="1:96" ht="12.75">
      <c r="A21" s="9" t="s">
        <v>25</v>
      </c>
      <c r="B21" s="9"/>
      <c r="C21" s="9"/>
      <c r="D21" s="10">
        <v>1905504.87</v>
      </c>
      <c r="E21" s="15">
        <v>0.2146030002740447</v>
      </c>
      <c r="F21" s="11">
        <v>1224</v>
      </c>
      <c r="G21" s="15">
        <v>0.16551724137931034</v>
      </c>
      <c r="H21" s="9"/>
      <c r="I21" s="9"/>
      <c r="J21" s="10">
        <v>1553480.98</v>
      </c>
      <c r="K21" s="15">
        <v>0.2599736292641828</v>
      </c>
      <c r="L21" s="11">
        <v>1173</v>
      </c>
      <c r="M21" s="15">
        <v>0.16972941687165388</v>
      </c>
      <c r="N21" s="57"/>
      <c r="O21" s="56"/>
      <c r="P21" s="57"/>
      <c r="Q21" s="9"/>
      <c r="R21" s="10">
        <v>1825467.45</v>
      </c>
      <c r="S21" s="15">
        <v>0.24762907012340246</v>
      </c>
      <c r="T21" s="11">
        <v>1443</v>
      </c>
      <c r="U21" s="15">
        <v>0.156135035706557</v>
      </c>
      <c r="V21" s="57"/>
      <c r="W21" s="56"/>
      <c r="X21" s="57"/>
      <c r="Y21" s="9"/>
      <c r="Z21" s="10">
        <v>2157238.69</v>
      </c>
      <c r="AA21" s="15">
        <v>0.2705852755136242</v>
      </c>
      <c r="AB21" s="11">
        <v>1792</v>
      </c>
      <c r="AC21" s="15">
        <v>0.19139164797607605</v>
      </c>
      <c r="AD21" s="57"/>
      <c r="AE21" s="56"/>
      <c r="AF21" s="57"/>
      <c r="AG21" s="9"/>
      <c r="AH21" s="10">
        <v>2309943.170000005</v>
      </c>
      <c r="AI21" s="15">
        <v>0.28121743062896604</v>
      </c>
      <c r="AJ21" s="11">
        <v>1867</v>
      </c>
      <c r="AK21" s="15">
        <v>0.20344339108641168</v>
      </c>
      <c r="AL21" s="57"/>
      <c r="AM21" s="56"/>
      <c r="AN21" s="57"/>
      <c r="AO21" s="10">
        <v>2794846.85</v>
      </c>
      <c r="AP21" s="15">
        <v>0.2735107062742076</v>
      </c>
      <c r="AQ21" s="11">
        <v>2229</v>
      </c>
      <c r="AR21" s="15">
        <v>0.19866310160427808</v>
      </c>
      <c r="AS21" s="57"/>
      <c r="AT21" s="56"/>
      <c r="AU21" s="57"/>
      <c r="AV21" s="10">
        <v>3581615.339999994</v>
      </c>
      <c r="AW21" s="15">
        <v>0.2667341398277875</v>
      </c>
      <c r="AX21" s="11">
        <v>2711</v>
      </c>
      <c r="AY21" s="15">
        <v>0.19450423303199885</v>
      </c>
      <c r="AZ21" s="57"/>
      <c r="BA21" s="56"/>
      <c r="BB21" s="57"/>
      <c r="BC21" s="10">
        <v>3666033.7199999937</v>
      </c>
      <c r="BD21" s="15">
        <v>0.28008619711717725</v>
      </c>
      <c r="BE21" s="11">
        <v>2868</v>
      </c>
      <c r="BF21" s="15">
        <v>0.20081221117490547</v>
      </c>
      <c r="BG21" s="57"/>
      <c r="BH21" s="56"/>
      <c r="BI21" s="57"/>
      <c r="BJ21" s="10">
        <v>2796377.830000005</v>
      </c>
      <c r="BK21" s="15">
        <v>0.27444889870416544</v>
      </c>
      <c r="BL21" s="11">
        <v>2236</v>
      </c>
      <c r="BM21" s="15">
        <v>0.18441237113402062</v>
      </c>
      <c r="BN21" s="57"/>
      <c r="BO21" s="56"/>
      <c r="BP21" s="57"/>
      <c r="BQ21" s="10">
        <v>1857945.3</v>
      </c>
      <c r="BR21" s="15">
        <v>0.27083815043053533</v>
      </c>
      <c r="BS21" s="11">
        <v>1646</v>
      </c>
      <c r="BT21" s="15">
        <v>0.19364705882352942</v>
      </c>
      <c r="BU21" s="57"/>
      <c r="BV21" s="56"/>
      <c r="BW21" s="57"/>
      <c r="BX21" s="10">
        <v>1290173.22</v>
      </c>
      <c r="BY21" s="15">
        <v>0.25928591009350394</v>
      </c>
      <c r="BZ21" s="11">
        <v>1150</v>
      </c>
      <c r="CA21" s="15">
        <v>0.18653690186536903</v>
      </c>
      <c r="CB21" s="57"/>
      <c r="CC21" s="56"/>
      <c r="CD21" s="57"/>
      <c r="CE21" s="10">
        <v>5496689.160000004</v>
      </c>
      <c r="CF21" s="15">
        <v>0.31959905655000453</v>
      </c>
      <c r="CG21" s="11">
        <v>3733</v>
      </c>
      <c r="CH21" s="15">
        <v>0.19668071654373023</v>
      </c>
      <c r="CI21" s="57"/>
      <c r="CJ21" s="56"/>
      <c r="CK21" s="57"/>
      <c r="CL21" s="10">
        <v>4485664.21</v>
      </c>
      <c r="CM21" s="15">
        <v>0.29920351518169347</v>
      </c>
      <c r="CN21" s="11">
        <v>3214</v>
      </c>
      <c r="CO21" s="15">
        <v>0.19185768863419292</v>
      </c>
      <c r="CP21" s="57"/>
      <c r="CQ21" s="56"/>
      <c r="CR21" s="57"/>
    </row>
    <row r="22" spans="1:96" ht="12.75">
      <c r="A22" s="9" t="s">
        <v>26</v>
      </c>
      <c r="B22" s="9"/>
      <c r="C22" s="9"/>
      <c r="D22" s="10">
        <v>1949506.95</v>
      </c>
      <c r="E22" s="15">
        <v>0.21955863094965583</v>
      </c>
      <c r="F22" s="11">
        <v>1290</v>
      </c>
      <c r="G22" s="15">
        <v>0.1744421906693712</v>
      </c>
      <c r="H22" s="9"/>
      <c r="I22" s="9"/>
      <c r="J22" s="10">
        <v>1529985.38</v>
      </c>
      <c r="K22" s="15">
        <v>0.25604166197113026</v>
      </c>
      <c r="L22" s="11">
        <v>1070</v>
      </c>
      <c r="M22" s="15">
        <v>0.15482564028360585</v>
      </c>
      <c r="N22" s="57"/>
      <c r="O22" s="56"/>
      <c r="P22" s="57"/>
      <c r="Q22" s="9"/>
      <c r="R22" s="10">
        <v>1631835.39</v>
      </c>
      <c r="S22" s="15">
        <v>0.22136241334796683</v>
      </c>
      <c r="T22" s="11">
        <v>1164</v>
      </c>
      <c r="U22" s="15">
        <v>0.1259467647695304</v>
      </c>
      <c r="V22" s="57"/>
      <c r="W22" s="56"/>
      <c r="X22" s="57"/>
      <c r="Y22" s="9"/>
      <c r="Z22" s="10">
        <v>1720159.62</v>
      </c>
      <c r="AA22" s="15">
        <v>0.2157618750594125</v>
      </c>
      <c r="AB22" s="11">
        <v>1264</v>
      </c>
      <c r="AC22" s="15">
        <v>0.13499946598312507</v>
      </c>
      <c r="AD22" s="57"/>
      <c r="AE22" s="56"/>
      <c r="AF22" s="57"/>
      <c r="AG22" s="9"/>
      <c r="AH22" s="10">
        <v>1476186.48</v>
      </c>
      <c r="AI22" s="15">
        <v>0.17971410484302805</v>
      </c>
      <c r="AJ22" s="11">
        <v>1010</v>
      </c>
      <c r="AK22" s="15">
        <v>0.11005775307834804</v>
      </c>
      <c r="AL22" s="57"/>
      <c r="AM22" s="56"/>
      <c r="AN22" s="57"/>
      <c r="AO22" s="10">
        <v>1614825.38</v>
      </c>
      <c r="AP22" s="15">
        <v>0.15803085245737736</v>
      </c>
      <c r="AQ22" s="11">
        <v>1067</v>
      </c>
      <c r="AR22" s="15">
        <v>0.09509803921568627</v>
      </c>
      <c r="AS22" s="57"/>
      <c r="AT22" s="56"/>
      <c r="AU22" s="57"/>
      <c r="AV22" s="10">
        <v>1800481.89</v>
      </c>
      <c r="AW22" s="15">
        <v>0.1340875394521456</v>
      </c>
      <c r="AX22" s="11">
        <v>1176</v>
      </c>
      <c r="AY22" s="15">
        <v>0.08437365475678002</v>
      </c>
      <c r="AZ22" s="57"/>
      <c r="BA22" s="56"/>
      <c r="BB22" s="57"/>
      <c r="BC22" s="10">
        <v>1825206.84</v>
      </c>
      <c r="BD22" s="15">
        <v>0.13944641042959693</v>
      </c>
      <c r="BE22" s="11">
        <v>1118</v>
      </c>
      <c r="BF22" s="15">
        <v>0.07828035289175185</v>
      </c>
      <c r="BG22" s="57"/>
      <c r="BH22" s="56"/>
      <c r="BI22" s="57"/>
      <c r="BJ22" s="10">
        <v>1503812.39</v>
      </c>
      <c r="BK22" s="15">
        <v>0.14759080474228267</v>
      </c>
      <c r="BL22" s="11">
        <v>942</v>
      </c>
      <c r="BM22" s="15">
        <v>0.07769072164948454</v>
      </c>
      <c r="BN22" s="57"/>
      <c r="BO22" s="56"/>
      <c r="BP22" s="57"/>
      <c r="BQ22" s="10">
        <v>1170761.56</v>
      </c>
      <c r="BR22" s="15">
        <v>0.1706653557053417</v>
      </c>
      <c r="BS22" s="11">
        <v>772</v>
      </c>
      <c r="BT22" s="15">
        <v>0.0908235294117647</v>
      </c>
      <c r="BU22" s="57"/>
      <c r="BV22" s="56"/>
      <c r="BW22" s="57"/>
      <c r="BX22" s="10">
        <v>798649.41</v>
      </c>
      <c r="BY22" s="15">
        <v>0.16050444692805657</v>
      </c>
      <c r="BZ22" s="11">
        <v>564</v>
      </c>
      <c r="CA22" s="15">
        <v>0.09148418491484185</v>
      </c>
      <c r="CB22" s="57"/>
      <c r="CC22" s="56"/>
      <c r="CD22" s="57"/>
      <c r="CE22" s="10">
        <v>2089422.91</v>
      </c>
      <c r="CF22" s="15">
        <v>0.12148723919654292</v>
      </c>
      <c r="CG22" s="11">
        <v>1254</v>
      </c>
      <c r="CH22" s="15">
        <v>0.0660695468914647</v>
      </c>
      <c r="CI22" s="57"/>
      <c r="CJ22" s="56"/>
      <c r="CK22" s="57"/>
      <c r="CL22" s="10">
        <v>1862350.51</v>
      </c>
      <c r="CM22" s="15">
        <v>0.12422281138436339</v>
      </c>
      <c r="CN22" s="11">
        <v>1119</v>
      </c>
      <c r="CO22" s="15">
        <v>0.06679799426934098</v>
      </c>
      <c r="CP22" s="57"/>
      <c r="CQ22" s="56"/>
      <c r="CR22" s="57"/>
    </row>
    <row r="23" spans="1:96" ht="12.75">
      <c r="A23" s="9" t="s">
        <v>27</v>
      </c>
      <c r="B23" s="9"/>
      <c r="C23" s="9"/>
      <c r="D23" s="10">
        <v>360341.51</v>
      </c>
      <c r="E23" s="15">
        <v>0.04058261429123492</v>
      </c>
      <c r="F23" s="11">
        <v>181</v>
      </c>
      <c r="G23" s="15">
        <v>0.024475997295469912</v>
      </c>
      <c r="H23" s="9"/>
      <c r="I23" s="9"/>
      <c r="J23" s="10">
        <v>304337.22</v>
      </c>
      <c r="K23" s="15">
        <v>0.05093055700210249</v>
      </c>
      <c r="L23" s="11">
        <v>165</v>
      </c>
      <c r="M23" s="15">
        <v>0.02387498191289249</v>
      </c>
      <c r="N23" s="57"/>
      <c r="O23" s="56"/>
      <c r="P23" s="57"/>
      <c r="Q23" s="9"/>
      <c r="R23" s="10">
        <v>410920.14</v>
      </c>
      <c r="S23" s="15">
        <v>0.05574230981942636</v>
      </c>
      <c r="T23" s="11">
        <v>231</v>
      </c>
      <c r="U23" s="15">
        <v>0.024994589915602685</v>
      </c>
      <c r="V23" s="57"/>
      <c r="W23" s="56"/>
      <c r="X23" s="57"/>
      <c r="Y23" s="9"/>
      <c r="Z23" s="10">
        <v>532945.17</v>
      </c>
      <c r="AA23" s="15">
        <v>0.06684801099043196</v>
      </c>
      <c r="AB23" s="11">
        <v>286</v>
      </c>
      <c r="AC23" s="15">
        <v>0.03054576524618178</v>
      </c>
      <c r="AD23" s="57"/>
      <c r="AE23" s="56"/>
      <c r="AF23" s="57"/>
      <c r="AG23" s="9"/>
      <c r="AH23" s="10">
        <v>602762.17</v>
      </c>
      <c r="AI23" s="15">
        <v>0.07338155800938585</v>
      </c>
      <c r="AJ23" s="11">
        <v>339</v>
      </c>
      <c r="AK23" s="15">
        <v>0.03694017652827721</v>
      </c>
      <c r="AL23" s="57"/>
      <c r="AM23" s="56"/>
      <c r="AN23" s="57"/>
      <c r="AO23" s="10">
        <v>773460.53</v>
      </c>
      <c r="AP23" s="15">
        <v>0.07569278289274516</v>
      </c>
      <c r="AQ23" s="11">
        <v>435</v>
      </c>
      <c r="AR23" s="15">
        <v>0.03877005347593583</v>
      </c>
      <c r="AS23" s="57"/>
      <c r="AT23" s="56"/>
      <c r="AU23" s="57"/>
      <c r="AV23" s="10">
        <v>917895.490000002</v>
      </c>
      <c r="AW23" s="15">
        <v>0.06835855912348099</v>
      </c>
      <c r="AX23" s="11">
        <v>528</v>
      </c>
      <c r="AY23" s="15">
        <v>0.037882049074472665</v>
      </c>
      <c r="AZ23" s="57"/>
      <c r="BA23" s="56"/>
      <c r="BB23" s="57"/>
      <c r="BC23" s="10">
        <v>1026908.86</v>
      </c>
      <c r="BD23" s="15">
        <v>0.07845617889824978</v>
      </c>
      <c r="BE23" s="11">
        <v>614</v>
      </c>
      <c r="BF23" s="15">
        <v>0.042991177706203615</v>
      </c>
      <c r="BG23" s="57"/>
      <c r="BH23" s="56"/>
      <c r="BI23" s="57"/>
      <c r="BJ23" s="10">
        <v>966439.76</v>
      </c>
      <c r="BK23" s="15">
        <v>0.09485067609619743</v>
      </c>
      <c r="BL23" s="11">
        <v>562</v>
      </c>
      <c r="BM23" s="15">
        <v>0.046350515463917524</v>
      </c>
      <c r="BN23" s="57"/>
      <c r="BO23" s="56"/>
      <c r="BP23" s="57"/>
      <c r="BQ23" s="10">
        <v>751929.0800000008</v>
      </c>
      <c r="BR23" s="15">
        <v>0.10961091334719822</v>
      </c>
      <c r="BS23" s="11">
        <v>448</v>
      </c>
      <c r="BT23" s="15">
        <v>0.05270588235294118</v>
      </c>
      <c r="BU23" s="57"/>
      <c r="BV23" s="56"/>
      <c r="BW23" s="57"/>
      <c r="BX23" s="10">
        <v>654932.4</v>
      </c>
      <c r="BY23" s="15">
        <v>0.1316216619220501</v>
      </c>
      <c r="BZ23" s="11">
        <v>382</v>
      </c>
      <c r="CA23" s="15">
        <v>0.061962692619626926</v>
      </c>
      <c r="CB23" s="57"/>
      <c r="CC23" s="56"/>
      <c r="CD23" s="57"/>
      <c r="CE23" s="10">
        <v>670440.2299999992</v>
      </c>
      <c r="CF23" s="15">
        <v>0.03898202331331532</v>
      </c>
      <c r="CG23" s="11">
        <v>364</v>
      </c>
      <c r="CH23" s="15">
        <v>0.019178082191780823</v>
      </c>
      <c r="CI23" s="57"/>
      <c r="CJ23" s="56"/>
      <c r="CK23" s="57"/>
      <c r="CL23" s="10">
        <v>569707.6599999993</v>
      </c>
      <c r="CM23" s="15">
        <v>0.03800073445487279</v>
      </c>
      <c r="CN23" s="11">
        <v>299</v>
      </c>
      <c r="CO23" s="15">
        <v>0.017848615090735435</v>
      </c>
      <c r="CP23" s="57"/>
      <c r="CQ23" s="56"/>
      <c r="CR23" s="57"/>
    </row>
    <row r="24" spans="1:96" ht="12.75">
      <c r="A24" s="9" t="s">
        <v>28</v>
      </c>
      <c r="B24" s="9"/>
      <c r="C24" s="9"/>
      <c r="D24" s="10">
        <v>286009.3</v>
      </c>
      <c r="E24" s="15">
        <v>0.03221112412390704</v>
      </c>
      <c r="F24" s="11">
        <v>153</v>
      </c>
      <c r="G24" s="15">
        <v>0.020689655172413793</v>
      </c>
      <c r="H24" s="9"/>
      <c r="I24" s="9"/>
      <c r="J24" s="10">
        <v>255639.87</v>
      </c>
      <c r="K24" s="15">
        <v>0.04278109976507334</v>
      </c>
      <c r="L24" s="11">
        <v>138</v>
      </c>
      <c r="M24" s="15">
        <v>0.01996816669078281</v>
      </c>
      <c r="N24" s="57"/>
      <c r="O24" s="56"/>
      <c r="P24" s="57"/>
      <c r="Q24" s="9"/>
      <c r="R24" s="10">
        <v>437471.44</v>
      </c>
      <c r="S24" s="15">
        <v>0.05934405781529866</v>
      </c>
      <c r="T24" s="11">
        <v>227</v>
      </c>
      <c r="U24" s="15">
        <v>0.024561783163817356</v>
      </c>
      <c r="V24" s="57"/>
      <c r="W24" s="56"/>
      <c r="X24" s="57"/>
      <c r="Y24" s="9"/>
      <c r="Z24" s="10">
        <v>565156.22</v>
      </c>
      <c r="AA24" s="15">
        <v>0.07088828519802699</v>
      </c>
      <c r="AB24" s="11">
        <v>308</v>
      </c>
      <c r="AC24" s="15">
        <v>0.03289543949588807</v>
      </c>
      <c r="AD24" s="57"/>
      <c r="AE24" s="56"/>
      <c r="AF24" s="57"/>
      <c r="AG24" s="9"/>
      <c r="AH24" s="10">
        <v>592018.09</v>
      </c>
      <c r="AI24" s="15">
        <v>0.07207355069071571</v>
      </c>
      <c r="AJ24" s="11">
        <v>315</v>
      </c>
      <c r="AK24" s="15">
        <v>0.034324942791762014</v>
      </c>
      <c r="AL24" s="57"/>
      <c r="AM24" s="56"/>
      <c r="AN24" s="57"/>
      <c r="AO24" s="10">
        <v>718984.66</v>
      </c>
      <c r="AP24" s="15">
        <v>0.07036163793981087</v>
      </c>
      <c r="AQ24" s="11">
        <v>376</v>
      </c>
      <c r="AR24" s="15">
        <v>0.03351158645276292</v>
      </c>
      <c r="AS24" s="57"/>
      <c r="AT24" s="56"/>
      <c r="AU24" s="57"/>
      <c r="AV24" s="10">
        <v>716422.22</v>
      </c>
      <c r="AW24" s="15">
        <v>0.05335421212631231</v>
      </c>
      <c r="AX24" s="11">
        <v>364</v>
      </c>
      <c r="AY24" s="15">
        <v>0.026115655043765246</v>
      </c>
      <c r="AZ24" s="57"/>
      <c r="BA24" s="56"/>
      <c r="BB24" s="57"/>
      <c r="BC24" s="10">
        <v>584839.38</v>
      </c>
      <c r="BD24" s="15">
        <v>0.04468192340264891</v>
      </c>
      <c r="BE24" s="11">
        <v>288</v>
      </c>
      <c r="BF24" s="15">
        <v>0.020165242963170425</v>
      </c>
      <c r="BG24" s="57"/>
      <c r="BH24" s="56"/>
      <c r="BI24" s="57"/>
      <c r="BJ24" s="10">
        <v>350934.09</v>
      </c>
      <c r="BK24" s="15">
        <v>0.034442225040186486</v>
      </c>
      <c r="BL24" s="11">
        <v>169</v>
      </c>
      <c r="BM24" s="15">
        <v>0.013938144329896908</v>
      </c>
      <c r="BN24" s="57"/>
      <c r="BO24" s="56"/>
      <c r="BP24" s="57"/>
      <c r="BQ24" s="10">
        <v>223600</v>
      </c>
      <c r="BR24" s="15">
        <v>0.03259482958743065</v>
      </c>
      <c r="BS24" s="11">
        <v>109</v>
      </c>
      <c r="BT24" s="15">
        <v>0.012823529411764706</v>
      </c>
      <c r="BU24" s="57"/>
      <c r="BV24" s="56"/>
      <c r="BW24" s="57"/>
      <c r="BX24" s="10">
        <v>59945.48</v>
      </c>
      <c r="BY24" s="15">
        <v>0.01204723373330593</v>
      </c>
      <c r="BZ24" s="11">
        <v>28</v>
      </c>
      <c r="CA24" s="15">
        <v>0.004541768045417681</v>
      </c>
      <c r="CB24" s="57"/>
      <c r="CC24" s="56"/>
      <c r="CD24" s="57"/>
      <c r="CE24" s="10">
        <v>1115241.58</v>
      </c>
      <c r="CF24" s="15">
        <v>0.06484451756652301</v>
      </c>
      <c r="CG24" s="11">
        <v>484</v>
      </c>
      <c r="CH24" s="15">
        <v>0.025500526870389884</v>
      </c>
      <c r="CI24" s="57"/>
      <c r="CJ24" s="56"/>
      <c r="CK24" s="57"/>
      <c r="CL24" s="10">
        <v>1039700.13</v>
      </c>
      <c r="CM24" s="15">
        <v>0.06935024983309288</v>
      </c>
      <c r="CN24" s="11">
        <v>447</v>
      </c>
      <c r="CO24" s="15">
        <v>0.026683381088825214</v>
      </c>
      <c r="CP24" s="57"/>
      <c r="CQ24" s="56"/>
      <c r="CR24" s="57"/>
    </row>
    <row r="25" spans="1:96" ht="12.75">
      <c r="A25" s="9" t="s">
        <v>81</v>
      </c>
      <c r="B25" s="9"/>
      <c r="C25" s="9"/>
      <c r="D25" s="10">
        <v>0</v>
      </c>
      <c r="E25" s="15">
        <v>0</v>
      </c>
      <c r="F25" s="11">
        <v>0</v>
      </c>
      <c r="G25" s="15">
        <v>0</v>
      </c>
      <c r="H25" s="9"/>
      <c r="I25" s="9"/>
      <c r="J25" s="10">
        <v>0</v>
      </c>
      <c r="K25" s="15">
        <v>0</v>
      </c>
      <c r="L25" s="11">
        <v>0</v>
      </c>
      <c r="M25" s="15">
        <v>0</v>
      </c>
      <c r="N25" s="57"/>
      <c r="O25" s="56"/>
      <c r="P25" s="57"/>
      <c r="Q25" s="9"/>
      <c r="R25" s="10">
        <v>0</v>
      </c>
      <c r="S25" s="15">
        <v>0</v>
      </c>
      <c r="T25" s="11">
        <v>0</v>
      </c>
      <c r="U25" s="15">
        <v>0</v>
      </c>
      <c r="V25" s="57"/>
      <c r="W25" s="56"/>
      <c r="X25" s="57"/>
      <c r="Y25" s="9"/>
      <c r="Z25" s="10">
        <v>0</v>
      </c>
      <c r="AA25" s="15">
        <v>0</v>
      </c>
      <c r="AB25" s="11">
        <v>0</v>
      </c>
      <c r="AC25" s="15">
        <v>0</v>
      </c>
      <c r="AD25" s="57"/>
      <c r="AE25" s="56"/>
      <c r="AF25" s="57"/>
      <c r="AG25" s="9"/>
      <c r="AH25" s="10">
        <v>0</v>
      </c>
      <c r="AI25" s="15">
        <v>0</v>
      </c>
      <c r="AJ25" s="11">
        <v>0</v>
      </c>
      <c r="AK25" s="15">
        <v>0</v>
      </c>
      <c r="AL25" s="57"/>
      <c r="AM25" s="56"/>
      <c r="AN25" s="57"/>
      <c r="AO25" s="10">
        <v>0</v>
      </c>
      <c r="AP25" s="15">
        <v>0</v>
      </c>
      <c r="AQ25" s="11">
        <v>0</v>
      </c>
      <c r="AR25" s="15">
        <v>0</v>
      </c>
      <c r="AS25" s="57"/>
      <c r="AT25" s="56"/>
      <c r="AU25" s="57"/>
      <c r="AV25" s="10">
        <v>0</v>
      </c>
      <c r="AW25" s="15">
        <v>0</v>
      </c>
      <c r="AX25" s="11">
        <v>0</v>
      </c>
      <c r="AY25" s="15">
        <v>0</v>
      </c>
      <c r="AZ25" s="57"/>
      <c r="BA25" s="56"/>
      <c r="BB25" s="57"/>
      <c r="BC25" s="10">
        <v>0</v>
      </c>
      <c r="BD25" s="15">
        <v>0</v>
      </c>
      <c r="BE25" s="11">
        <v>0</v>
      </c>
      <c r="BF25" s="15">
        <v>0</v>
      </c>
      <c r="BG25" s="57"/>
      <c r="BH25" s="56"/>
      <c r="BI25" s="57"/>
      <c r="BJ25" s="10">
        <v>0</v>
      </c>
      <c r="BK25" s="15">
        <v>0</v>
      </c>
      <c r="BL25" s="11">
        <v>0</v>
      </c>
      <c r="BM25" s="15">
        <v>0</v>
      </c>
      <c r="BN25" s="57"/>
      <c r="BO25" s="56"/>
      <c r="BP25" s="57"/>
      <c r="BQ25" s="10">
        <v>0</v>
      </c>
      <c r="BR25" s="15">
        <v>0</v>
      </c>
      <c r="BS25" s="11">
        <v>0</v>
      </c>
      <c r="BT25" s="15">
        <v>0</v>
      </c>
      <c r="BU25" s="57"/>
      <c r="BV25" s="56"/>
      <c r="BW25" s="57"/>
      <c r="BX25" s="10">
        <v>0</v>
      </c>
      <c r="BY25" s="15">
        <v>0</v>
      </c>
      <c r="BZ25" s="11">
        <v>0</v>
      </c>
      <c r="CA25" s="15">
        <v>0</v>
      </c>
      <c r="CB25" s="57"/>
      <c r="CC25" s="56"/>
      <c r="CD25" s="57"/>
      <c r="CE25" s="10">
        <v>0</v>
      </c>
      <c r="CF25" s="15">
        <v>0</v>
      </c>
      <c r="CG25" s="11">
        <v>0</v>
      </c>
      <c r="CH25" s="15">
        <v>0</v>
      </c>
      <c r="CI25" s="57"/>
      <c r="CJ25" s="56"/>
      <c r="CK25" s="57"/>
      <c r="CL25" s="10">
        <v>0</v>
      </c>
      <c r="CM25" s="15">
        <v>0</v>
      </c>
      <c r="CN25" s="11">
        <v>0</v>
      </c>
      <c r="CO25" s="15">
        <v>0</v>
      </c>
      <c r="CP25" s="57"/>
      <c r="CQ25" s="56"/>
      <c r="CR25" s="57"/>
    </row>
    <row r="26" spans="1:96" ht="12.75">
      <c r="A26" s="9" t="s">
        <v>82</v>
      </c>
      <c r="B26" s="9"/>
      <c r="C26" s="9"/>
      <c r="D26" s="10">
        <v>0</v>
      </c>
      <c r="E26" s="15">
        <v>0</v>
      </c>
      <c r="F26" s="11">
        <v>0</v>
      </c>
      <c r="G26" s="15">
        <v>0</v>
      </c>
      <c r="H26" s="9"/>
      <c r="I26" s="9"/>
      <c r="J26" s="10">
        <v>0</v>
      </c>
      <c r="K26" s="15">
        <v>0</v>
      </c>
      <c r="L26" s="11">
        <v>0</v>
      </c>
      <c r="M26" s="15">
        <v>0</v>
      </c>
      <c r="N26" s="57"/>
      <c r="O26" s="56"/>
      <c r="P26" s="57"/>
      <c r="Q26" s="9"/>
      <c r="R26" s="10">
        <v>0</v>
      </c>
      <c r="S26" s="15">
        <v>0</v>
      </c>
      <c r="T26" s="11">
        <v>0</v>
      </c>
      <c r="U26" s="15">
        <v>0</v>
      </c>
      <c r="V26" s="57"/>
      <c r="W26" s="56"/>
      <c r="X26" s="57"/>
      <c r="Y26" s="9"/>
      <c r="Z26" s="10">
        <v>0</v>
      </c>
      <c r="AA26" s="15">
        <v>0</v>
      </c>
      <c r="AB26" s="11">
        <v>0</v>
      </c>
      <c r="AC26" s="15">
        <v>0</v>
      </c>
      <c r="AD26" s="57"/>
      <c r="AE26" s="56"/>
      <c r="AF26" s="57"/>
      <c r="AG26" s="9"/>
      <c r="AH26" s="10">
        <v>0</v>
      </c>
      <c r="AI26" s="15">
        <v>0</v>
      </c>
      <c r="AJ26" s="11">
        <v>0</v>
      </c>
      <c r="AK26" s="15">
        <v>0</v>
      </c>
      <c r="AL26" s="57"/>
      <c r="AM26" s="56"/>
      <c r="AN26" s="57"/>
      <c r="AO26" s="10">
        <v>0</v>
      </c>
      <c r="AP26" s="15">
        <v>0</v>
      </c>
      <c r="AQ26" s="11">
        <v>0</v>
      </c>
      <c r="AR26" s="15">
        <v>0</v>
      </c>
      <c r="AS26" s="57"/>
      <c r="AT26" s="56"/>
      <c r="AU26" s="57"/>
      <c r="AV26" s="10">
        <v>0</v>
      </c>
      <c r="AW26" s="15">
        <v>0</v>
      </c>
      <c r="AX26" s="11">
        <v>0</v>
      </c>
      <c r="AY26" s="15">
        <v>0</v>
      </c>
      <c r="AZ26" s="57"/>
      <c r="BA26" s="56"/>
      <c r="BB26" s="57"/>
      <c r="BC26" s="10">
        <v>0</v>
      </c>
      <c r="BD26" s="15">
        <v>0</v>
      </c>
      <c r="BE26" s="11">
        <v>0</v>
      </c>
      <c r="BF26" s="15">
        <v>0</v>
      </c>
      <c r="BG26" s="57"/>
      <c r="BH26" s="56"/>
      <c r="BI26" s="57"/>
      <c r="BJ26" s="10">
        <v>0</v>
      </c>
      <c r="BK26" s="15">
        <v>0</v>
      </c>
      <c r="BL26" s="11">
        <v>0</v>
      </c>
      <c r="BM26" s="15">
        <v>0</v>
      </c>
      <c r="BN26" s="57"/>
      <c r="BO26" s="56"/>
      <c r="BP26" s="57"/>
      <c r="BQ26" s="10">
        <v>0</v>
      </c>
      <c r="BR26" s="15">
        <v>0</v>
      </c>
      <c r="BS26" s="11">
        <v>0</v>
      </c>
      <c r="BT26" s="15">
        <v>0</v>
      </c>
      <c r="BU26" s="57"/>
      <c r="BV26" s="56"/>
      <c r="BW26" s="57"/>
      <c r="BX26" s="10">
        <v>0</v>
      </c>
      <c r="BY26" s="15">
        <v>0</v>
      </c>
      <c r="BZ26" s="11">
        <v>0</v>
      </c>
      <c r="CA26" s="15">
        <v>0</v>
      </c>
      <c r="CB26" s="57"/>
      <c r="CC26" s="56"/>
      <c r="CD26" s="57"/>
      <c r="CE26" s="10">
        <v>0</v>
      </c>
      <c r="CF26" s="15">
        <v>0</v>
      </c>
      <c r="CG26" s="11">
        <v>0</v>
      </c>
      <c r="CH26" s="15">
        <v>0</v>
      </c>
      <c r="CI26" s="57"/>
      <c r="CJ26" s="56"/>
      <c r="CK26" s="57"/>
      <c r="CL26" s="10">
        <v>0</v>
      </c>
      <c r="CM26" s="15">
        <v>0</v>
      </c>
      <c r="CN26" s="11">
        <v>0</v>
      </c>
      <c r="CO26" s="15">
        <v>0</v>
      </c>
      <c r="CP26" s="57"/>
      <c r="CQ26" s="56"/>
      <c r="CR26" s="57"/>
    </row>
    <row r="27" spans="1:96" ht="12.75">
      <c r="A27" s="9" t="s">
        <v>83</v>
      </c>
      <c r="B27" s="9"/>
      <c r="C27" s="9"/>
      <c r="D27" s="10">
        <v>0</v>
      </c>
      <c r="E27" s="15">
        <v>0</v>
      </c>
      <c r="F27" s="11">
        <v>0</v>
      </c>
      <c r="G27" s="15">
        <v>0</v>
      </c>
      <c r="H27" s="9"/>
      <c r="I27" s="9"/>
      <c r="J27" s="10">
        <v>0</v>
      </c>
      <c r="K27" s="15">
        <v>0</v>
      </c>
      <c r="L27" s="11">
        <v>0</v>
      </c>
      <c r="M27" s="15">
        <v>0</v>
      </c>
      <c r="N27" s="57"/>
      <c r="O27" s="56"/>
      <c r="P27" s="57"/>
      <c r="Q27" s="9"/>
      <c r="R27" s="10">
        <v>0</v>
      </c>
      <c r="S27" s="15">
        <v>0</v>
      </c>
      <c r="T27" s="11">
        <v>0</v>
      </c>
      <c r="U27" s="15">
        <v>0</v>
      </c>
      <c r="V27" s="57"/>
      <c r="W27" s="56"/>
      <c r="X27" s="57"/>
      <c r="Y27" s="9"/>
      <c r="Z27" s="10">
        <v>0</v>
      </c>
      <c r="AA27" s="15">
        <v>0</v>
      </c>
      <c r="AB27" s="11">
        <v>0</v>
      </c>
      <c r="AC27" s="15">
        <v>0</v>
      </c>
      <c r="AD27" s="57"/>
      <c r="AE27" s="56"/>
      <c r="AF27" s="57"/>
      <c r="AG27" s="9"/>
      <c r="AH27" s="10">
        <v>0</v>
      </c>
      <c r="AI27" s="15">
        <v>0</v>
      </c>
      <c r="AJ27" s="11">
        <v>0</v>
      </c>
      <c r="AK27" s="15">
        <v>0</v>
      </c>
      <c r="AL27" s="57"/>
      <c r="AM27" s="56"/>
      <c r="AN27" s="57"/>
      <c r="AO27" s="10">
        <v>0</v>
      </c>
      <c r="AP27" s="15">
        <v>0</v>
      </c>
      <c r="AQ27" s="11">
        <v>0</v>
      </c>
      <c r="AR27" s="15">
        <v>0</v>
      </c>
      <c r="AS27" s="57"/>
      <c r="AT27" s="56"/>
      <c r="AU27" s="57"/>
      <c r="AV27" s="10">
        <v>0</v>
      </c>
      <c r="AW27" s="15">
        <v>0</v>
      </c>
      <c r="AX27" s="11">
        <v>0</v>
      </c>
      <c r="AY27" s="15">
        <v>0</v>
      </c>
      <c r="AZ27" s="57"/>
      <c r="BA27" s="56"/>
      <c r="BB27" s="57"/>
      <c r="BC27" s="10">
        <v>0</v>
      </c>
      <c r="BD27" s="15">
        <v>0</v>
      </c>
      <c r="BE27" s="11">
        <v>0</v>
      </c>
      <c r="BF27" s="15">
        <v>0</v>
      </c>
      <c r="BG27" s="57"/>
      <c r="BH27" s="56"/>
      <c r="BI27" s="57"/>
      <c r="BJ27" s="10">
        <v>0</v>
      </c>
      <c r="BK27" s="15">
        <v>0</v>
      </c>
      <c r="BL27" s="11">
        <v>0</v>
      </c>
      <c r="BM27" s="15">
        <v>0</v>
      </c>
      <c r="BN27" s="57"/>
      <c r="BO27" s="56"/>
      <c r="BP27" s="57"/>
      <c r="BQ27" s="10">
        <v>0</v>
      </c>
      <c r="BR27" s="15">
        <v>0</v>
      </c>
      <c r="BS27" s="11">
        <v>0</v>
      </c>
      <c r="BT27" s="15">
        <v>0</v>
      </c>
      <c r="BU27" s="57"/>
      <c r="BV27" s="56"/>
      <c r="BW27" s="57"/>
      <c r="BX27" s="10">
        <v>0</v>
      </c>
      <c r="BY27" s="15">
        <v>0</v>
      </c>
      <c r="BZ27" s="11">
        <v>0</v>
      </c>
      <c r="CA27" s="15">
        <v>0</v>
      </c>
      <c r="CB27" s="57"/>
      <c r="CC27" s="56"/>
      <c r="CD27" s="57"/>
      <c r="CE27" s="10">
        <v>0</v>
      </c>
      <c r="CF27" s="15">
        <v>0</v>
      </c>
      <c r="CG27" s="11">
        <v>0</v>
      </c>
      <c r="CH27" s="15">
        <v>0</v>
      </c>
      <c r="CI27" s="57"/>
      <c r="CJ27" s="56"/>
      <c r="CK27" s="57"/>
      <c r="CL27" s="10">
        <v>0</v>
      </c>
      <c r="CM27" s="15">
        <v>0</v>
      </c>
      <c r="CN27" s="11">
        <v>0</v>
      </c>
      <c r="CO27" s="15">
        <v>0</v>
      </c>
      <c r="CP27" s="57"/>
      <c r="CQ27" s="56"/>
      <c r="CR27" s="57"/>
    </row>
    <row r="28" spans="1:96" ht="12.75">
      <c r="A28" s="9" t="s">
        <v>84</v>
      </c>
      <c r="B28" s="9"/>
      <c r="C28" s="9"/>
      <c r="D28" s="10">
        <v>0</v>
      </c>
      <c r="E28" s="15">
        <v>0</v>
      </c>
      <c r="F28" s="11">
        <v>0</v>
      </c>
      <c r="G28" s="15">
        <v>0</v>
      </c>
      <c r="H28" s="9"/>
      <c r="I28" s="9"/>
      <c r="J28" s="10">
        <v>0</v>
      </c>
      <c r="K28" s="15">
        <v>0</v>
      </c>
      <c r="L28" s="11">
        <v>0</v>
      </c>
      <c r="M28" s="15">
        <v>0</v>
      </c>
      <c r="N28" s="57"/>
      <c r="O28" s="56"/>
      <c r="P28" s="57"/>
      <c r="Q28" s="9"/>
      <c r="R28" s="10">
        <v>0</v>
      </c>
      <c r="S28" s="15">
        <v>0</v>
      </c>
      <c r="T28" s="11">
        <v>0</v>
      </c>
      <c r="U28" s="15">
        <v>0</v>
      </c>
      <c r="V28" s="57"/>
      <c r="W28" s="56"/>
      <c r="X28" s="57"/>
      <c r="Y28" s="9"/>
      <c r="Z28" s="10">
        <v>0</v>
      </c>
      <c r="AA28" s="15">
        <v>0</v>
      </c>
      <c r="AB28" s="11">
        <v>0</v>
      </c>
      <c r="AC28" s="15">
        <v>0</v>
      </c>
      <c r="AD28" s="57"/>
      <c r="AE28" s="56"/>
      <c r="AF28" s="57"/>
      <c r="AG28" s="9"/>
      <c r="AH28" s="10">
        <v>0</v>
      </c>
      <c r="AI28" s="15">
        <v>0</v>
      </c>
      <c r="AJ28" s="11">
        <v>0</v>
      </c>
      <c r="AK28" s="15">
        <v>0</v>
      </c>
      <c r="AL28" s="57"/>
      <c r="AM28" s="56"/>
      <c r="AN28" s="57"/>
      <c r="AO28" s="10">
        <v>0</v>
      </c>
      <c r="AP28" s="15">
        <v>0</v>
      </c>
      <c r="AQ28" s="11">
        <v>0</v>
      </c>
      <c r="AR28" s="15">
        <v>0</v>
      </c>
      <c r="AS28" s="57"/>
      <c r="AT28" s="56"/>
      <c r="AU28" s="57"/>
      <c r="AV28" s="10">
        <v>0</v>
      </c>
      <c r="AW28" s="15">
        <v>0</v>
      </c>
      <c r="AX28" s="11">
        <v>0</v>
      </c>
      <c r="AY28" s="15">
        <v>0</v>
      </c>
      <c r="AZ28" s="57"/>
      <c r="BA28" s="56"/>
      <c r="BB28" s="57"/>
      <c r="BC28" s="10">
        <v>0</v>
      </c>
      <c r="BD28" s="15">
        <v>0</v>
      </c>
      <c r="BE28" s="11">
        <v>0</v>
      </c>
      <c r="BF28" s="15">
        <v>0</v>
      </c>
      <c r="BG28" s="57"/>
      <c r="BH28" s="56"/>
      <c r="BI28" s="57"/>
      <c r="BJ28" s="10">
        <v>0</v>
      </c>
      <c r="BK28" s="15">
        <v>0</v>
      </c>
      <c r="BL28" s="11">
        <v>0</v>
      </c>
      <c r="BM28" s="15">
        <v>0</v>
      </c>
      <c r="BN28" s="57"/>
      <c r="BO28" s="56"/>
      <c r="BP28" s="57"/>
      <c r="BQ28" s="10">
        <v>0</v>
      </c>
      <c r="BR28" s="15">
        <v>0</v>
      </c>
      <c r="BS28" s="11">
        <v>0</v>
      </c>
      <c r="BT28" s="15">
        <v>0</v>
      </c>
      <c r="BU28" s="57"/>
      <c r="BV28" s="56"/>
      <c r="BW28" s="57"/>
      <c r="BX28" s="10">
        <v>0</v>
      </c>
      <c r="BY28" s="15">
        <v>0</v>
      </c>
      <c r="BZ28" s="11">
        <v>0</v>
      </c>
      <c r="CA28" s="15">
        <v>0</v>
      </c>
      <c r="CB28" s="57"/>
      <c r="CC28" s="56"/>
      <c r="CD28" s="57"/>
      <c r="CE28" s="10">
        <v>0</v>
      </c>
      <c r="CF28" s="15">
        <v>0</v>
      </c>
      <c r="CG28" s="11">
        <v>0</v>
      </c>
      <c r="CH28" s="15">
        <v>0</v>
      </c>
      <c r="CI28" s="57"/>
      <c r="CJ28" s="56"/>
      <c r="CK28" s="57"/>
      <c r="CL28" s="10">
        <v>0</v>
      </c>
      <c r="CM28" s="15">
        <v>0</v>
      </c>
      <c r="CN28" s="11">
        <v>0</v>
      </c>
      <c r="CO28" s="15">
        <v>0</v>
      </c>
      <c r="CP28" s="57"/>
      <c r="CQ28" s="56"/>
      <c r="CR28" s="57"/>
    </row>
    <row r="29" spans="1:96" ht="12.75">
      <c r="A29" s="9" t="s">
        <v>85</v>
      </c>
      <c r="B29" s="9"/>
      <c r="C29" s="9"/>
      <c r="D29" s="10">
        <v>0</v>
      </c>
      <c r="E29" s="15">
        <v>0</v>
      </c>
      <c r="F29" s="11">
        <v>0</v>
      </c>
      <c r="G29" s="15">
        <v>0</v>
      </c>
      <c r="H29" s="9"/>
      <c r="I29" s="9"/>
      <c r="J29" s="10">
        <v>0</v>
      </c>
      <c r="K29" s="15">
        <v>0</v>
      </c>
      <c r="L29" s="11">
        <v>0</v>
      </c>
      <c r="M29" s="15">
        <v>0</v>
      </c>
      <c r="N29" s="57"/>
      <c r="O29" s="56"/>
      <c r="P29" s="57"/>
      <c r="Q29" s="9"/>
      <c r="R29" s="10">
        <v>0</v>
      </c>
      <c r="S29" s="15">
        <v>0</v>
      </c>
      <c r="T29" s="11">
        <v>0</v>
      </c>
      <c r="U29" s="15">
        <v>0</v>
      </c>
      <c r="V29" s="57"/>
      <c r="W29" s="56"/>
      <c r="X29" s="57"/>
      <c r="Y29" s="9"/>
      <c r="Z29" s="10">
        <v>0</v>
      </c>
      <c r="AA29" s="15">
        <v>0</v>
      </c>
      <c r="AB29" s="11">
        <v>0</v>
      </c>
      <c r="AC29" s="15">
        <v>0</v>
      </c>
      <c r="AD29" s="57"/>
      <c r="AE29" s="56"/>
      <c r="AF29" s="57"/>
      <c r="AG29" s="9"/>
      <c r="AH29" s="10">
        <v>0</v>
      </c>
      <c r="AI29" s="15">
        <v>0</v>
      </c>
      <c r="AJ29" s="11">
        <v>0</v>
      </c>
      <c r="AK29" s="15">
        <v>0</v>
      </c>
      <c r="AL29" s="57"/>
      <c r="AM29" s="56"/>
      <c r="AN29" s="57"/>
      <c r="AO29" s="10">
        <v>0</v>
      </c>
      <c r="AP29" s="15">
        <v>0</v>
      </c>
      <c r="AQ29" s="11">
        <v>0</v>
      </c>
      <c r="AR29" s="15">
        <v>0</v>
      </c>
      <c r="AS29" s="57"/>
      <c r="AT29" s="56"/>
      <c r="AU29" s="57"/>
      <c r="AV29" s="10">
        <v>0</v>
      </c>
      <c r="AW29" s="15">
        <v>0</v>
      </c>
      <c r="AX29" s="11">
        <v>0</v>
      </c>
      <c r="AY29" s="15">
        <v>0</v>
      </c>
      <c r="AZ29" s="57"/>
      <c r="BA29" s="56"/>
      <c r="BB29" s="57"/>
      <c r="BC29" s="10">
        <v>0</v>
      </c>
      <c r="BD29" s="15">
        <v>0</v>
      </c>
      <c r="BE29" s="11">
        <v>0</v>
      </c>
      <c r="BF29" s="15">
        <v>0</v>
      </c>
      <c r="BG29" s="57"/>
      <c r="BH29" s="56"/>
      <c r="BI29" s="57"/>
      <c r="BJ29" s="10">
        <v>0</v>
      </c>
      <c r="BK29" s="15">
        <v>0</v>
      </c>
      <c r="BL29" s="11">
        <v>0</v>
      </c>
      <c r="BM29" s="15">
        <v>0</v>
      </c>
      <c r="BN29" s="57"/>
      <c r="BO29" s="56"/>
      <c r="BP29" s="57"/>
      <c r="BQ29" s="10">
        <v>0</v>
      </c>
      <c r="BR29" s="15">
        <v>0</v>
      </c>
      <c r="BS29" s="11">
        <v>0</v>
      </c>
      <c r="BT29" s="15">
        <v>0</v>
      </c>
      <c r="BU29" s="57"/>
      <c r="BV29" s="56"/>
      <c r="BW29" s="57"/>
      <c r="BX29" s="10">
        <v>0</v>
      </c>
      <c r="BY29" s="15">
        <v>0</v>
      </c>
      <c r="BZ29" s="11">
        <v>0</v>
      </c>
      <c r="CA29" s="15">
        <v>0</v>
      </c>
      <c r="CB29" s="57"/>
      <c r="CC29" s="56"/>
      <c r="CD29" s="57"/>
      <c r="CE29" s="10">
        <v>0</v>
      </c>
      <c r="CF29" s="15">
        <v>0</v>
      </c>
      <c r="CG29" s="11">
        <v>0</v>
      </c>
      <c r="CH29" s="15">
        <v>0</v>
      </c>
      <c r="CI29" s="57"/>
      <c r="CJ29" s="56"/>
      <c r="CK29" s="57"/>
      <c r="CL29" s="10">
        <v>0</v>
      </c>
      <c r="CM29" s="15">
        <v>0</v>
      </c>
      <c r="CN29" s="11">
        <v>0</v>
      </c>
      <c r="CO29" s="15">
        <v>0</v>
      </c>
      <c r="CP29" s="57"/>
      <c r="CQ29" s="56"/>
      <c r="CR29" s="57"/>
    </row>
    <row r="30" spans="1:96" ht="12.75">
      <c r="A30" s="9"/>
      <c r="B30" s="9"/>
      <c r="C30" s="9"/>
      <c r="D30" s="10"/>
      <c r="E30" s="9"/>
      <c r="F30" s="11"/>
      <c r="G30" s="9"/>
      <c r="H30" s="9"/>
      <c r="I30" s="9"/>
      <c r="J30" s="10"/>
      <c r="K30" s="9"/>
      <c r="L30" s="11"/>
      <c r="M30" s="9"/>
      <c r="N30" s="55"/>
      <c r="O30" s="56"/>
      <c r="P30" s="55"/>
      <c r="Q30" s="9"/>
      <c r="R30" s="10"/>
      <c r="S30" s="9"/>
      <c r="T30" s="11"/>
      <c r="U30" s="9"/>
      <c r="V30" s="55"/>
      <c r="W30" s="56"/>
      <c r="X30" s="55"/>
      <c r="Y30" s="9"/>
      <c r="Z30" s="10"/>
      <c r="AA30" s="9"/>
      <c r="AB30" s="11"/>
      <c r="AC30" s="9"/>
      <c r="AD30" s="55"/>
      <c r="AE30" s="56"/>
      <c r="AF30" s="55"/>
      <c r="AG30" s="9"/>
      <c r="AH30" s="10"/>
      <c r="AI30" s="9"/>
      <c r="AJ30" s="11"/>
      <c r="AK30" s="9"/>
      <c r="AL30" s="55"/>
      <c r="AM30" s="56"/>
      <c r="AN30" s="55"/>
      <c r="AO30" s="10"/>
      <c r="AP30" s="9"/>
      <c r="AQ30" s="11"/>
      <c r="AR30" s="9"/>
      <c r="AS30" s="55"/>
      <c r="AT30" s="56"/>
      <c r="AU30" s="55"/>
      <c r="AV30" s="10"/>
      <c r="AW30" s="9"/>
      <c r="AX30" s="11"/>
      <c r="AY30" s="9"/>
      <c r="AZ30" s="55"/>
      <c r="BA30" s="56"/>
      <c r="BB30" s="55"/>
      <c r="BC30" s="10"/>
      <c r="BD30" s="9"/>
      <c r="BE30" s="11"/>
      <c r="BF30" s="9"/>
      <c r="BG30" s="55"/>
      <c r="BH30" s="56"/>
      <c r="BI30" s="55"/>
      <c r="BJ30" s="10"/>
      <c r="BK30" s="9"/>
      <c r="BL30" s="11"/>
      <c r="BM30" s="9"/>
      <c r="BN30" s="55"/>
      <c r="BO30" s="56"/>
      <c r="BP30" s="55"/>
      <c r="BQ30" s="10"/>
      <c r="BR30" s="9"/>
      <c r="BS30" s="11"/>
      <c r="BT30" s="9"/>
      <c r="BU30" s="55"/>
      <c r="BV30" s="56"/>
      <c r="BW30" s="55"/>
      <c r="BX30" s="10"/>
      <c r="BY30" s="9"/>
      <c r="BZ30" s="11"/>
      <c r="CA30" s="9"/>
      <c r="CB30" s="55"/>
      <c r="CC30" s="56"/>
      <c r="CD30" s="55"/>
      <c r="CE30" s="10"/>
      <c r="CF30" s="9"/>
      <c r="CG30" s="11"/>
      <c r="CH30" s="9"/>
      <c r="CI30" s="55"/>
      <c r="CJ30" s="56"/>
      <c r="CK30" s="55"/>
      <c r="CL30" s="10"/>
      <c r="CM30" s="9"/>
      <c r="CN30" s="11"/>
      <c r="CO30" s="9"/>
      <c r="CP30" s="55"/>
      <c r="CQ30" s="56"/>
      <c r="CR30" s="55"/>
    </row>
    <row r="31" spans="1:96" ht="13.5" thickBot="1">
      <c r="A31" s="9"/>
      <c r="B31" s="13"/>
      <c r="C31" s="13"/>
      <c r="D31" s="22">
        <f>SUM(D20:D30)</f>
        <v>8879208.9</v>
      </c>
      <c r="E31" s="13"/>
      <c r="F31" s="23">
        <f>SUM(F20:F30)</f>
        <v>7395</v>
      </c>
      <c r="G31" s="24"/>
      <c r="H31" s="9"/>
      <c r="I31" s="9"/>
      <c r="J31" s="22">
        <f>SUM(J20:J29)</f>
        <v>5975532.92</v>
      </c>
      <c r="K31" s="13"/>
      <c r="L31" s="23">
        <f>SUM(L20:L29)</f>
        <v>6911</v>
      </c>
      <c r="M31" s="24"/>
      <c r="N31" s="54"/>
      <c r="O31" s="32"/>
      <c r="P31" s="58"/>
      <c r="Q31" s="9"/>
      <c r="R31" s="22">
        <f>SUM(R20:R29)</f>
        <v>7371781.709999983</v>
      </c>
      <c r="S31" s="13"/>
      <c r="T31" s="23">
        <f>SUM(T20:T29)</f>
        <v>9242</v>
      </c>
      <c r="U31" s="24"/>
      <c r="V31" s="54"/>
      <c r="W31" s="32"/>
      <c r="X31" s="58"/>
      <c r="Y31" s="9"/>
      <c r="Z31" s="22">
        <f>SUM(Z20:Z29)</f>
        <v>7972491.0599999875</v>
      </c>
      <c r="AA31" s="13"/>
      <c r="AB31" s="23">
        <f>SUM(AB20:AB29)</f>
        <v>9363</v>
      </c>
      <c r="AC31" s="24"/>
      <c r="AD31" s="54"/>
      <c r="AE31" s="32"/>
      <c r="AF31" s="58"/>
      <c r="AG31" s="9"/>
      <c r="AH31" s="22">
        <f>SUM(AH20:AH29)</f>
        <v>8214082.480000004</v>
      </c>
      <c r="AI31" s="13"/>
      <c r="AJ31" s="23">
        <f>SUM(AJ20:AJ29)</f>
        <v>9177</v>
      </c>
      <c r="AK31" s="24"/>
      <c r="AL31" s="54"/>
      <c r="AM31" s="32"/>
      <c r="AN31" s="58"/>
      <c r="AO31" s="22">
        <f>SUM(AO20:AO29)</f>
        <v>10218418.459999999</v>
      </c>
      <c r="AP31" s="13"/>
      <c r="AQ31" s="23">
        <f>SUM(AQ20:AQ29)</f>
        <v>11220</v>
      </c>
      <c r="AR31" s="24"/>
      <c r="AS31" s="54"/>
      <c r="AT31" s="32"/>
      <c r="AU31" s="58"/>
      <c r="AV31" s="22">
        <f>SUM(AV20:AV29)</f>
        <v>13427660.000000019</v>
      </c>
      <c r="AW31" s="13"/>
      <c r="AX31" s="23">
        <f>SUM(AX20:AX29)</f>
        <v>13938</v>
      </c>
      <c r="AY31" s="24"/>
      <c r="AZ31" s="54"/>
      <c r="BA31" s="32"/>
      <c r="BB31" s="58"/>
      <c r="BC31" s="22">
        <f>SUM(BC20:BC29)</f>
        <v>13088948.17999998</v>
      </c>
      <c r="BD31" s="13"/>
      <c r="BE31" s="23">
        <f>SUM(BE20:BE29)</f>
        <v>14282</v>
      </c>
      <c r="BF31" s="24"/>
      <c r="BG31" s="54"/>
      <c r="BH31" s="32"/>
      <c r="BI31" s="58"/>
      <c r="BJ31" s="22">
        <f>SUM(BJ20:BJ29)</f>
        <v>10189065.589999992</v>
      </c>
      <c r="BK31" s="13"/>
      <c r="BL31" s="23">
        <f>SUM(BL20:BL29)</f>
        <v>12125</v>
      </c>
      <c r="BM31" s="24"/>
      <c r="BN31" s="54"/>
      <c r="BO31" s="32"/>
      <c r="BP31" s="58"/>
      <c r="BQ31" s="22">
        <f>SUM(BQ20:BQ29)</f>
        <v>6859983.709999996</v>
      </c>
      <c r="BR31" s="13"/>
      <c r="BS31" s="23">
        <f>SUM(BS20:BS29)</f>
        <v>8500</v>
      </c>
      <c r="BT31" s="24"/>
      <c r="BU31" s="54"/>
      <c r="BV31" s="32"/>
      <c r="BW31" s="58"/>
      <c r="BX31" s="22">
        <f>SUM(BX20:BX29)</f>
        <v>4975870.920000001</v>
      </c>
      <c r="BY31" s="13"/>
      <c r="BZ31" s="23">
        <f>SUM(BZ20:BZ29)</f>
        <v>6165</v>
      </c>
      <c r="CA31" s="24"/>
      <c r="CB31" s="54"/>
      <c r="CC31" s="32"/>
      <c r="CD31" s="58"/>
      <c r="CE31" s="22">
        <f>SUM(CE20:CE29)</f>
        <v>17198702.709999993</v>
      </c>
      <c r="CF31" s="13"/>
      <c r="CG31" s="23">
        <f>SUM(CG20:CG29)</f>
        <v>18980</v>
      </c>
      <c r="CH31" s="24"/>
      <c r="CI31" s="54"/>
      <c r="CJ31" s="32"/>
      <c r="CK31" s="58"/>
      <c r="CL31" s="22">
        <f>SUM(CL20:CL29)</f>
        <v>14992017.08000005</v>
      </c>
      <c r="CM31" s="13"/>
      <c r="CN31" s="23">
        <f>SUM(CN20:CN29)</f>
        <v>16752</v>
      </c>
      <c r="CO31" s="24"/>
      <c r="CP31" s="54"/>
      <c r="CQ31" s="32"/>
      <c r="CR31" s="58"/>
    </row>
    <row r="32" spans="1:96" ht="13.5" thickTop="1">
      <c r="A32" s="9"/>
      <c r="B32" s="9"/>
      <c r="C32" s="9"/>
      <c r="D32" s="10"/>
      <c r="E32" s="9"/>
      <c r="F32" s="11"/>
      <c r="G32" s="9"/>
      <c r="H32" s="9"/>
      <c r="I32" s="9"/>
      <c r="J32" s="9"/>
      <c r="K32" s="9"/>
      <c r="L32" s="9"/>
      <c r="M32" s="10"/>
      <c r="N32" s="9"/>
      <c r="O32" s="11"/>
      <c r="P32" s="9"/>
      <c r="Q32" s="9"/>
      <c r="R32" s="9"/>
      <c r="S32" s="9"/>
      <c r="T32" s="9"/>
      <c r="U32" s="10"/>
      <c r="V32" s="9"/>
      <c r="W32" s="11"/>
      <c r="X32" s="9"/>
      <c r="Y32" s="9"/>
      <c r="Z32" s="9"/>
      <c r="AA32" s="9"/>
      <c r="AB32" s="9"/>
      <c r="AC32" s="10"/>
      <c r="AD32" s="9"/>
      <c r="AE32" s="11"/>
      <c r="AF32" s="9"/>
      <c r="AG32" s="9"/>
      <c r="AH32" s="9"/>
      <c r="AI32" s="9"/>
      <c r="AJ32" s="9"/>
      <c r="AK32" s="10"/>
      <c r="AL32" s="9"/>
      <c r="AM32" s="11"/>
      <c r="AN32" s="9"/>
      <c r="AO32" s="9"/>
      <c r="AP32" s="9"/>
      <c r="AQ32" s="9"/>
      <c r="AR32" s="10"/>
      <c r="AS32" s="9"/>
      <c r="AT32" s="11"/>
      <c r="AU32" s="9"/>
      <c r="AV32" s="9"/>
      <c r="AW32" s="9"/>
      <c r="AX32" s="9"/>
      <c r="AY32" s="10"/>
      <c r="AZ32" s="9"/>
      <c r="BA32" s="11"/>
      <c r="BB32" s="9"/>
      <c r="BC32" s="9"/>
      <c r="BD32" s="9"/>
      <c r="BE32" s="9"/>
      <c r="BF32" s="10"/>
      <c r="BG32" s="9"/>
      <c r="BH32" s="11"/>
      <c r="BI32" s="9"/>
      <c r="BJ32" s="9"/>
      <c r="BK32" s="9"/>
      <c r="BL32" s="9"/>
      <c r="BM32" s="10"/>
      <c r="BN32" s="9"/>
      <c r="BO32" s="11"/>
      <c r="BP32" s="9"/>
      <c r="BQ32" s="9"/>
      <c r="BR32" s="9"/>
      <c r="BS32" s="9"/>
      <c r="BT32" s="10"/>
      <c r="BU32" s="9"/>
      <c r="BV32" s="11"/>
      <c r="BW32" s="9"/>
      <c r="BX32" s="9"/>
      <c r="BY32" s="9"/>
      <c r="BZ32" s="9"/>
      <c r="CA32" s="10"/>
      <c r="CB32" s="9"/>
      <c r="CC32" s="11"/>
      <c r="CD32" s="9"/>
      <c r="CE32" s="9"/>
      <c r="CF32" s="9"/>
      <c r="CG32" s="9"/>
      <c r="CH32" s="10"/>
      <c r="CI32" s="9"/>
      <c r="CJ32" s="11"/>
      <c r="CK32" s="9"/>
      <c r="CL32" s="9"/>
      <c r="CM32" s="9"/>
      <c r="CN32" s="9"/>
      <c r="CO32" s="10"/>
      <c r="CP32" s="9"/>
      <c r="CQ32" s="11"/>
      <c r="CR32" s="9"/>
    </row>
    <row r="33" spans="1:96" ht="12.75">
      <c r="A33" s="9"/>
      <c r="B33" s="9"/>
      <c r="C33" s="9"/>
      <c r="D33" s="10"/>
      <c r="E33" s="9"/>
      <c r="F33" s="11"/>
      <c r="G33" s="9"/>
      <c r="H33" s="9"/>
      <c r="I33" s="9"/>
      <c r="J33" s="9"/>
      <c r="K33" s="9"/>
      <c r="L33" s="9"/>
      <c r="M33" s="10"/>
      <c r="N33" s="9"/>
      <c r="O33" s="11"/>
      <c r="P33" s="9"/>
      <c r="Q33" s="9"/>
      <c r="R33" s="9"/>
      <c r="S33" s="9"/>
      <c r="T33" s="9"/>
      <c r="U33" s="10"/>
      <c r="V33" s="9"/>
      <c r="W33" s="11"/>
      <c r="X33" s="9"/>
      <c r="Y33" s="9"/>
      <c r="Z33" s="9"/>
      <c r="AA33" s="9"/>
      <c r="AB33" s="9"/>
      <c r="AC33" s="10"/>
      <c r="AD33" s="9"/>
      <c r="AE33" s="11"/>
      <c r="AF33" s="9"/>
      <c r="AG33" s="9"/>
      <c r="AH33" s="9"/>
      <c r="AI33" s="9"/>
      <c r="AJ33" s="9"/>
      <c r="AK33" s="10"/>
      <c r="AL33" s="9"/>
      <c r="AM33" s="11"/>
      <c r="AN33" s="9"/>
      <c r="AO33" s="9"/>
      <c r="AP33" s="9"/>
      <c r="AQ33" s="9"/>
      <c r="AR33" s="10"/>
      <c r="AS33" s="9"/>
      <c r="AT33" s="11"/>
      <c r="AU33" s="9"/>
      <c r="AV33" s="9"/>
      <c r="AW33" s="9"/>
      <c r="AX33" s="9"/>
      <c r="AY33" s="10"/>
      <c r="AZ33" s="9"/>
      <c r="BA33" s="11"/>
      <c r="BB33" s="9"/>
      <c r="BC33" s="9"/>
      <c r="BD33" s="9"/>
      <c r="BE33" s="9"/>
      <c r="BF33" s="10"/>
      <c r="BG33" s="9"/>
      <c r="BH33" s="11"/>
      <c r="BI33" s="9"/>
      <c r="BJ33" s="9"/>
      <c r="BK33" s="9"/>
      <c r="BL33" s="9"/>
      <c r="BM33" s="10"/>
      <c r="BN33" s="9"/>
      <c r="BO33" s="11"/>
      <c r="BP33" s="9"/>
      <c r="BQ33" s="9"/>
      <c r="BR33" s="9"/>
      <c r="BS33" s="9"/>
      <c r="BT33" s="10"/>
      <c r="BU33" s="9"/>
      <c r="BV33" s="11"/>
      <c r="BW33" s="9"/>
      <c r="BX33" s="9"/>
      <c r="BY33" s="9"/>
      <c r="BZ33" s="9"/>
      <c r="CA33" s="10"/>
      <c r="CB33" s="9"/>
      <c r="CC33" s="11"/>
      <c r="CD33" s="9"/>
      <c r="CE33" s="9"/>
      <c r="CF33" s="9"/>
      <c r="CG33" s="9"/>
      <c r="CH33" s="10"/>
      <c r="CI33" s="9"/>
      <c r="CJ33" s="11"/>
      <c r="CK33" s="9"/>
      <c r="CL33" s="9"/>
      <c r="CM33" s="9"/>
      <c r="CN33" s="9"/>
      <c r="CO33" s="10"/>
      <c r="CP33" s="9"/>
      <c r="CQ33" s="11"/>
      <c r="CR33" s="9"/>
    </row>
    <row r="34" spans="1:96" ht="12.75">
      <c r="A34" s="20" t="s">
        <v>107</v>
      </c>
      <c r="B34" s="9"/>
      <c r="C34" s="9"/>
      <c r="D34" s="10"/>
      <c r="E34" s="9"/>
      <c r="F34" s="11"/>
      <c r="G34" s="9"/>
      <c r="H34" s="9"/>
      <c r="I34" s="9"/>
      <c r="J34" s="20" t="s">
        <v>107</v>
      </c>
      <c r="K34" s="9"/>
      <c r="L34" s="9"/>
      <c r="M34" s="10"/>
      <c r="N34" s="9"/>
      <c r="O34" s="11"/>
      <c r="P34" s="9"/>
      <c r="Q34" s="9"/>
      <c r="R34" s="20" t="s">
        <v>107</v>
      </c>
      <c r="S34" s="9"/>
      <c r="T34" s="9"/>
      <c r="U34" s="10"/>
      <c r="V34" s="9"/>
      <c r="W34" s="11"/>
      <c r="X34" s="9"/>
      <c r="Y34" s="9"/>
      <c r="Z34" s="20" t="s">
        <v>107</v>
      </c>
      <c r="AA34" s="9"/>
      <c r="AB34" s="9"/>
      <c r="AC34" s="10"/>
      <c r="AD34" s="9"/>
      <c r="AE34" s="11"/>
      <c r="AF34" s="9"/>
      <c r="AG34" s="9"/>
      <c r="AH34" s="20" t="s">
        <v>107</v>
      </c>
      <c r="AI34" s="9"/>
      <c r="AJ34" s="9"/>
      <c r="AK34" s="10"/>
      <c r="AL34" s="9"/>
      <c r="AM34" s="11"/>
      <c r="AN34" s="9"/>
      <c r="AO34" s="20" t="s">
        <v>107</v>
      </c>
      <c r="AP34" s="9"/>
      <c r="AQ34" s="9"/>
      <c r="AR34" s="10"/>
      <c r="AS34" s="9"/>
      <c r="AT34" s="11"/>
      <c r="AU34" s="9"/>
      <c r="AV34" s="20" t="s">
        <v>107</v>
      </c>
      <c r="AW34" s="9"/>
      <c r="AX34" s="9"/>
      <c r="AY34" s="10"/>
      <c r="AZ34" s="9"/>
      <c r="BA34" s="11"/>
      <c r="BB34" s="9"/>
      <c r="BC34" s="20" t="s">
        <v>107</v>
      </c>
      <c r="BD34" s="9"/>
      <c r="BE34" s="9"/>
      <c r="BF34" s="10"/>
      <c r="BG34" s="9"/>
      <c r="BH34" s="11"/>
      <c r="BI34" s="9"/>
      <c r="BJ34" s="20" t="s">
        <v>107</v>
      </c>
      <c r="BK34" s="9"/>
      <c r="BL34" s="9"/>
      <c r="BM34" s="10"/>
      <c r="BN34" s="9"/>
      <c r="BO34" s="11"/>
      <c r="BP34" s="9"/>
      <c r="BQ34" s="20" t="s">
        <v>107</v>
      </c>
      <c r="BR34" s="9"/>
      <c r="BS34" s="9"/>
      <c r="BT34" s="10"/>
      <c r="BU34" s="9"/>
      <c r="BV34" s="11"/>
      <c r="BW34" s="9"/>
      <c r="BX34" s="20" t="s">
        <v>107</v>
      </c>
      <c r="BY34" s="9"/>
      <c r="BZ34" s="9"/>
      <c r="CA34" s="10"/>
      <c r="CB34" s="9"/>
      <c r="CC34" s="11"/>
      <c r="CD34" s="9"/>
      <c r="CE34" s="20" t="s">
        <v>107</v>
      </c>
      <c r="CF34" s="9"/>
      <c r="CG34" s="9"/>
      <c r="CH34" s="10"/>
      <c r="CI34" s="9"/>
      <c r="CJ34" s="11"/>
      <c r="CK34" s="9"/>
      <c r="CL34" s="20" t="s">
        <v>107</v>
      </c>
      <c r="CM34" s="9"/>
      <c r="CN34" s="9"/>
      <c r="CO34" s="10"/>
      <c r="CP34" s="9"/>
      <c r="CQ34" s="11"/>
      <c r="CR34" s="9"/>
    </row>
    <row r="35" spans="1:96" ht="12.75">
      <c r="A35" s="20"/>
      <c r="B35" s="9"/>
      <c r="C35" s="9"/>
      <c r="D35" s="10"/>
      <c r="E35" s="9"/>
      <c r="F35" s="11"/>
      <c r="G35" s="9"/>
      <c r="H35" s="9"/>
      <c r="I35" s="9"/>
      <c r="J35" s="20"/>
      <c r="K35" s="9"/>
      <c r="L35" s="9"/>
      <c r="M35" s="10"/>
      <c r="N35" s="9"/>
      <c r="O35" s="11"/>
      <c r="P35" s="9"/>
      <c r="Q35" s="9"/>
      <c r="R35" s="20"/>
      <c r="S35" s="9"/>
      <c r="T35" s="9"/>
      <c r="U35" s="10"/>
      <c r="V35" s="9"/>
      <c r="W35" s="11"/>
      <c r="X35" s="9"/>
      <c r="Y35" s="9"/>
      <c r="Z35" s="20"/>
      <c r="AA35" s="9"/>
      <c r="AB35" s="9"/>
      <c r="AC35" s="10"/>
      <c r="AD35" s="9"/>
      <c r="AE35" s="11"/>
      <c r="AF35" s="9"/>
      <c r="AG35" s="9"/>
      <c r="AH35" s="20"/>
      <c r="AI35" s="9"/>
      <c r="AJ35" s="9"/>
      <c r="AK35" s="10"/>
      <c r="AL35" s="9"/>
      <c r="AM35" s="11"/>
      <c r="AN35" s="9"/>
      <c r="AO35" s="20"/>
      <c r="AP35" s="9"/>
      <c r="AQ35" s="9"/>
      <c r="AR35" s="10"/>
      <c r="AS35" s="9"/>
      <c r="AT35" s="11"/>
      <c r="AU35" s="9"/>
      <c r="AV35" s="20"/>
      <c r="AW35" s="9"/>
      <c r="AX35" s="9"/>
      <c r="AY35" s="10"/>
      <c r="AZ35" s="9"/>
      <c r="BA35" s="11"/>
      <c r="BB35" s="9"/>
      <c r="BC35" s="20"/>
      <c r="BD35" s="9"/>
      <c r="BE35" s="9"/>
      <c r="BF35" s="10"/>
      <c r="BG35" s="9"/>
      <c r="BH35" s="11"/>
      <c r="BI35" s="9"/>
      <c r="BJ35" s="20"/>
      <c r="BK35" s="9"/>
      <c r="BL35" s="9"/>
      <c r="BM35" s="10"/>
      <c r="BN35" s="9"/>
      <c r="BO35" s="11"/>
      <c r="BP35" s="9"/>
      <c r="BQ35" s="20"/>
      <c r="BR35" s="9"/>
      <c r="BS35" s="9"/>
      <c r="BT35" s="10"/>
      <c r="BU35" s="9"/>
      <c r="BV35" s="11"/>
      <c r="BW35" s="9"/>
      <c r="BX35" s="20"/>
      <c r="BY35" s="9"/>
      <c r="BZ35" s="9"/>
      <c r="CA35" s="10"/>
      <c r="CB35" s="9"/>
      <c r="CC35" s="11"/>
      <c r="CD35" s="9"/>
      <c r="CE35" s="20"/>
      <c r="CF35" s="9"/>
      <c r="CG35" s="9"/>
      <c r="CH35" s="10"/>
      <c r="CI35" s="9"/>
      <c r="CJ35" s="11"/>
      <c r="CK35" s="9"/>
      <c r="CL35" s="20"/>
      <c r="CM35" s="9"/>
      <c r="CN35" s="9"/>
      <c r="CO35" s="10"/>
      <c r="CP35" s="9"/>
      <c r="CQ35" s="11"/>
      <c r="CR35" s="9"/>
    </row>
    <row r="36" spans="1:96" s="30" customFormat="1" ht="12.75">
      <c r="A36" s="26"/>
      <c r="B36" s="27"/>
      <c r="C36" s="27"/>
      <c r="D36" s="28" t="s">
        <v>143</v>
      </c>
      <c r="E36" s="27" t="s">
        <v>96</v>
      </c>
      <c r="F36" s="29" t="s">
        <v>97</v>
      </c>
      <c r="G36" s="27" t="s">
        <v>96</v>
      </c>
      <c r="H36" s="26"/>
      <c r="I36" s="26"/>
      <c r="J36" s="28" t="s">
        <v>143</v>
      </c>
      <c r="K36" s="27" t="s">
        <v>96</v>
      </c>
      <c r="L36" s="29" t="s">
        <v>97</v>
      </c>
      <c r="M36" s="27" t="s">
        <v>96</v>
      </c>
      <c r="N36" s="65"/>
      <c r="O36" s="66"/>
      <c r="P36" s="65"/>
      <c r="Q36" s="26"/>
      <c r="R36" s="28" t="s">
        <v>143</v>
      </c>
      <c r="S36" s="27" t="s">
        <v>96</v>
      </c>
      <c r="T36" s="29" t="s">
        <v>97</v>
      </c>
      <c r="U36" s="27" t="s">
        <v>96</v>
      </c>
      <c r="V36" s="65"/>
      <c r="W36" s="66"/>
      <c r="X36" s="65"/>
      <c r="Y36" s="26"/>
      <c r="Z36" s="28" t="s">
        <v>143</v>
      </c>
      <c r="AA36" s="27" t="s">
        <v>96</v>
      </c>
      <c r="AB36" s="29" t="s">
        <v>97</v>
      </c>
      <c r="AC36" s="27" t="s">
        <v>96</v>
      </c>
      <c r="AD36" s="65"/>
      <c r="AE36" s="66"/>
      <c r="AF36" s="65"/>
      <c r="AG36" s="26"/>
      <c r="AH36" s="28" t="s">
        <v>143</v>
      </c>
      <c r="AI36" s="27" t="s">
        <v>96</v>
      </c>
      <c r="AJ36" s="29" t="s">
        <v>97</v>
      </c>
      <c r="AK36" s="27" t="s">
        <v>96</v>
      </c>
      <c r="AL36" s="65"/>
      <c r="AM36" s="66"/>
      <c r="AN36" s="65"/>
      <c r="AO36" s="94" t="s">
        <v>143</v>
      </c>
      <c r="AP36" s="45" t="s">
        <v>96</v>
      </c>
      <c r="AQ36" s="93" t="s">
        <v>97</v>
      </c>
      <c r="AR36" s="45" t="s">
        <v>96</v>
      </c>
      <c r="AS36" s="65"/>
      <c r="AT36" s="66"/>
      <c r="AU36" s="65"/>
      <c r="AV36" s="94" t="s">
        <v>143</v>
      </c>
      <c r="AW36" s="45" t="s">
        <v>96</v>
      </c>
      <c r="AX36" s="93" t="s">
        <v>97</v>
      </c>
      <c r="AY36" s="45" t="s">
        <v>96</v>
      </c>
      <c r="AZ36" s="65"/>
      <c r="BA36" s="66"/>
      <c r="BB36" s="65"/>
      <c r="BC36" s="94" t="s">
        <v>143</v>
      </c>
      <c r="BD36" s="45" t="s">
        <v>96</v>
      </c>
      <c r="BE36" s="93" t="s">
        <v>97</v>
      </c>
      <c r="BF36" s="45" t="s">
        <v>96</v>
      </c>
      <c r="BG36" s="65"/>
      <c r="BH36" s="66"/>
      <c r="BI36" s="65"/>
      <c r="BJ36" s="94" t="s">
        <v>143</v>
      </c>
      <c r="BK36" s="45" t="s">
        <v>96</v>
      </c>
      <c r="BL36" s="93" t="s">
        <v>97</v>
      </c>
      <c r="BM36" s="45" t="s">
        <v>96</v>
      </c>
      <c r="BN36" s="65"/>
      <c r="BO36" s="66"/>
      <c r="BP36" s="65"/>
      <c r="BQ36" s="94" t="s">
        <v>143</v>
      </c>
      <c r="BR36" s="45" t="s">
        <v>96</v>
      </c>
      <c r="BS36" s="93" t="s">
        <v>97</v>
      </c>
      <c r="BT36" s="45" t="s">
        <v>96</v>
      </c>
      <c r="BU36" s="65"/>
      <c r="BV36" s="66"/>
      <c r="BW36" s="65"/>
      <c r="BX36" s="94" t="s">
        <v>143</v>
      </c>
      <c r="BY36" s="45" t="s">
        <v>96</v>
      </c>
      <c r="BZ36" s="93" t="s">
        <v>97</v>
      </c>
      <c r="CA36" s="45" t="s">
        <v>96</v>
      </c>
      <c r="CB36" s="65"/>
      <c r="CC36" s="66"/>
      <c r="CD36" s="65"/>
      <c r="CE36" s="94" t="s">
        <v>143</v>
      </c>
      <c r="CF36" s="45" t="s">
        <v>96</v>
      </c>
      <c r="CG36" s="93" t="s">
        <v>97</v>
      </c>
      <c r="CH36" s="45" t="s">
        <v>96</v>
      </c>
      <c r="CI36" s="65"/>
      <c r="CJ36" s="66"/>
      <c r="CK36" s="65"/>
      <c r="CL36" s="94" t="s">
        <v>143</v>
      </c>
      <c r="CM36" s="45" t="s">
        <v>96</v>
      </c>
      <c r="CN36" s="93" t="s">
        <v>97</v>
      </c>
      <c r="CO36" s="45" t="s">
        <v>96</v>
      </c>
      <c r="CP36" s="65"/>
      <c r="CQ36" s="66"/>
      <c r="CR36" s="65"/>
    </row>
    <row r="37" spans="1:96" ht="12.75">
      <c r="A37" s="13"/>
      <c r="B37" s="9"/>
      <c r="C37" s="9"/>
      <c r="D37" s="10"/>
      <c r="E37" s="9"/>
      <c r="F37" s="11"/>
      <c r="G37" s="9"/>
      <c r="H37" s="9"/>
      <c r="I37" s="9"/>
      <c r="J37" s="10"/>
      <c r="K37" s="9"/>
      <c r="L37" s="11"/>
      <c r="M37" s="9"/>
      <c r="N37" s="55"/>
      <c r="O37" s="56"/>
      <c r="P37" s="55"/>
      <c r="Q37" s="9"/>
      <c r="R37" s="10"/>
      <c r="S37" s="9"/>
      <c r="T37" s="11"/>
      <c r="U37" s="9"/>
      <c r="V37" s="55"/>
      <c r="W37" s="56"/>
      <c r="X37" s="55"/>
      <c r="Y37" s="9"/>
      <c r="Z37" s="10"/>
      <c r="AA37" s="9"/>
      <c r="AB37" s="11"/>
      <c r="AC37" s="9"/>
      <c r="AD37" s="55"/>
      <c r="AE37" s="56"/>
      <c r="AF37" s="55"/>
      <c r="AG37" s="9"/>
      <c r="AH37" s="10"/>
      <c r="AI37" s="9"/>
      <c r="AJ37" s="11"/>
      <c r="AK37" s="9"/>
      <c r="AL37" s="55"/>
      <c r="AM37" s="56"/>
      <c r="AN37" s="55"/>
      <c r="AO37" s="10"/>
      <c r="AP37" s="9"/>
      <c r="AQ37" s="11"/>
      <c r="AR37" s="9"/>
      <c r="AS37" s="55"/>
      <c r="AT37" s="56"/>
      <c r="AU37" s="55"/>
      <c r="AV37" s="10"/>
      <c r="AW37" s="9"/>
      <c r="AX37" s="11"/>
      <c r="AY37" s="9"/>
      <c r="AZ37" s="55"/>
      <c r="BA37" s="56"/>
      <c r="BB37" s="55"/>
      <c r="BC37" s="10"/>
      <c r="BD37" s="9"/>
      <c r="BE37" s="11"/>
      <c r="BF37" s="9"/>
      <c r="BG37" s="55"/>
      <c r="BH37" s="56"/>
      <c r="BI37" s="55"/>
      <c r="BJ37" s="10"/>
      <c r="BK37" s="9"/>
      <c r="BL37" s="11"/>
      <c r="BM37" s="9"/>
      <c r="BN37" s="55"/>
      <c r="BO37" s="56"/>
      <c r="BP37" s="55"/>
      <c r="BQ37" s="10"/>
      <c r="BR37" s="9"/>
      <c r="BS37" s="11"/>
      <c r="BT37" s="9"/>
      <c r="BU37" s="55"/>
      <c r="BV37" s="56"/>
      <c r="BW37" s="55"/>
      <c r="BX37" s="10"/>
      <c r="BY37" s="9"/>
      <c r="BZ37" s="11"/>
      <c r="CA37" s="9"/>
      <c r="CB37" s="55"/>
      <c r="CC37" s="56"/>
      <c r="CD37" s="55"/>
      <c r="CE37" s="10"/>
      <c r="CF37" s="9"/>
      <c r="CG37" s="11"/>
      <c r="CH37" s="9"/>
      <c r="CI37" s="55"/>
      <c r="CJ37" s="56"/>
      <c r="CK37" s="55"/>
      <c r="CL37" s="10"/>
      <c r="CM37" s="9"/>
      <c r="CN37" s="11"/>
      <c r="CO37" s="9"/>
      <c r="CP37" s="55"/>
      <c r="CQ37" s="56"/>
      <c r="CR37" s="55"/>
    </row>
    <row r="38" spans="1:96" ht="12.75">
      <c r="A38" s="9" t="s">
        <v>29</v>
      </c>
      <c r="B38" s="9"/>
      <c r="C38" s="9"/>
      <c r="D38" s="10">
        <v>1376969.99</v>
      </c>
      <c r="E38" s="15">
        <v>0.15507800362710222</v>
      </c>
      <c r="F38" s="11">
        <v>1184</v>
      </c>
      <c r="G38" s="15">
        <v>0.1601081812035159</v>
      </c>
      <c r="H38" s="9"/>
      <c r="I38" s="9"/>
      <c r="J38" s="10">
        <v>823040.82</v>
      </c>
      <c r="K38" s="15">
        <v>0.13773513275197546</v>
      </c>
      <c r="L38" s="11">
        <v>1122</v>
      </c>
      <c r="M38" s="15">
        <v>0.16234987700766892</v>
      </c>
      <c r="N38" s="57"/>
      <c r="O38" s="56"/>
      <c r="P38" s="57"/>
      <c r="Q38" s="9"/>
      <c r="R38" s="10">
        <v>1050448.98</v>
      </c>
      <c r="S38" s="15">
        <v>0.14249594213771152</v>
      </c>
      <c r="T38" s="11">
        <v>1587</v>
      </c>
      <c r="U38" s="15">
        <v>0.1717160787708288</v>
      </c>
      <c r="V38" s="57"/>
      <c r="W38" s="56"/>
      <c r="X38" s="57"/>
      <c r="Y38" s="9"/>
      <c r="Z38" s="10">
        <v>1112418.91</v>
      </c>
      <c r="AA38" s="15">
        <v>0.1395321614822859</v>
      </c>
      <c r="AB38" s="11">
        <v>1436</v>
      </c>
      <c r="AC38" s="15">
        <v>0.1533696464808288</v>
      </c>
      <c r="AD38" s="57"/>
      <c r="AE38" s="56"/>
      <c r="AF38" s="57"/>
      <c r="AG38" s="9"/>
      <c r="AH38" s="10">
        <v>1084962.98</v>
      </c>
      <c r="AI38" s="15">
        <v>0.13208571774653052</v>
      </c>
      <c r="AJ38" s="11">
        <v>1425</v>
      </c>
      <c r="AK38" s="15">
        <v>0.15527950310559005</v>
      </c>
      <c r="AL38" s="57"/>
      <c r="AM38" s="56"/>
      <c r="AN38" s="57"/>
      <c r="AO38" s="10">
        <v>1447815.28</v>
      </c>
      <c r="AP38" s="15">
        <v>0.14168682616272518</v>
      </c>
      <c r="AQ38" s="11">
        <v>1816</v>
      </c>
      <c r="AR38" s="15">
        <v>0.16185383244206775</v>
      </c>
      <c r="AS38" s="57"/>
      <c r="AT38" s="56"/>
      <c r="AU38" s="57"/>
      <c r="AV38" s="10">
        <v>1946630.64</v>
      </c>
      <c r="AW38" s="15">
        <v>0.1449716957384977</v>
      </c>
      <c r="AX38" s="11">
        <v>2276</v>
      </c>
      <c r="AY38" s="15">
        <v>0.16329459032859808</v>
      </c>
      <c r="AZ38" s="57"/>
      <c r="BA38" s="56"/>
      <c r="BB38" s="57"/>
      <c r="BC38" s="10">
        <v>1817040.39</v>
      </c>
      <c r="BD38" s="15">
        <v>0.13882249092990168</v>
      </c>
      <c r="BE38" s="11">
        <v>2245</v>
      </c>
      <c r="BF38" s="15">
        <v>0.1571908696261028</v>
      </c>
      <c r="BG38" s="57"/>
      <c r="BH38" s="56"/>
      <c r="BI38" s="57"/>
      <c r="BJ38" s="10">
        <v>1295838.46</v>
      </c>
      <c r="BK38" s="15">
        <v>0.127179322633058</v>
      </c>
      <c r="BL38" s="11">
        <v>1875</v>
      </c>
      <c r="BM38" s="15">
        <v>0.15463917525773196</v>
      </c>
      <c r="BN38" s="57"/>
      <c r="BO38" s="56"/>
      <c r="BP38" s="57"/>
      <c r="BQ38" s="10">
        <v>705998.61</v>
      </c>
      <c r="BR38" s="15">
        <v>0.10291549365792882</v>
      </c>
      <c r="BS38" s="11">
        <v>1080</v>
      </c>
      <c r="BT38" s="15">
        <v>0.12705882352941175</v>
      </c>
      <c r="BU38" s="57"/>
      <c r="BV38" s="56"/>
      <c r="BW38" s="57"/>
      <c r="BX38" s="10">
        <v>457583.14</v>
      </c>
      <c r="BY38" s="15">
        <v>0.09196041202773</v>
      </c>
      <c r="BZ38" s="11">
        <v>667</v>
      </c>
      <c r="CA38" s="15">
        <v>0.10819140308191404</v>
      </c>
      <c r="CB38" s="57"/>
      <c r="CC38" s="56"/>
      <c r="CD38" s="57"/>
      <c r="CE38" s="10">
        <v>2293016.169999995</v>
      </c>
      <c r="CF38" s="15">
        <v>0.1333249494839368</v>
      </c>
      <c r="CG38" s="11">
        <v>3284</v>
      </c>
      <c r="CH38" s="15">
        <v>0.17302423603793468</v>
      </c>
      <c r="CI38" s="57"/>
      <c r="CJ38" s="56"/>
      <c r="CK38" s="57"/>
      <c r="CL38" s="10">
        <v>1877947.75</v>
      </c>
      <c r="CM38" s="15">
        <v>0.12526318106355838</v>
      </c>
      <c r="CN38" s="11">
        <v>2637</v>
      </c>
      <c r="CO38" s="15">
        <v>0.15741404011461319</v>
      </c>
      <c r="CP38" s="57"/>
      <c r="CQ38" s="56"/>
      <c r="CR38" s="57"/>
    </row>
    <row r="39" spans="1:96" ht="12.75">
      <c r="A39" s="9" t="s">
        <v>30</v>
      </c>
      <c r="B39" s="9"/>
      <c r="C39" s="9"/>
      <c r="D39" s="10">
        <v>540125.37</v>
      </c>
      <c r="E39" s="15">
        <v>0.06083034829825883</v>
      </c>
      <c r="F39" s="11">
        <v>445</v>
      </c>
      <c r="G39" s="15">
        <v>0.06017579445571332</v>
      </c>
      <c r="H39" s="9"/>
      <c r="I39" s="9"/>
      <c r="J39" s="10">
        <v>405742.92</v>
      </c>
      <c r="K39" s="15">
        <v>0.06790070867854914</v>
      </c>
      <c r="L39" s="11">
        <v>416</v>
      </c>
      <c r="M39" s="15">
        <v>0.060193893792504706</v>
      </c>
      <c r="N39" s="57"/>
      <c r="O39" s="56"/>
      <c r="P39" s="57"/>
      <c r="Q39" s="9"/>
      <c r="R39" s="10">
        <v>459837.06</v>
      </c>
      <c r="S39" s="15">
        <v>0.06237800820610574</v>
      </c>
      <c r="T39" s="11">
        <v>482</v>
      </c>
      <c r="U39" s="15">
        <v>0.052153213590132</v>
      </c>
      <c r="V39" s="57"/>
      <c r="W39" s="56"/>
      <c r="X39" s="57"/>
      <c r="Y39" s="9"/>
      <c r="Z39" s="10">
        <v>438313.4400000007</v>
      </c>
      <c r="AA39" s="15">
        <v>0.054978229100704774</v>
      </c>
      <c r="AB39" s="11">
        <v>474</v>
      </c>
      <c r="AC39" s="15">
        <v>0.0506247997436719</v>
      </c>
      <c r="AD39" s="57"/>
      <c r="AE39" s="56"/>
      <c r="AF39" s="57"/>
      <c r="AG39" s="9"/>
      <c r="AH39" s="10">
        <v>441926.82000000053</v>
      </c>
      <c r="AI39" s="15">
        <v>0.053801117906476216</v>
      </c>
      <c r="AJ39" s="11">
        <v>458</v>
      </c>
      <c r="AK39" s="15">
        <v>0.04990737713849842</v>
      </c>
      <c r="AL39" s="57"/>
      <c r="AM39" s="56"/>
      <c r="AN39" s="57"/>
      <c r="AO39" s="10">
        <v>531792.37</v>
      </c>
      <c r="AP39" s="15">
        <v>0.05204253202995179</v>
      </c>
      <c r="AQ39" s="11">
        <v>551</v>
      </c>
      <c r="AR39" s="15">
        <v>0.04910873440285205</v>
      </c>
      <c r="AS39" s="57"/>
      <c r="AT39" s="56"/>
      <c r="AU39" s="57"/>
      <c r="AV39" s="10">
        <v>629760.84</v>
      </c>
      <c r="AW39" s="15">
        <v>0.04690026706067914</v>
      </c>
      <c r="AX39" s="11">
        <v>639</v>
      </c>
      <c r="AY39" s="15">
        <v>0.04584588893671976</v>
      </c>
      <c r="AZ39" s="57"/>
      <c r="BA39" s="56"/>
      <c r="BB39" s="57"/>
      <c r="BC39" s="10">
        <v>596204.76</v>
      </c>
      <c r="BD39" s="15">
        <v>0.045550242219692255</v>
      </c>
      <c r="BE39" s="11">
        <v>636</v>
      </c>
      <c r="BF39" s="15">
        <v>0.04453157821033469</v>
      </c>
      <c r="BG39" s="57"/>
      <c r="BH39" s="56"/>
      <c r="BI39" s="57"/>
      <c r="BJ39" s="10">
        <v>502941.74</v>
      </c>
      <c r="BK39" s="15">
        <v>0.04936092868943836</v>
      </c>
      <c r="BL39" s="11">
        <v>539</v>
      </c>
      <c r="BM39" s="15">
        <v>0.04445360824742268</v>
      </c>
      <c r="BN39" s="57"/>
      <c r="BO39" s="56"/>
      <c r="BP39" s="57"/>
      <c r="BQ39" s="10">
        <v>400335.78</v>
      </c>
      <c r="BR39" s="15">
        <v>0.0583581240020175</v>
      </c>
      <c r="BS39" s="11">
        <v>431</v>
      </c>
      <c r="BT39" s="15">
        <v>0.05070588235294118</v>
      </c>
      <c r="BU39" s="57"/>
      <c r="BV39" s="56"/>
      <c r="BW39" s="57"/>
      <c r="BX39" s="10">
        <v>331356.29</v>
      </c>
      <c r="BY39" s="15">
        <v>0.06659262173947225</v>
      </c>
      <c r="BZ39" s="11">
        <v>360</v>
      </c>
      <c r="CA39" s="15">
        <v>0.058394160583941604</v>
      </c>
      <c r="CB39" s="57"/>
      <c r="CC39" s="56"/>
      <c r="CD39" s="57"/>
      <c r="CE39" s="10">
        <v>651039.14</v>
      </c>
      <c r="CF39" s="15">
        <v>0.037853967882208975</v>
      </c>
      <c r="CG39" s="11">
        <v>734</v>
      </c>
      <c r="CH39" s="15">
        <v>0.0386722866174921</v>
      </c>
      <c r="CI39" s="57"/>
      <c r="CJ39" s="56"/>
      <c r="CK39" s="57"/>
      <c r="CL39" s="10">
        <v>601007.28</v>
      </c>
      <c r="CM39" s="15">
        <v>0.04008848687891168</v>
      </c>
      <c r="CN39" s="11">
        <v>671</v>
      </c>
      <c r="CO39" s="15">
        <v>0.0400549188156638</v>
      </c>
      <c r="CP39" s="57"/>
      <c r="CQ39" s="56"/>
      <c r="CR39" s="57"/>
    </row>
    <row r="40" spans="1:96" ht="12.75">
      <c r="A40" s="9" t="s">
        <v>31</v>
      </c>
      <c r="B40" s="9"/>
      <c r="C40" s="9"/>
      <c r="D40" s="10">
        <v>497761.4</v>
      </c>
      <c r="E40" s="15">
        <v>0.056059205905156714</v>
      </c>
      <c r="F40" s="11">
        <v>454</v>
      </c>
      <c r="G40" s="15">
        <v>0.06139283299526707</v>
      </c>
      <c r="H40" s="9"/>
      <c r="I40" s="9"/>
      <c r="J40" s="10">
        <v>344103.97</v>
      </c>
      <c r="K40" s="15">
        <v>0.057585486450637845</v>
      </c>
      <c r="L40" s="11">
        <v>425</v>
      </c>
      <c r="M40" s="15">
        <v>0.06149616553320793</v>
      </c>
      <c r="N40" s="57"/>
      <c r="O40" s="56"/>
      <c r="P40" s="57"/>
      <c r="Q40" s="9"/>
      <c r="R40" s="10">
        <v>420847.28</v>
      </c>
      <c r="S40" s="15">
        <v>0.05708895034549253</v>
      </c>
      <c r="T40" s="11">
        <v>546</v>
      </c>
      <c r="U40" s="15">
        <v>0.05907812161869725</v>
      </c>
      <c r="V40" s="57"/>
      <c r="W40" s="56"/>
      <c r="X40" s="57"/>
      <c r="Y40" s="9"/>
      <c r="Z40" s="10">
        <v>452589.9</v>
      </c>
      <c r="AA40" s="15">
        <v>0.05676894418493084</v>
      </c>
      <c r="AB40" s="11">
        <v>555</v>
      </c>
      <c r="AC40" s="15">
        <v>0.059275873117590513</v>
      </c>
      <c r="AD40" s="57"/>
      <c r="AE40" s="56"/>
      <c r="AF40" s="57"/>
      <c r="AG40" s="9"/>
      <c r="AH40" s="10">
        <v>497002.01</v>
      </c>
      <c r="AI40" s="15">
        <v>0.060506089537099454</v>
      </c>
      <c r="AJ40" s="11">
        <v>584</v>
      </c>
      <c r="AK40" s="15">
        <v>0.06363735425520323</v>
      </c>
      <c r="AL40" s="57"/>
      <c r="AM40" s="56"/>
      <c r="AN40" s="57"/>
      <c r="AO40" s="10">
        <v>678360.92</v>
      </c>
      <c r="AP40" s="15">
        <v>0.06638609709080168</v>
      </c>
      <c r="AQ40" s="11">
        <v>838</v>
      </c>
      <c r="AR40" s="15">
        <v>0.07468805704099822</v>
      </c>
      <c r="AS40" s="57"/>
      <c r="AT40" s="56"/>
      <c r="AU40" s="57"/>
      <c r="AV40" s="10">
        <v>895791.8700000016</v>
      </c>
      <c r="AW40" s="15">
        <v>0.0667124331417388</v>
      </c>
      <c r="AX40" s="11">
        <v>1113</v>
      </c>
      <c r="AY40" s="15">
        <v>0.0798536375376668</v>
      </c>
      <c r="AZ40" s="57"/>
      <c r="BA40" s="56"/>
      <c r="BB40" s="57"/>
      <c r="BC40" s="10">
        <v>790169.649999997</v>
      </c>
      <c r="BD40" s="15">
        <v>0.060369224412346684</v>
      </c>
      <c r="BE40" s="11">
        <v>1037</v>
      </c>
      <c r="BF40" s="15">
        <v>0.07260887830836017</v>
      </c>
      <c r="BG40" s="57"/>
      <c r="BH40" s="56"/>
      <c r="BI40" s="57"/>
      <c r="BJ40" s="10">
        <v>539104.36</v>
      </c>
      <c r="BK40" s="15">
        <v>0.052910088293974755</v>
      </c>
      <c r="BL40" s="11">
        <v>735</v>
      </c>
      <c r="BM40" s="15">
        <v>0.060618556701030925</v>
      </c>
      <c r="BN40" s="57"/>
      <c r="BO40" s="56"/>
      <c r="BP40" s="57"/>
      <c r="BQ40" s="10">
        <v>371473.01</v>
      </c>
      <c r="BR40" s="15">
        <v>0.05415071313631447</v>
      </c>
      <c r="BS40" s="11">
        <v>485</v>
      </c>
      <c r="BT40" s="15">
        <v>0.057058823529411766</v>
      </c>
      <c r="BU40" s="57"/>
      <c r="BV40" s="56"/>
      <c r="BW40" s="57"/>
      <c r="BX40" s="10">
        <v>296163.01</v>
      </c>
      <c r="BY40" s="15">
        <v>0.059519833766105784</v>
      </c>
      <c r="BZ40" s="11">
        <v>385</v>
      </c>
      <c r="CA40" s="15">
        <v>0.062449310624493104</v>
      </c>
      <c r="CB40" s="57"/>
      <c r="CC40" s="56"/>
      <c r="CD40" s="57"/>
      <c r="CE40" s="10">
        <v>970864.8599999988</v>
      </c>
      <c r="CF40" s="15">
        <v>0.05644988906259197</v>
      </c>
      <c r="CG40" s="11">
        <v>1223</v>
      </c>
      <c r="CH40" s="15">
        <v>0.06443624868282402</v>
      </c>
      <c r="CI40" s="57"/>
      <c r="CJ40" s="56"/>
      <c r="CK40" s="57"/>
      <c r="CL40" s="10">
        <v>825166.74</v>
      </c>
      <c r="CM40" s="15">
        <v>0.055040408211701426</v>
      </c>
      <c r="CN40" s="11">
        <v>989</v>
      </c>
      <c r="CO40" s="15">
        <v>0.059037726838586435</v>
      </c>
      <c r="CP40" s="57"/>
      <c r="CQ40" s="56"/>
      <c r="CR40" s="57"/>
    </row>
    <row r="41" spans="1:96" ht="12.75">
      <c r="A41" s="9" t="s">
        <v>32</v>
      </c>
      <c r="B41" s="9"/>
      <c r="C41" s="9"/>
      <c r="D41" s="10">
        <v>300039.91</v>
      </c>
      <c r="E41" s="15">
        <v>0.03379128854598746</v>
      </c>
      <c r="F41" s="11">
        <v>243</v>
      </c>
      <c r="G41" s="15">
        <v>0.03286004056795132</v>
      </c>
      <c r="H41" s="9"/>
      <c r="I41" s="9"/>
      <c r="J41" s="10">
        <v>211135.87</v>
      </c>
      <c r="K41" s="15">
        <v>0.03533339583710301</v>
      </c>
      <c r="L41" s="11">
        <v>224</v>
      </c>
      <c r="M41" s="15">
        <v>0.03241209665750253</v>
      </c>
      <c r="N41" s="57"/>
      <c r="O41" s="56"/>
      <c r="P41" s="57"/>
      <c r="Q41" s="9"/>
      <c r="R41" s="10">
        <v>264359.89</v>
      </c>
      <c r="S41" s="15">
        <v>0.03586105780118112</v>
      </c>
      <c r="T41" s="11">
        <v>267</v>
      </c>
      <c r="U41" s="15">
        <v>0.028889850681670635</v>
      </c>
      <c r="V41" s="57"/>
      <c r="W41" s="56"/>
      <c r="X41" s="57"/>
      <c r="Y41" s="9"/>
      <c r="Z41" s="10">
        <v>291010.99</v>
      </c>
      <c r="AA41" s="15">
        <v>0.03650188978700468</v>
      </c>
      <c r="AB41" s="11">
        <v>289</v>
      </c>
      <c r="AC41" s="15">
        <v>0.030866175371141728</v>
      </c>
      <c r="AD41" s="57"/>
      <c r="AE41" s="56"/>
      <c r="AF41" s="57"/>
      <c r="AG41" s="9"/>
      <c r="AH41" s="10">
        <v>339344.4</v>
      </c>
      <c r="AI41" s="15">
        <v>0.04131251431018018</v>
      </c>
      <c r="AJ41" s="11">
        <v>309</v>
      </c>
      <c r="AK41" s="15">
        <v>0.03367113435763321</v>
      </c>
      <c r="AL41" s="57"/>
      <c r="AM41" s="56"/>
      <c r="AN41" s="57"/>
      <c r="AO41" s="10">
        <v>373782.44</v>
      </c>
      <c r="AP41" s="15">
        <v>0.03657928489258601</v>
      </c>
      <c r="AQ41" s="11">
        <v>366</v>
      </c>
      <c r="AR41" s="15">
        <v>0.032620320855614976</v>
      </c>
      <c r="AS41" s="57"/>
      <c r="AT41" s="56"/>
      <c r="AU41" s="57"/>
      <c r="AV41" s="10">
        <v>461212.87</v>
      </c>
      <c r="AW41" s="15">
        <v>0.034347970532468006</v>
      </c>
      <c r="AX41" s="11">
        <v>451</v>
      </c>
      <c r="AY41" s="15">
        <v>0.032357583584445404</v>
      </c>
      <c r="AZ41" s="57"/>
      <c r="BA41" s="56"/>
      <c r="BB41" s="57"/>
      <c r="BC41" s="10">
        <v>460625.58</v>
      </c>
      <c r="BD41" s="15">
        <v>0.0351919477153893</v>
      </c>
      <c r="BE41" s="11">
        <v>470</v>
      </c>
      <c r="BF41" s="15">
        <v>0.0329085562246184</v>
      </c>
      <c r="BG41" s="57"/>
      <c r="BH41" s="56"/>
      <c r="BI41" s="57"/>
      <c r="BJ41" s="10">
        <v>401514.1</v>
      </c>
      <c r="BK41" s="15">
        <v>0.039406371119454164</v>
      </c>
      <c r="BL41" s="11">
        <v>426</v>
      </c>
      <c r="BM41" s="15">
        <v>0.0351340206185567</v>
      </c>
      <c r="BN41" s="57"/>
      <c r="BO41" s="56"/>
      <c r="BP41" s="57"/>
      <c r="BQ41" s="10">
        <v>308450.76</v>
      </c>
      <c r="BR41" s="15">
        <v>0.04496377441106195</v>
      </c>
      <c r="BS41" s="11">
        <v>347</v>
      </c>
      <c r="BT41" s="15">
        <v>0.0408235294117647</v>
      </c>
      <c r="BU41" s="57"/>
      <c r="BV41" s="56"/>
      <c r="BW41" s="57"/>
      <c r="BX41" s="10">
        <v>233924.03</v>
      </c>
      <c r="BY41" s="15">
        <v>0.047011675696764246</v>
      </c>
      <c r="BZ41" s="11">
        <v>272</v>
      </c>
      <c r="CA41" s="15">
        <v>0.04412003244120032</v>
      </c>
      <c r="CB41" s="57"/>
      <c r="CC41" s="56"/>
      <c r="CD41" s="57"/>
      <c r="CE41" s="10">
        <v>603587.5199999993</v>
      </c>
      <c r="CF41" s="15">
        <v>0.03509494466981224</v>
      </c>
      <c r="CG41" s="11">
        <v>604</v>
      </c>
      <c r="CH41" s="15">
        <v>0.03182297154899895</v>
      </c>
      <c r="CI41" s="57"/>
      <c r="CJ41" s="56"/>
      <c r="CK41" s="57"/>
      <c r="CL41" s="10">
        <v>547441.08</v>
      </c>
      <c r="CM41" s="15">
        <v>0.036515505357201716</v>
      </c>
      <c r="CN41" s="11">
        <v>570</v>
      </c>
      <c r="CO41" s="15">
        <v>0.03402578796561605</v>
      </c>
      <c r="CP41" s="57"/>
      <c r="CQ41" s="56"/>
      <c r="CR41" s="57"/>
    </row>
    <row r="42" spans="1:96" ht="12.75">
      <c r="A42" s="9" t="s">
        <v>33</v>
      </c>
      <c r="B42" s="9"/>
      <c r="C42" s="9"/>
      <c r="D42" s="10">
        <v>714747.84</v>
      </c>
      <c r="E42" s="15">
        <v>0.08049679290685458</v>
      </c>
      <c r="F42" s="11">
        <v>564</v>
      </c>
      <c r="G42" s="15">
        <v>0.07626774847870182</v>
      </c>
      <c r="H42" s="9"/>
      <c r="I42" s="9"/>
      <c r="J42" s="10">
        <v>477732.8</v>
      </c>
      <c r="K42" s="15">
        <v>0.07994814962880332</v>
      </c>
      <c r="L42" s="11">
        <v>522</v>
      </c>
      <c r="M42" s="15">
        <v>0.07553176096078715</v>
      </c>
      <c r="N42" s="57"/>
      <c r="O42" s="56"/>
      <c r="P42" s="57"/>
      <c r="Q42" s="9"/>
      <c r="R42" s="10">
        <v>639784.8600000008</v>
      </c>
      <c r="S42" s="15">
        <v>0.08678836204985795</v>
      </c>
      <c r="T42" s="11">
        <v>802</v>
      </c>
      <c r="U42" s="15">
        <v>0.08677775373295823</v>
      </c>
      <c r="V42" s="57"/>
      <c r="W42" s="56"/>
      <c r="X42" s="57"/>
      <c r="Y42" s="9"/>
      <c r="Z42" s="10">
        <v>721272.43</v>
      </c>
      <c r="AA42" s="15">
        <v>0.09047014597718467</v>
      </c>
      <c r="AB42" s="11">
        <v>808</v>
      </c>
      <c r="AC42" s="15">
        <v>0.08629712698921285</v>
      </c>
      <c r="AD42" s="57"/>
      <c r="AE42" s="56"/>
      <c r="AF42" s="57"/>
      <c r="AG42" s="9"/>
      <c r="AH42" s="10">
        <v>740025.69</v>
      </c>
      <c r="AI42" s="15">
        <v>0.09009231302483826</v>
      </c>
      <c r="AJ42" s="11">
        <v>760</v>
      </c>
      <c r="AK42" s="15">
        <v>0.08281573498964803</v>
      </c>
      <c r="AL42" s="57"/>
      <c r="AM42" s="56"/>
      <c r="AN42" s="57"/>
      <c r="AO42" s="10">
        <v>857926.51</v>
      </c>
      <c r="AP42" s="15">
        <v>0.08395883505440233</v>
      </c>
      <c r="AQ42" s="11">
        <v>802</v>
      </c>
      <c r="AR42" s="15">
        <v>0.07147950089126559</v>
      </c>
      <c r="AS42" s="57"/>
      <c r="AT42" s="56"/>
      <c r="AU42" s="57"/>
      <c r="AV42" s="10">
        <v>1235486.63</v>
      </c>
      <c r="AW42" s="15">
        <v>0.092010568483265</v>
      </c>
      <c r="AX42" s="11">
        <v>1053</v>
      </c>
      <c r="AY42" s="15">
        <v>0.07554885923374946</v>
      </c>
      <c r="AZ42" s="57"/>
      <c r="BA42" s="56"/>
      <c r="BB42" s="57"/>
      <c r="BC42" s="10">
        <v>1296458.25</v>
      </c>
      <c r="BD42" s="15">
        <v>0.099049842063016</v>
      </c>
      <c r="BE42" s="11">
        <v>1201</v>
      </c>
      <c r="BF42" s="15">
        <v>0.08409186388461</v>
      </c>
      <c r="BG42" s="57"/>
      <c r="BH42" s="56"/>
      <c r="BI42" s="57"/>
      <c r="BJ42" s="10">
        <v>1048913.11</v>
      </c>
      <c r="BK42" s="15">
        <v>0.10294497574237321</v>
      </c>
      <c r="BL42" s="11">
        <v>1131</v>
      </c>
      <c r="BM42" s="15">
        <v>0.09327835051546392</v>
      </c>
      <c r="BN42" s="57"/>
      <c r="BO42" s="56"/>
      <c r="BP42" s="57"/>
      <c r="BQ42" s="10">
        <v>658553.46</v>
      </c>
      <c r="BR42" s="15">
        <v>0.09599927461052242</v>
      </c>
      <c r="BS42" s="11">
        <v>794</v>
      </c>
      <c r="BT42" s="15">
        <v>0.09341176470588235</v>
      </c>
      <c r="BU42" s="57"/>
      <c r="BV42" s="56"/>
      <c r="BW42" s="57"/>
      <c r="BX42" s="10">
        <v>465649.22</v>
      </c>
      <c r="BY42" s="15">
        <v>0.09358145086287722</v>
      </c>
      <c r="BZ42" s="11">
        <v>546</v>
      </c>
      <c r="CA42" s="15">
        <v>0.08856447688564477</v>
      </c>
      <c r="CB42" s="57"/>
      <c r="CC42" s="56"/>
      <c r="CD42" s="57"/>
      <c r="CE42" s="10">
        <v>1587838.09</v>
      </c>
      <c r="CF42" s="15">
        <v>0.09232313138808847</v>
      </c>
      <c r="CG42" s="11">
        <v>1480</v>
      </c>
      <c r="CH42" s="15">
        <v>0.0779768177028451</v>
      </c>
      <c r="CI42" s="57"/>
      <c r="CJ42" s="56"/>
      <c r="CK42" s="57"/>
      <c r="CL42" s="10">
        <v>1580836.92</v>
      </c>
      <c r="CM42" s="15">
        <v>0.1054452453972257</v>
      </c>
      <c r="CN42" s="11">
        <v>1367</v>
      </c>
      <c r="CO42" s="15">
        <v>0.08160219675262655</v>
      </c>
      <c r="CP42" s="57"/>
      <c r="CQ42" s="56"/>
      <c r="CR42" s="57"/>
    </row>
    <row r="43" spans="1:96" ht="12.75">
      <c r="A43" s="9" t="s">
        <v>40</v>
      </c>
      <c r="B43" s="9"/>
      <c r="C43" s="9"/>
      <c r="D43" s="10">
        <v>276901.42</v>
      </c>
      <c r="E43" s="15">
        <v>0.031185370579579427</v>
      </c>
      <c r="F43" s="11">
        <v>233</v>
      </c>
      <c r="G43" s="15">
        <v>0.031507775524002704</v>
      </c>
      <c r="H43" s="9"/>
      <c r="I43" s="9"/>
      <c r="J43" s="10">
        <v>167269.37</v>
      </c>
      <c r="K43" s="15">
        <v>0.02799237695438885</v>
      </c>
      <c r="L43" s="11">
        <v>185</v>
      </c>
      <c r="M43" s="15">
        <v>0.026768919114455215</v>
      </c>
      <c r="N43" s="57"/>
      <c r="O43" s="56"/>
      <c r="P43" s="57"/>
      <c r="Q43" s="9"/>
      <c r="R43" s="10">
        <v>206002.88</v>
      </c>
      <c r="S43" s="15">
        <v>0.027944788397702033</v>
      </c>
      <c r="T43" s="11">
        <v>240</v>
      </c>
      <c r="U43" s="15">
        <v>0.02596840510711967</v>
      </c>
      <c r="V43" s="57"/>
      <c r="W43" s="56"/>
      <c r="X43" s="57"/>
      <c r="Y43" s="9"/>
      <c r="Z43" s="10">
        <v>220483.02</v>
      </c>
      <c r="AA43" s="15">
        <v>0.027655474097201434</v>
      </c>
      <c r="AB43" s="11">
        <v>253</v>
      </c>
      <c r="AC43" s="15">
        <v>0.027021253871622342</v>
      </c>
      <c r="AD43" s="57"/>
      <c r="AE43" s="56"/>
      <c r="AF43" s="57"/>
      <c r="AG43" s="9"/>
      <c r="AH43" s="10">
        <v>238879.92</v>
      </c>
      <c r="AI43" s="15">
        <v>0.029081753267225518</v>
      </c>
      <c r="AJ43" s="11">
        <v>243</v>
      </c>
      <c r="AK43" s="15">
        <v>0.02647924158221641</v>
      </c>
      <c r="AL43" s="57"/>
      <c r="AM43" s="56"/>
      <c r="AN43" s="57"/>
      <c r="AO43" s="10">
        <v>265842.74</v>
      </c>
      <c r="AP43" s="15">
        <v>0.02601603575354067</v>
      </c>
      <c r="AQ43" s="11">
        <v>264</v>
      </c>
      <c r="AR43" s="15">
        <v>0.023529411764705882</v>
      </c>
      <c r="AS43" s="57"/>
      <c r="AT43" s="56"/>
      <c r="AU43" s="57"/>
      <c r="AV43" s="10">
        <v>331826.87</v>
      </c>
      <c r="AW43" s="15">
        <v>0.024712188869840276</v>
      </c>
      <c r="AX43" s="11">
        <v>309</v>
      </c>
      <c r="AY43" s="15">
        <v>0.022169608265174345</v>
      </c>
      <c r="AZ43" s="57"/>
      <c r="BA43" s="56"/>
      <c r="BB43" s="57"/>
      <c r="BC43" s="10">
        <v>317172.35</v>
      </c>
      <c r="BD43" s="15">
        <v>0.02423207316877006</v>
      </c>
      <c r="BE43" s="11">
        <v>307</v>
      </c>
      <c r="BF43" s="15">
        <v>0.021495588853101807</v>
      </c>
      <c r="BG43" s="57"/>
      <c r="BH43" s="56"/>
      <c r="BI43" s="57"/>
      <c r="BJ43" s="10">
        <v>259355.16</v>
      </c>
      <c r="BK43" s="15">
        <v>0.025454263465978937</v>
      </c>
      <c r="BL43" s="11">
        <v>269</v>
      </c>
      <c r="BM43" s="15">
        <v>0.022185567010309278</v>
      </c>
      <c r="BN43" s="57"/>
      <c r="BO43" s="56"/>
      <c r="BP43" s="57"/>
      <c r="BQ43" s="10">
        <v>196841.94</v>
      </c>
      <c r="BR43" s="15">
        <v>0.02869422848818981</v>
      </c>
      <c r="BS43" s="11">
        <v>225</v>
      </c>
      <c r="BT43" s="15">
        <v>0.026470588235294117</v>
      </c>
      <c r="BU43" s="57"/>
      <c r="BV43" s="56"/>
      <c r="BW43" s="57"/>
      <c r="BX43" s="10">
        <v>159378.8</v>
      </c>
      <c r="BY43" s="15">
        <v>0.03203033249102048</v>
      </c>
      <c r="BZ43" s="11">
        <v>185</v>
      </c>
      <c r="CA43" s="15">
        <v>0.030008110300081103</v>
      </c>
      <c r="CB43" s="57"/>
      <c r="CC43" s="56"/>
      <c r="CD43" s="57"/>
      <c r="CE43" s="10">
        <v>421496.88</v>
      </c>
      <c r="CF43" s="15">
        <v>0.024507481006397394</v>
      </c>
      <c r="CG43" s="11">
        <v>391</v>
      </c>
      <c r="CH43" s="15">
        <v>0.02060063224446786</v>
      </c>
      <c r="CI43" s="57"/>
      <c r="CJ43" s="56"/>
      <c r="CK43" s="57"/>
      <c r="CL43" s="10">
        <v>390066.52</v>
      </c>
      <c r="CM43" s="15">
        <v>0.026018281457294058</v>
      </c>
      <c r="CN43" s="11">
        <v>350</v>
      </c>
      <c r="CO43" s="15">
        <v>0.020893027698185292</v>
      </c>
      <c r="CP43" s="57"/>
      <c r="CQ43" s="56"/>
      <c r="CR43" s="57"/>
    </row>
    <row r="44" spans="1:96" ht="12.75">
      <c r="A44" s="9" t="s">
        <v>34</v>
      </c>
      <c r="B44" s="9"/>
      <c r="C44" s="9"/>
      <c r="D44" s="10">
        <v>2422361.55</v>
      </c>
      <c r="E44" s="15">
        <v>0.2728127671373968</v>
      </c>
      <c r="F44" s="11">
        <v>1868</v>
      </c>
      <c r="G44" s="15">
        <v>0.2526031102096011</v>
      </c>
      <c r="H44" s="9"/>
      <c r="I44" s="9"/>
      <c r="J44" s="10">
        <v>1645915.06</v>
      </c>
      <c r="K44" s="15">
        <v>0.27544238849243946</v>
      </c>
      <c r="L44" s="11">
        <v>1753</v>
      </c>
      <c r="M44" s="15">
        <v>0.25365359571697293</v>
      </c>
      <c r="N44" s="57"/>
      <c r="O44" s="56"/>
      <c r="P44" s="57"/>
      <c r="Q44" s="9"/>
      <c r="R44" s="10">
        <v>2090171.85</v>
      </c>
      <c r="S44" s="15">
        <v>0.2835368615384569</v>
      </c>
      <c r="T44" s="11">
        <v>2438</v>
      </c>
      <c r="U44" s="15">
        <v>0.2637957152131573</v>
      </c>
      <c r="V44" s="57"/>
      <c r="W44" s="56"/>
      <c r="X44" s="57"/>
      <c r="Y44" s="9"/>
      <c r="Z44" s="10">
        <v>2303035.67</v>
      </c>
      <c r="AA44" s="15">
        <v>0.2888727817526077</v>
      </c>
      <c r="AB44" s="11">
        <v>2706</v>
      </c>
      <c r="AC44" s="15">
        <v>0.28900993271387376</v>
      </c>
      <c r="AD44" s="57"/>
      <c r="AE44" s="56"/>
      <c r="AF44" s="57"/>
      <c r="AG44" s="9"/>
      <c r="AH44" s="10">
        <v>2393495</v>
      </c>
      <c r="AI44" s="15">
        <v>0.2913892094251282</v>
      </c>
      <c r="AJ44" s="11">
        <v>2617</v>
      </c>
      <c r="AK44" s="15">
        <v>0.2851694453525117</v>
      </c>
      <c r="AL44" s="57"/>
      <c r="AM44" s="56"/>
      <c r="AN44" s="57"/>
      <c r="AO44" s="10">
        <v>3014745.62</v>
      </c>
      <c r="AP44" s="15">
        <v>0.2950305501581502</v>
      </c>
      <c r="AQ44" s="11">
        <v>3224</v>
      </c>
      <c r="AR44" s="15">
        <v>0.2873440285204991</v>
      </c>
      <c r="AS44" s="57"/>
      <c r="AT44" s="56"/>
      <c r="AU44" s="57"/>
      <c r="AV44" s="10">
        <v>4212027.060000018</v>
      </c>
      <c r="AW44" s="15">
        <v>0.3136828799656837</v>
      </c>
      <c r="AX44" s="11">
        <v>4134</v>
      </c>
      <c r="AY44" s="15">
        <v>0.2965992251399053</v>
      </c>
      <c r="AZ44" s="57"/>
      <c r="BA44" s="56"/>
      <c r="BB44" s="57"/>
      <c r="BC44" s="10">
        <v>4197523.54</v>
      </c>
      <c r="BD44" s="15">
        <v>0.3206921963686774</v>
      </c>
      <c r="BE44" s="11">
        <v>4339</v>
      </c>
      <c r="BF44" s="15">
        <v>0.30380899033748776</v>
      </c>
      <c r="BG44" s="57"/>
      <c r="BH44" s="56"/>
      <c r="BI44" s="57"/>
      <c r="BJ44" s="10">
        <v>3257899.64</v>
      </c>
      <c r="BK44" s="15">
        <v>0.3197446921136172</v>
      </c>
      <c r="BL44" s="11">
        <v>3665</v>
      </c>
      <c r="BM44" s="15">
        <v>0.3022680412371134</v>
      </c>
      <c r="BN44" s="57"/>
      <c r="BO44" s="56"/>
      <c r="BP44" s="57"/>
      <c r="BQ44" s="10">
        <v>2183618.07</v>
      </c>
      <c r="BR44" s="15">
        <v>0.31831242788767494</v>
      </c>
      <c r="BS44" s="11">
        <v>2615</v>
      </c>
      <c r="BT44" s="15">
        <v>0.3076470588235294</v>
      </c>
      <c r="BU44" s="57"/>
      <c r="BV44" s="56"/>
      <c r="BW44" s="57"/>
      <c r="BX44" s="10">
        <v>1599140.23</v>
      </c>
      <c r="BY44" s="15">
        <v>0.32137896173560726</v>
      </c>
      <c r="BZ44" s="11">
        <v>1982</v>
      </c>
      <c r="CA44" s="15">
        <v>0.32149229521492295</v>
      </c>
      <c r="CB44" s="57"/>
      <c r="CC44" s="56"/>
      <c r="CD44" s="57"/>
      <c r="CE44" s="10">
        <v>6179262.419999981</v>
      </c>
      <c r="CF44" s="15">
        <v>0.35928654179289476</v>
      </c>
      <c r="CG44" s="11">
        <v>6173</v>
      </c>
      <c r="CH44" s="15">
        <v>0.32523709167544784</v>
      </c>
      <c r="CI44" s="57"/>
      <c r="CJ44" s="56"/>
      <c r="CK44" s="57"/>
      <c r="CL44" s="10">
        <v>5325910.3</v>
      </c>
      <c r="CM44" s="15">
        <v>0.3552497486882535</v>
      </c>
      <c r="CN44" s="11">
        <v>5696</v>
      </c>
      <c r="CO44" s="15">
        <v>0.34001910219675263</v>
      </c>
      <c r="CP44" s="57"/>
      <c r="CQ44" s="56"/>
      <c r="CR44" s="57"/>
    </row>
    <row r="45" spans="1:96" ht="12.75">
      <c r="A45" s="9" t="s">
        <v>35</v>
      </c>
      <c r="B45" s="9"/>
      <c r="C45" s="9"/>
      <c r="D45" s="10">
        <v>496410.75</v>
      </c>
      <c r="E45" s="15">
        <v>0.05590709212844401</v>
      </c>
      <c r="F45" s="11">
        <v>450</v>
      </c>
      <c r="G45" s="15">
        <v>0.060851926977687626</v>
      </c>
      <c r="H45" s="9"/>
      <c r="I45" s="9"/>
      <c r="J45" s="10">
        <v>329080.32</v>
      </c>
      <c r="K45" s="15">
        <v>0.055071292285676185</v>
      </c>
      <c r="L45" s="11">
        <v>415</v>
      </c>
      <c r="M45" s="15">
        <v>0.060049196932426566</v>
      </c>
      <c r="N45" s="57"/>
      <c r="O45" s="56"/>
      <c r="P45" s="57"/>
      <c r="Q45" s="9"/>
      <c r="R45" s="10">
        <v>451944.95</v>
      </c>
      <c r="S45" s="15">
        <v>0.06130742441639664</v>
      </c>
      <c r="T45" s="11">
        <v>606</v>
      </c>
      <c r="U45" s="15">
        <v>0.06557022289547718</v>
      </c>
      <c r="V45" s="57"/>
      <c r="W45" s="56"/>
      <c r="X45" s="57"/>
      <c r="Y45" s="9"/>
      <c r="Z45" s="10">
        <v>480493.53</v>
      </c>
      <c r="AA45" s="15">
        <v>0.06026893305791927</v>
      </c>
      <c r="AB45" s="11">
        <v>648</v>
      </c>
      <c r="AC45" s="15">
        <v>0.06920858699134892</v>
      </c>
      <c r="AD45" s="57"/>
      <c r="AE45" s="56"/>
      <c r="AF45" s="57"/>
      <c r="AG45" s="9"/>
      <c r="AH45" s="10">
        <v>472061.35</v>
      </c>
      <c r="AI45" s="15">
        <v>0.05746976015268846</v>
      </c>
      <c r="AJ45" s="11">
        <v>614</v>
      </c>
      <c r="AK45" s="15">
        <v>0.06690639642584723</v>
      </c>
      <c r="AL45" s="57"/>
      <c r="AM45" s="56"/>
      <c r="AN45" s="57"/>
      <c r="AO45" s="10">
        <v>570188.9799999994</v>
      </c>
      <c r="AP45" s="15">
        <v>0.05580012036422313</v>
      </c>
      <c r="AQ45" s="11">
        <v>717</v>
      </c>
      <c r="AR45" s="15">
        <v>0.06390374331550802</v>
      </c>
      <c r="AS45" s="57"/>
      <c r="AT45" s="56"/>
      <c r="AU45" s="57"/>
      <c r="AV45" s="10">
        <v>717634.91</v>
      </c>
      <c r="AW45" s="15">
        <v>0.05344452495818328</v>
      </c>
      <c r="AX45" s="11">
        <v>838</v>
      </c>
      <c r="AY45" s="15">
        <v>0.060123403644712296</v>
      </c>
      <c r="AZ45" s="57"/>
      <c r="BA45" s="56"/>
      <c r="BB45" s="57"/>
      <c r="BC45" s="10">
        <v>723324</v>
      </c>
      <c r="BD45" s="15">
        <v>0.055262194490558365</v>
      </c>
      <c r="BE45" s="11">
        <v>883</v>
      </c>
      <c r="BF45" s="15">
        <v>0.06182607477944266</v>
      </c>
      <c r="BG45" s="57"/>
      <c r="BH45" s="56"/>
      <c r="BI45" s="57"/>
      <c r="BJ45" s="10">
        <v>562036.8399999995</v>
      </c>
      <c r="BK45" s="15">
        <v>0.055160783394269976</v>
      </c>
      <c r="BL45" s="11">
        <v>721</v>
      </c>
      <c r="BM45" s="15">
        <v>0.059463917525773194</v>
      </c>
      <c r="BN45" s="57"/>
      <c r="BO45" s="56"/>
      <c r="BP45" s="57"/>
      <c r="BQ45" s="10">
        <v>390511.99</v>
      </c>
      <c r="BR45" s="15">
        <v>0.05692608124283723</v>
      </c>
      <c r="BS45" s="11">
        <v>496</v>
      </c>
      <c r="BT45" s="15">
        <v>0.05835294117647059</v>
      </c>
      <c r="BU45" s="57"/>
      <c r="BV45" s="56"/>
      <c r="BW45" s="57"/>
      <c r="BX45" s="10">
        <v>293370.13</v>
      </c>
      <c r="BY45" s="15">
        <v>0.05895854910963004</v>
      </c>
      <c r="BZ45" s="11">
        <v>363</v>
      </c>
      <c r="CA45" s="15">
        <v>0.05888077858880779</v>
      </c>
      <c r="CB45" s="57"/>
      <c r="CC45" s="56"/>
      <c r="CD45" s="57"/>
      <c r="CE45" s="10">
        <v>979225.8300000014</v>
      </c>
      <c r="CF45" s="15">
        <v>0.05693602863608091</v>
      </c>
      <c r="CG45" s="11">
        <v>1088</v>
      </c>
      <c r="CH45" s="15">
        <v>0.05732349841938883</v>
      </c>
      <c r="CI45" s="57"/>
      <c r="CJ45" s="56"/>
      <c r="CK45" s="57"/>
      <c r="CL45" s="10">
        <v>829535.369999999</v>
      </c>
      <c r="CM45" s="15">
        <v>0.0553318052916732</v>
      </c>
      <c r="CN45" s="11">
        <v>902</v>
      </c>
      <c r="CO45" s="15">
        <v>0.053844317096466095</v>
      </c>
      <c r="CP45" s="57"/>
      <c r="CQ45" s="56"/>
      <c r="CR45" s="57"/>
    </row>
    <row r="46" spans="1:96" ht="12.75">
      <c r="A46" s="9" t="s">
        <v>36</v>
      </c>
      <c r="B46" s="9"/>
      <c r="C46" s="9"/>
      <c r="D46" s="10">
        <v>383271.24</v>
      </c>
      <c r="E46" s="15">
        <v>0.04316502115408055</v>
      </c>
      <c r="F46" s="11">
        <v>261</v>
      </c>
      <c r="G46" s="15">
        <v>0.03529411764705882</v>
      </c>
      <c r="H46" s="9"/>
      <c r="I46" s="9"/>
      <c r="J46" s="10">
        <v>273560.28</v>
      </c>
      <c r="K46" s="15">
        <v>0.04578006408171541</v>
      </c>
      <c r="L46" s="11">
        <v>250</v>
      </c>
      <c r="M46" s="15">
        <v>0.03617421501953408</v>
      </c>
      <c r="N46" s="57"/>
      <c r="O46" s="56"/>
      <c r="P46" s="57"/>
      <c r="Q46" s="9"/>
      <c r="R46" s="10">
        <v>316751.93</v>
      </c>
      <c r="S46" s="15">
        <v>0.04296816461213418</v>
      </c>
      <c r="T46" s="11">
        <v>325</v>
      </c>
      <c r="U46" s="15">
        <v>0.03516554858255789</v>
      </c>
      <c r="V46" s="57"/>
      <c r="W46" s="56"/>
      <c r="X46" s="57"/>
      <c r="Y46" s="9"/>
      <c r="Z46" s="10">
        <v>353072.28</v>
      </c>
      <c r="AA46" s="15">
        <v>0.0442863187105286</v>
      </c>
      <c r="AB46" s="11">
        <v>369</v>
      </c>
      <c r="AC46" s="15">
        <v>0.039410445370073696</v>
      </c>
      <c r="AD46" s="57"/>
      <c r="AE46" s="56"/>
      <c r="AF46" s="57"/>
      <c r="AG46" s="9"/>
      <c r="AH46" s="10">
        <v>354476.66</v>
      </c>
      <c r="AI46" s="15">
        <v>0.04315474806383975</v>
      </c>
      <c r="AJ46" s="11">
        <v>348</v>
      </c>
      <c r="AK46" s="15">
        <v>0.03792088917947042</v>
      </c>
      <c r="AL46" s="57"/>
      <c r="AM46" s="56"/>
      <c r="AN46" s="57"/>
      <c r="AO46" s="10">
        <v>437093.45</v>
      </c>
      <c r="AP46" s="15">
        <v>0.04277505875405304</v>
      </c>
      <c r="AQ46" s="11">
        <v>409</v>
      </c>
      <c r="AR46" s="15">
        <v>0.03645276292335116</v>
      </c>
      <c r="AS46" s="57"/>
      <c r="AT46" s="56"/>
      <c r="AU46" s="57"/>
      <c r="AV46" s="10">
        <v>576273.15</v>
      </c>
      <c r="AW46" s="15">
        <v>0.04291687084719149</v>
      </c>
      <c r="AX46" s="11">
        <v>519</v>
      </c>
      <c r="AY46" s="15">
        <v>0.03723633232888506</v>
      </c>
      <c r="AZ46" s="57"/>
      <c r="BA46" s="56"/>
      <c r="BB46" s="57"/>
      <c r="BC46" s="10">
        <v>600922.78</v>
      </c>
      <c r="BD46" s="15">
        <v>0.04591070051894728</v>
      </c>
      <c r="BE46" s="11">
        <v>556</v>
      </c>
      <c r="BF46" s="15">
        <v>0.03893012183167623</v>
      </c>
      <c r="BG46" s="57"/>
      <c r="BH46" s="56"/>
      <c r="BI46" s="57"/>
      <c r="BJ46" s="10">
        <v>487808.79</v>
      </c>
      <c r="BK46" s="15">
        <v>0.04787571398880355</v>
      </c>
      <c r="BL46" s="11">
        <v>484</v>
      </c>
      <c r="BM46" s="15">
        <v>0.03991752577319588</v>
      </c>
      <c r="BN46" s="57"/>
      <c r="BO46" s="56"/>
      <c r="BP46" s="57"/>
      <c r="BQ46" s="10">
        <v>361037.26</v>
      </c>
      <c r="BR46" s="15">
        <v>0.052629463168215034</v>
      </c>
      <c r="BS46" s="11">
        <v>371</v>
      </c>
      <c r="BT46" s="15">
        <v>0.043647058823529414</v>
      </c>
      <c r="BU46" s="57"/>
      <c r="BV46" s="56"/>
      <c r="BW46" s="57"/>
      <c r="BX46" s="10">
        <v>279350.15</v>
      </c>
      <c r="BY46" s="15">
        <v>0.0561409559233502</v>
      </c>
      <c r="BZ46" s="11">
        <v>284</v>
      </c>
      <c r="CA46" s="15">
        <v>0.04606650446066504</v>
      </c>
      <c r="CB46" s="57"/>
      <c r="CC46" s="56"/>
      <c r="CD46" s="57"/>
      <c r="CE46" s="10">
        <v>842476.4200000006</v>
      </c>
      <c r="CF46" s="15">
        <v>0.04898488183705581</v>
      </c>
      <c r="CG46" s="11">
        <v>775</v>
      </c>
      <c r="CH46" s="15">
        <v>0.04083245521601686</v>
      </c>
      <c r="CI46" s="57"/>
      <c r="CJ46" s="56"/>
      <c r="CK46" s="57"/>
      <c r="CL46" s="10">
        <v>746247.14</v>
      </c>
      <c r="CM46" s="15">
        <v>0.04977630001472756</v>
      </c>
      <c r="CN46" s="11">
        <v>768</v>
      </c>
      <c r="CO46" s="15">
        <v>0.045845272206303724</v>
      </c>
      <c r="CP46" s="57"/>
      <c r="CQ46" s="56"/>
      <c r="CR46" s="57"/>
    </row>
    <row r="47" spans="1:96" ht="12.75">
      <c r="A47" s="9" t="s">
        <v>37</v>
      </c>
      <c r="B47" s="9"/>
      <c r="C47" s="9"/>
      <c r="D47" s="10">
        <v>517888.58</v>
      </c>
      <c r="E47" s="15">
        <v>0.05832598217167744</v>
      </c>
      <c r="F47" s="11">
        <v>425</v>
      </c>
      <c r="G47" s="15">
        <v>0.05747126436781609</v>
      </c>
      <c r="H47" s="9"/>
      <c r="I47" s="9"/>
      <c r="J47" s="10">
        <v>360879</v>
      </c>
      <c r="K47" s="15">
        <v>0.06039277246589081</v>
      </c>
      <c r="L47" s="11">
        <v>403</v>
      </c>
      <c r="M47" s="15">
        <v>0.05831283461148893</v>
      </c>
      <c r="N47" s="57"/>
      <c r="O47" s="56"/>
      <c r="P47" s="57"/>
      <c r="Q47" s="9"/>
      <c r="R47" s="10">
        <v>469657.63</v>
      </c>
      <c r="S47" s="15">
        <v>0.06371019225418705</v>
      </c>
      <c r="T47" s="11">
        <v>603</v>
      </c>
      <c r="U47" s="15">
        <v>0.06524561783163817</v>
      </c>
      <c r="V47" s="57"/>
      <c r="W47" s="56"/>
      <c r="X47" s="57"/>
      <c r="Y47" s="9"/>
      <c r="Z47" s="10">
        <v>506633.36</v>
      </c>
      <c r="AA47" s="15">
        <v>0.063547686185803</v>
      </c>
      <c r="AB47" s="11">
        <v>640</v>
      </c>
      <c r="AC47" s="15">
        <v>0.06835415999145573</v>
      </c>
      <c r="AD47" s="57"/>
      <c r="AE47" s="56"/>
      <c r="AF47" s="57"/>
      <c r="AG47" s="9"/>
      <c r="AH47" s="10">
        <v>521887.96</v>
      </c>
      <c r="AI47" s="15">
        <v>0.06353575840889288</v>
      </c>
      <c r="AJ47" s="11">
        <v>625</v>
      </c>
      <c r="AK47" s="15">
        <v>0.06810504522175002</v>
      </c>
      <c r="AL47" s="57"/>
      <c r="AM47" s="56"/>
      <c r="AN47" s="57"/>
      <c r="AO47" s="10">
        <v>622786.2199999993</v>
      </c>
      <c r="AP47" s="15">
        <v>0.06094741788446971</v>
      </c>
      <c r="AQ47" s="11">
        <v>755</v>
      </c>
      <c r="AR47" s="15">
        <v>0.06729055258467023</v>
      </c>
      <c r="AS47" s="57"/>
      <c r="AT47" s="56"/>
      <c r="AU47" s="57"/>
      <c r="AV47" s="10">
        <v>743413.5800000007</v>
      </c>
      <c r="AW47" s="15">
        <v>0.05536434345224705</v>
      </c>
      <c r="AX47" s="11">
        <v>850</v>
      </c>
      <c r="AY47" s="15">
        <v>0.06098435930549577</v>
      </c>
      <c r="AZ47" s="57"/>
      <c r="BA47" s="56"/>
      <c r="BB47" s="57"/>
      <c r="BC47" s="10">
        <v>729560.47</v>
      </c>
      <c r="BD47" s="15">
        <v>0.05573866287550687</v>
      </c>
      <c r="BE47" s="11">
        <v>886</v>
      </c>
      <c r="BF47" s="15">
        <v>0.06203612939364235</v>
      </c>
      <c r="BG47" s="57"/>
      <c r="BH47" s="56"/>
      <c r="BI47" s="57"/>
      <c r="BJ47" s="10">
        <v>536595.79</v>
      </c>
      <c r="BK47" s="15">
        <v>0.05266388612971921</v>
      </c>
      <c r="BL47" s="11">
        <v>766</v>
      </c>
      <c r="BM47" s="15">
        <v>0.06317525773195876</v>
      </c>
      <c r="BN47" s="57"/>
      <c r="BO47" s="56"/>
      <c r="BP47" s="57"/>
      <c r="BQ47" s="10">
        <v>322921.16</v>
      </c>
      <c r="BR47" s="15">
        <v>0.04707316717520313</v>
      </c>
      <c r="BS47" s="11">
        <v>494</v>
      </c>
      <c r="BT47" s="15">
        <v>0.05811764705882353</v>
      </c>
      <c r="BU47" s="57"/>
      <c r="BV47" s="56"/>
      <c r="BW47" s="57"/>
      <c r="BX47" s="10">
        <v>203996.33</v>
      </c>
      <c r="BY47" s="15">
        <v>0.04099711051186188</v>
      </c>
      <c r="BZ47" s="11">
        <v>282</v>
      </c>
      <c r="CA47" s="15">
        <v>0.045742092457420926</v>
      </c>
      <c r="CB47" s="57"/>
      <c r="CC47" s="56"/>
      <c r="CD47" s="57"/>
      <c r="CE47" s="10">
        <v>831306.710000001</v>
      </c>
      <c r="CF47" s="15">
        <v>0.04833543110880378</v>
      </c>
      <c r="CG47" s="11">
        <v>1103</v>
      </c>
      <c r="CH47" s="15">
        <v>0.05811380400421496</v>
      </c>
      <c r="CI47" s="57"/>
      <c r="CJ47" s="56"/>
      <c r="CK47" s="57"/>
      <c r="CL47" s="10">
        <v>729888.16</v>
      </c>
      <c r="CM47" s="15">
        <v>0.04868512062821102</v>
      </c>
      <c r="CN47" s="11">
        <v>976</v>
      </c>
      <c r="CO47" s="15">
        <v>0.05826170009551098</v>
      </c>
      <c r="CP47" s="57"/>
      <c r="CQ47" s="56"/>
      <c r="CR47" s="57"/>
    </row>
    <row r="48" spans="1:96" ht="12.75">
      <c r="A48" s="9" t="s">
        <v>38</v>
      </c>
      <c r="B48" s="9"/>
      <c r="C48" s="9"/>
      <c r="D48" s="10">
        <v>1144926.12</v>
      </c>
      <c r="E48" s="15">
        <v>0.12894460901803997</v>
      </c>
      <c r="F48" s="11">
        <v>1118</v>
      </c>
      <c r="G48" s="15">
        <v>0.15118323191345504</v>
      </c>
      <c r="H48" s="9"/>
      <c r="I48" s="9"/>
      <c r="J48" s="10">
        <v>792847.2499999993</v>
      </c>
      <c r="K48" s="15">
        <v>0.13268226627057045</v>
      </c>
      <c r="L48" s="11">
        <v>1057</v>
      </c>
      <c r="M48" s="15">
        <v>0.15294458110259007</v>
      </c>
      <c r="N48" s="57"/>
      <c r="O48" s="56"/>
      <c r="P48" s="57"/>
      <c r="Q48" s="9"/>
      <c r="R48" s="10">
        <v>822127.91</v>
      </c>
      <c r="S48" s="15">
        <v>0.11152363734329834</v>
      </c>
      <c r="T48" s="11">
        <v>1153</v>
      </c>
      <c r="U48" s="15">
        <v>0.12475654620212075</v>
      </c>
      <c r="V48" s="57"/>
      <c r="W48" s="56"/>
      <c r="X48" s="57"/>
      <c r="Y48" s="9"/>
      <c r="Z48" s="10">
        <v>892957.8700000017</v>
      </c>
      <c r="AA48" s="15">
        <v>0.11200487567558359</v>
      </c>
      <c r="AB48" s="11">
        <v>975</v>
      </c>
      <c r="AC48" s="15">
        <v>0.10413329061198334</v>
      </c>
      <c r="AD48" s="57"/>
      <c r="AE48" s="56"/>
      <c r="AF48" s="57"/>
      <c r="AG48" s="9"/>
      <c r="AH48" s="10">
        <v>923479.9600000009</v>
      </c>
      <c r="AI48" s="15">
        <v>0.11242642891017098</v>
      </c>
      <c r="AJ48" s="11">
        <v>978</v>
      </c>
      <c r="AK48" s="15">
        <v>0.10657077476299444</v>
      </c>
      <c r="AL48" s="57"/>
      <c r="AM48" s="56"/>
      <c r="AN48" s="57"/>
      <c r="AO48" s="10">
        <v>1184986.01</v>
      </c>
      <c r="AP48" s="15">
        <v>0.11596569612397736</v>
      </c>
      <c r="AQ48" s="11">
        <v>1251</v>
      </c>
      <c r="AR48" s="15">
        <v>0.11149732620320855</v>
      </c>
      <c r="AS48" s="57"/>
      <c r="AT48" s="56"/>
      <c r="AU48" s="57"/>
      <c r="AV48" s="10">
        <v>1409611.82</v>
      </c>
      <c r="AW48" s="15">
        <v>0.1049782180960792</v>
      </c>
      <c r="AX48" s="11">
        <v>1482</v>
      </c>
      <c r="AY48" s="15">
        <v>0.1063280241067585</v>
      </c>
      <c r="AZ48" s="57"/>
      <c r="BA48" s="56"/>
      <c r="BB48" s="57"/>
      <c r="BC48" s="10">
        <v>1310819.08</v>
      </c>
      <c r="BD48" s="15">
        <v>0.10014701425764207</v>
      </c>
      <c r="BE48" s="11">
        <v>1459</v>
      </c>
      <c r="BF48" s="15">
        <v>0.10215656070578351</v>
      </c>
      <c r="BG48" s="57"/>
      <c r="BH48" s="56"/>
      <c r="BI48" s="57"/>
      <c r="BJ48" s="10">
        <v>1110019.73</v>
      </c>
      <c r="BK48" s="15">
        <v>0.10894224992421506</v>
      </c>
      <c r="BL48" s="11">
        <v>1296</v>
      </c>
      <c r="BM48" s="15">
        <v>0.10688659793814433</v>
      </c>
      <c r="BN48" s="57"/>
      <c r="BO48" s="56"/>
      <c r="BP48" s="57"/>
      <c r="BQ48" s="10">
        <v>810178.3099999992</v>
      </c>
      <c r="BR48" s="15">
        <v>0.1181020749100291</v>
      </c>
      <c r="BS48" s="11">
        <v>992</v>
      </c>
      <c r="BT48" s="15">
        <v>0.11670588235294117</v>
      </c>
      <c r="BU48" s="57"/>
      <c r="BV48" s="56"/>
      <c r="BW48" s="57"/>
      <c r="BX48" s="10">
        <v>608698.4699999993</v>
      </c>
      <c r="BY48" s="15">
        <v>0.12233003624619736</v>
      </c>
      <c r="BZ48" s="11">
        <v>769</v>
      </c>
      <c r="CA48" s="15">
        <v>0.12473641524736415</v>
      </c>
      <c r="CB48" s="57"/>
      <c r="CC48" s="56"/>
      <c r="CD48" s="57"/>
      <c r="CE48" s="10">
        <v>1609243.35</v>
      </c>
      <c r="CF48" s="15">
        <v>0.09356771711998532</v>
      </c>
      <c r="CG48" s="11">
        <v>1903</v>
      </c>
      <c r="CH48" s="15">
        <v>0.10026343519494205</v>
      </c>
      <c r="CI48" s="57"/>
      <c r="CJ48" s="56"/>
      <c r="CK48" s="57"/>
      <c r="CL48" s="10">
        <v>1356163.36</v>
      </c>
      <c r="CM48" s="15">
        <v>0.09045903248130491</v>
      </c>
      <c r="CN48" s="11">
        <v>1642</v>
      </c>
      <c r="CO48" s="15">
        <v>0.09801814708691499</v>
      </c>
      <c r="CP48" s="57"/>
      <c r="CQ48" s="56"/>
      <c r="CR48" s="57"/>
    </row>
    <row r="49" spans="1:96" ht="12.75">
      <c r="A49" s="9" t="s">
        <v>39</v>
      </c>
      <c r="B49" s="9"/>
      <c r="C49" s="9"/>
      <c r="D49" s="10">
        <v>72947.59</v>
      </c>
      <c r="E49" s="15">
        <v>0.008215550599333233</v>
      </c>
      <c r="F49" s="11">
        <v>44</v>
      </c>
      <c r="G49" s="15">
        <v>0.005949966193373901</v>
      </c>
      <c r="H49" s="9"/>
      <c r="I49" s="9"/>
      <c r="J49" s="10">
        <v>61551.31</v>
      </c>
      <c r="K49" s="15">
        <v>0.010300555753611345</v>
      </c>
      <c r="L49" s="11">
        <v>42</v>
      </c>
      <c r="M49" s="15">
        <v>0.0060772681232817245</v>
      </c>
      <c r="N49" s="57"/>
      <c r="O49" s="56"/>
      <c r="P49" s="57"/>
      <c r="Q49" s="9"/>
      <c r="R49" s="10">
        <v>83899.23</v>
      </c>
      <c r="S49" s="15">
        <v>0.011381133259302654</v>
      </c>
      <c r="T49" s="11">
        <v>68</v>
      </c>
      <c r="U49" s="15">
        <v>0.007357714780350574</v>
      </c>
      <c r="V49" s="57"/>
      <c r="W49" s="56"/>
      <c r="X49" s="57"/>
      <c r="Y49" s="9"/>
      <c r="Z49" s="10">
        <v>94696.19</v>
      </c>
      <c r="AA49" s="15">
        <v>0.011877867191989046</v>
      </c>
      <c r="AB49" s="11">
        <v>78</v>
      </c>
      <c r="AC49" s="15">
        <v>0.008330663248958666</v>
      </c>
      <c r="AD49" s="57"/>
      <c r="AE49" s="56"/>
      <c r="AF49" s="57"/>
      <c r="AG49" s="9"/>
      <c r="AH49" s="10">
        <v>107981.77</v>
      </c>
      <c r="AI49" s="15">
        <v>0.013145932033543447</v>
      </c>
      <c r="AJ49" s="11">
        <v>88</v>
      </c>
      <c r="AK49" s="15">
        <v>0.009589190367222404</v>
      </c>
      <c r="AL49" s="57"/>
      <c r="AM49" s="56"/>
      <c r="AN49" s="57"/>
      <c r="AO49" s="10">
        <v>0</v>
      </c>
      <c r="AP49" s="15">
        <v>0</v>
      </c>
      <c r="AQ49" s="11">
        <v>0</v>
      </c>
      <c r="AR49" s="15">
        <v>0</v>
      </c>
      <c r="AS49" s="57"/>
      <c r="AT49" s="56"/>
      <c r="AU49" s="57"/>
      <c r="AV49" s="10">
        <v>103638.24</v>
      </c>
      <c r="AW49" s="15">
        <v>0.007718265133314353</v>
      </c>
      <c r="AX49" s="11">
        <v>85</v>
      </c>
      <c r="AY49" s="15">
        <v>0.006098435930549577</v>
      </c>
      <c r="AZ49" s="57"/>
      <c r="BA49" s="56"/>
      <c r="BB49" s="57"/>
      <c r="BC49" s="10">
        <v>99321.33</v>
      </c>
      <c r="BD49" s="15">
        <v>0.00758818268925257</v>
      </c>
      <c r="BE49" s="11">
        <v>84</v>
      </c>
      <c r="BF49" s="15">
        <v>0.005881529197591374</v>
      </c>
      <c r="BG49" s="57"/>
      <c r="BH49" s="56"/>
      <c r="BI49" s="57"/>
      <c r="BJ49" s="10">
        <v>90745.33</v>
      </c>
      <c r="BK49" s="15">
        <v>0.00890614838018724</v>
      </c>
      <c r="BL49" s="11">
        <v>86</v>
      </c>
      <c r="BM49" s="15">
        <v>0.0070927835051546395</v>
      </c>
      <c r="BN49" s="57"/>
      <c r="BO49" s="56"/>
      <c r="BP49" s="57"/>
      <c r="BQ49" s="10">
        <v>81720.99</v>
      </c>
      <c r="BR49" s="15">
        <v>0.011912709046360114</v>
      </c>
      <c r="BS49" s="11">
        <v>75</v>
      </c>
      <c r="BT49" s="15">
        <v>0.008823529411764706</v>
      </c>
      <c r="BU49" s="57"/>
      <c r="BV49" s="56"/>
      <c r="BW49" s="57"/>
      <c r="BX49" s="10">
        <v>0</v>
      </c>
      <c r="BY49" s="15">
        <v>0</v>
      </c>
      <c r="BZ49" s="11">
        <v>0</v>
      </c>
      <c r="CA49" s="15">
        <v>0</v>
      </c>
      <c r="CB49" s="57"/>
      <c r="CC49" s="56"/>
      <c r="CD49" s="57"/>
      <c r="CE49" s="10">
        <v>110424.21</v>
      </c>
      <c r="CF49" s="15">
        <v>0.006420496467782722</v>
      </c>
      <c r="CG49" s="11">
        <v>92</v>
      </c>
      <c r="CH49" s="15">
        <v>0.004847207586933615</v>
      </c>
      <c r="CI49" s="57"/>
      <c r="CJ49" s="56"/>
      <c r="CK49" s="57"/>
      <c r="CL49" s="10">
        <v>94104</v>
      </c>
      <c r="CM49" s="15">
        <v>0.006276940554285973</v>
      </c>
      <c r="CN49" s="11">
        <v>87</v>
      </c>
      <c r="CO49" s="15">
        <v>0.005193409742120344</v>
      </c>
      <c r="CP49" s="57"/>
      <c r="CQ49" s="56"/>
      <c r="CR49" s="57"/>
    </row>
    <row r="50" spans="1:96" ht="12.75">
      <c r="A50" s="9" t="s">
        <v>101</v>
      </c>
      <c r="B50" s="9"/>
      <c r="C50" s="9"/>
      <c r="D50" s="10">
        <v>134857.14</v>
      </c>
      <c r="E50" s="15">
        <v>0.015187967928088722</v>
      </c>
      <c r="F50" s="11">
        <v>106</v>
      </c>
      <c r="G50" s="15">
        <v>0.014334009465855307</v>
      </c>
      <c r="H50" s="9"/>
      <c r="I50" s="9"/>
      <c r="J50" s="10">
        <v>82673.95</v>
      </c>
      <c r="K50" s="15">
        <v>0.01383541034863883</v>
      </c>
      <c r="L50" s="11">
        <v>97</v>
      </c>
      <c r="M50" s="15">
        <v>0.014035595427579222</v>
      </c>
      <c r="N50" s="57"/>
      <c r="O50" s="56"/>
      <c r="P50" s="57"/>
      <c r="Q50" s="9"/>
      <c r="R50" s="10">
        <v>95947.26</v>
      </c>
      <c r="S50" s="15">
        <v>0.013015477638173309</v>
      </c>
      <c r="T50" s="11">
        <v>125</v>
      </c>
      <c r="U50" s="15">
        <v>0.013525210993291495</v>
      </c>
      <c r="V50" s="57"/>
      <c r="W50" s="56"/>
      <c r="X50" s="57"/>
      <c r="Y50" s="9"/>
      <c r="Z50" s="10">
        <v>105513.47</v>
      </c>
      <c r="AA50" s="15">
        <v>0.013234692796256334</v>
      </c>
      <c r="AB50" s="11">
        <v>132</v>
      </c>
      <c r="AC50" s="15">
        <v>0.014098045498237744</v>
      </c>
      <c r="AD50" s="57"/>
      <c r="AE50" s="56"/>
      <c r="AF50" s="57"/>
      <c r="AG50" s="9"/>
      <c r="AH50" s="10">
        <v>98557.96000000005</v>
      </c>
      <c r="AI50" s="15">
        <v>0.01199865721338606</v>
      </c>
      <c r="AJ50" s="11">
        <v>128</v>
      </c>
      <c r="AK50" s="15">
        <v>0.013947913261414405</v>
      </c>
      <c r="AL50" s="57"/>
      <c r="AM50" s="56"/>
      <c r="AN50" s="57"/>
      <c r="AO50" s="10">
        <v>233097.92</v>
      </c>
      <c r="AP50" s="15">
        <v>0.02281154573111895</v>
      </c>
      <c r="AQ50" s="11">
        <v>227</v>
      </c>
      <c r="AR50" s="15">
        <v>0.02023172905525847</v>
      </c>
      <c r="AS50" s="57"/>
      <c r="AT50" s="56"/>
      <c r="AU50" s="57"/>
      <c r="AV50" s="10">
        <v>164351.52</v>
      </c>
      <c r="AW50" s="15">
        <v>0.012239773720812093</v>
      </c>
      <c r="AX50" s="11">
        <v>189</v>
      </c>
      <c r="AY50" s="15">
        <v>0.013560051657339646</v>
      </c>
      <c r="AZ50" s="57"/>
      <c r="BA50" s="56"/>
      <c r="BB50" s="57"/>
      <c r="BC50" s="10">
        <v>149806</v>
      </c>
      <c r="BD50" s="15">
        <v>0.011445228290299491</v>
      </c>
      <c r="BE50" s="11">
        <v>179</v>
      </c>
      <c r="BF50" s="15">
        <v>0.012533258647248285</v>
      </c>
      <c r="BG50" s="57"/>
      <c r="BH50" s="56"/>
      <c r="BI50" s="57"/>
      <c r="BJ50" s="10">
        <v>96292.54</v>
      </c>
      <c r="BK50" s="15">
        <v>0.009450576124910393</v>
      </c>
      <c r="BL50" s="11">
        <v>132</v>
      </c>
      <c r="BM50" s="15">
        <v>0.01088659793814433</v>
      </c>
      <c r="BN50" s="57"/>
      <c r="BO50" s="56"/>
      <c r="BP50" s="57"/>
      <c r="BQ50" s="10">
        <v>68342.37</v>
      </c>
      <c r="BR50" s="15">
        <v>0.009962468263645486</v>
      </c>
      <c r="BS50" s="11">
        <v>95</v>
      </c>
      <c r="BT50" s="15">
        <v>0.011176470588235295</v>
      </c>
      <c r="BU50" s="57"/>
      <c r="BV50" s="56"/>
      <c r="BW50" s="57"/>
      <c r="BX50" s="10">
        <v>47261.12</v>
      </c>
      <c r="BY50" s="15">
        <v>0.009498059889383145</v>
      </c>
      <c r="BZ50" s="11">
        <v>70</v>
      </c>
      <c r="CA50" s="15">
        <v>0.0113544201135442</v>
      </c>
      <c r="CB50" s="57"/>
      <c r="CC50" s="56"/>
      <c r="CD50" s="57"/>
      <c r="CE50" s="10">
        <v>118921.11</v>
      </c>
      <c r="CF50" s="15">
        <v>0.006914539544360793</v>
      </c>
      <c r="CG50" s="11">
        <v>130</v>
      </c>
      <c r="CH50" s="15">
        <v>0.00684931506849315</v>
      </c>
      <c r="CI50" s="57"/>
      <c r="CJ50" s="56"/>
      <c r="CK50" s="57"/>
      <c r="CL50" s="10">
        <v>87702.46</v>
      </c>
      <c r="CM50" s="15">
        <v>0.005849943975650806</v>
      </c>
      <c r="CN50" s="11">
        <v>97</v>
      </c>
      <c r="CO50" s="15">
        <v>0.005790353390639924</v>
      </c>
      <c r="CP50" s="57"/>
      <c r="CQ50" s="56"/>
      <c r="CR50" s="57"/>
    </row>
    <row r="51" spans="1:96" ht="12.75">
      <c r="A51" s="9"/>
      <c r="B51" s="9"/>
      <c r="C51" s="9"/>
      <c r="D51" s="10"/>
      <c r="E51" s="9"/>
      <c r="F51" s="11"/>
      <c r="G51" s="9"/>
      <c r="H51" s="9"/>
      <c r="I51" s="9"/>
      <c r="J51" s="10"/>
      <c r="K51" s="9"/>
      <c r="L51" s="11"/>
      <c r="M51" s="9"/>
      <c r="N51" s="55"/>
      <c r="O51" s="56"/>
      <c r="P51" s="55"/>
      <c r="Q51" s="9"/>
      <c r="R51" s="10"/>
      <c r="S51" s="9"/>
      <c r="T51" s="11"/>
      <c r="U51" s="9"/>
      <c r="V51" s="55"/>
      <c r="W51" s="56"/>
      <c r="X51" s="55"/>
      <c r="Y51" s="9"/>
      <c r="Z51" s="10"/>
      <c r="AA51" s="9"/>
      <c r="AB51" s="11"/>
      <c r="AC51" s="9"/>
      <c r="AD51" s="55"/>
      <c r="AE51" s="56"/>
      <c r="AF51" s="55"/>
      <c r="AG51" s="9"/>
      <c r="AH51" s="10"/>
      <c r="AI51" s="9"/>
      <c r="AJ51" s="11"/>
      <c r="AK51" s="9"/>
      <c r="AL51" s="55"/>
      <c r="AM51" s="56"/>
      <c r="AN51" s="55"/>
      <c r="AO51" s="10"/>
      <c r="AP51" s="9"/>
      <c r="AQ51" s="11"/>
      <c r="AR51" s="9"/>
      <c r="AS51" s="55"/>
      <c r="AT51" s="56"/>
      <c r="AU51" s="55"/>
      <c r="AV51" s="10"/>
      <c r="AW51" s="9"/>
      <c r="AX51" s="11"/>
      <c r="AY51" s="9"/>
      <c r="AZ51" s="55"/>
      <c r="BA51" s="56"/>
      <c r="BB51" s="55"/>
      <c r="BC51" s="10"/>
      <c r="BD51" s="9"/>
      <c r="BE51" s="11"/>
      <c r="BF51" s="9"/>
      <c r="BG51" s="55"/>
      <c r="BH51" s="56"/>
      <c r="BI51" s="55"/>
      <c r="BJ51" s="10"/>
      <c r="BK51" s="9"/>
      <c r="BL51" s="11"/>
      <c r="BM51" s="9"/>
      <c r="BN51" s="55"/>
      <c r="BO51" s="56"/>
      <c r="BP51" s="55"/>
      <c r="BQ51" s="10"/>
      <c r="BR51" s="9"/>
      <c r="BS51" s="11"/>
      <c r="BT51" s="9"/>
      <c r="BU51" s="55"/>
      <c r="BV51" s="56"/>
      <c r="BW51" s="55"/>
      <c r="BX51" s="10"/>
      <c r="BY51" s="9"/>
      <c r="BZ51" s="11"/>
      <c r="CA51" s="9"/>
      <c r="CB51" s="55"/>
      <c r="CC51" s="56"/>
      <c r="CD51" s="55"/>
      <c r="CE51" s="10"/>
      <c r="CF51" s="9"/>
      <c r="CG51" s="11"/>
      <c r="CH51" s="9"/>
      <c r="CI51" s="55"/>
      <c r="CJ51" s="56"/>
      <c r="CK51" s="55"/>
      <c r="CL51" s="10"/>
      <c r="CM51" s="9"/>
      <c r="CN51" s="11"/>
      <c r="CO51" s="9"/>
      <c r="CP51" s="55"/>
      <c r="CQ51" s="56"/>
      <c r="CR51" s="55"/>
    </row>
    <row r="52" spans="1:96" ht="13.5" thickBot="1">
      <c r="A52" s="9"/>
      <c r="B52" s="13"/>
      <c r="C52" s="13"/>
      <c r="D52" s="22">
        <f>SUM(D38:D51)</f>
        <v>8879208.9</v>
      </c>
      <c r="E52" s="24"/>
      <c r="F52" s="23">
        <f>SUM(F38:F51)</f>
        <v>7395</v>
      </c>
      <c r="G52" s="24"/>
      <c r="H52" s="9"/>
      <c r="I52" s="9"/>
      <c r="J52" s="22">
        <f>SUM(J38:J50)</f>
        <v>5975532.919999999</v>
      </c>
      <c r="K52" s="24"/>
      <c r="L52" s="23">
        <f>SUM(L38:L51)</f>
        <v>6911</v>
      </c>
      <c r="M52" s="24"/>
      <c r="N52" s="58"/>
      <c r="O52" s="32"/>
      <c r="P52" s="58"/>
      <c r="Q52" s="9"/>
      <c r="R52" s="22">
        <f>SUM(R38:R50)</f>
        <v>7371781.710000001</v>
      </c>
      <c r="S52" s="24"/>
      <c r="T52" s="23">
        <f>SUM(T38:T51)</f>
        <v>9242</v>
      </c>
      <c r="U52" s="24"/>
      <c r="V52" s="58"/>
      <c r="W52" s="32"/>
      <c r="X52" s="58"/>
      <c r="Y52" s="9"/>
      <c r="Z52" s="22">
        <f>SUM(Z38:Z50)</f>
        <v>7972491.060000003</v>
      </c>
      <c r="AA52" s="24"/>
      <c r="AB52" s="23">
        <f>SUM(AB38:AB51)</f>
        <v>9363</v>
      </c>
      <c r="AC52" s="24"/>
      <c r="AD52" s="58"/>
      <c r="AE52" s="32"/>
      <c r="AF52" s="58"/>
      <c r="AG52" s="9"/>
      <c r="AH52" s="22">
        <f>SUM(AH38:AH50)</f>
        <v>8214082.48</v>
      </c>
      <c r="AI52" s="24"/>
      <c r="AJ52" s="23">
        <f>SUM(AJ38:AJ51)</f>
        <v>9177</v>
      </c>
      <c r="AK52" s="24"/>
      <c r="AL52" s="58"/>
      <c r="AM52" s="32"/>
      <c r="AN52" s="58"/>
      <c r="AO52" s="22">
        <f>SUM(AO38:AO50)</f>
        <v>10218418.459999999</v>
      </c>
      <c r="AP52" s="24"/>
      <c r="AQ52" s="23">
        <f>SUM(AQ38:AQ51)</f>
        <v>11220</v>
      </c>
      <c r="AR52" s="24"/>
      <c r="AS52" s="58"/>
      <c r="AT52" s="32"/>
      <c r="AU52" s="58"/>
      <c r="AV52" s="22">
        <f>SUM(AV38:AV50)</f>
        <v>13427660.00000002</v>
      </c>
      <c r="AW52" s="24"/>
      <c r="AX52" s="23">
        <f>SUM(AX38:AX51)</f>
        <v>13938</v>
      </c>
      <c r="AY52" s="24"/>
      <c r="AZ52" s="58"/>
      <c r="BA52" s="32"/>
      <c r="BB52" s="58"/>
      <c r="BC52" s="22">
        <f>SUM(BC38:BC50)</f>
        <v>13088948.179999996</v>
      </c>
      <c r="BD52" s="24"/>
      <c r="BE52" s="23">
        <f>SUM(BE38:BE51)</f>
        <v>14282</v>
      </c>
      <c r="BF52" s="24"/>
      <c r="BG52" s="58"/>
      <c r="BH52" s="32"/>
      <c r="BI52" s="58"/>
      <c r="BJ52" s="22">
        <f>SUM(BJ38:BJ50)</f>
        <v>10189065.59</v>
      </c>
      <c r="BK52" s="24"/>
      <c r="BL52" s="23">
        <f>SUM(BL38:BL51)</f>
        <v>12125</v>
      </c>
      <c r="BM52" s="24"/>
      <c r="BN52" s="58"/>
      <c r="BO52" s="32"/>
      <c r="BP52" s="58"/>
      <c r="BQ52" s="22">
        <f>SUM(BQ38:BQ50)</f>
        <v>6859983.71</v>
      </c>
      <c r="BR52" s="24"/>
      <c r="BS52" s="23">
        <f>SUM(BS38:BS51)</f>
        <v>8500</v>
      </c>
      <c r="BT52" s="24"/>
      <c r="BU52" s="58"/>
      <c r="BV52" s="32"/>
      <c r="BW52" s="58"/>
      <c r="BX52" s="22">
        <f>SUM(BX38:BX50)</f>
        <v>4975870.919999999</v>
      </c>
      <c r="BY52" s="24"/>
      <c r="BZ52" s="23">
        <f>SUM(BZ38:BZ51)</f>
        <v>6165</v>
      </c>
      <c r="CA52" s="24"/>
      <c r="CB52" s="58"/>
      <c r="CC52" s="32"/>
      <c r="CD52" s="58"/>
      <c r="CE52" s="22">
        <f>SUM(CE38:CE50)</f>
        <v>17198702.70999998</v>
      </c>
      <c r="CF52" s="24"/>
      <c r="CG52" s="23">
        <f>SUM(CG38:CG51)</f>
        <v>18980</v>
      </c>
      <c r="CH52" s="24"/>
      <c r="CI52" s="58"/>
      <c r="CJ52" s="32"/>
      <c r="CK52" s="58"/>
      <c r="CL52" s="22">
        <f>SUM(CL38:CL50)</f>
        <v>14992017.08</v>
      </c>
      <c r="CM52" s="24"/>
      <c r="CN52" s="23">
        <f>SUM(CN38:CN51)</f>
        <v>16752</v>
      </c>
      <c r="CO52" s="24"/>
      <c r="CP52" s="58"/>
      <c r="CQ52" s="32"/>
      <c r="CR52" s="58"/>
    </row>
    <row r="53" spans="1:96" ht="13.5" thickTop="1">
      <c r="A53" s="9"/>
      <c r="B53" s="9"/>
      <c r="C53" s="9"/>
      <c r="D53" s="10"/>
      <c r="E53" s="9"/>
      <c r="F53" s="11"/>
      <c r="G53" s="9"/>
      <c r="H53" s="9"/>
      <c r="I53" s="9"/>
      <c r="J53" s="10"/>
      <c r="K53" s="9"/>
      <c r="L53" s="11"/>
      <c r="M53" s="9"/>
      <c r="N53" s="9"/>
      <c r="O53" s="11"/>
      <c r="P53" s="9"/>
      <c r="Q53" s="9"/>
      <c r="R53" s="10"/>
      <c r="S53" s="9"/>
      <c r="T53" s="11"/>
      <c r="U53" s="9"/>
      <c r="V53" s="9"/>
      <c r="W53" s="11"/>
      <c r="X53" s="9"/>
      <c r="Y53" s="9"/>
      <c r="Z53" s="10"/>
      <c r="AA53" s="9"/>
      <c r="AB53" s="11"/>
      <c r="AC53" s="9"/>
      <c r="AD53" s="9"/>
      <c r="AE53" s="11"/>
      <c r="AF53" s="9"/>
      <c r="AG53" s="9"/>
      <c r="AH53" s="10"/>
      <c r="AI53" s="9"/>
      <c r="AJ53" s="11"/>
      <c r="AK53" s="9"/>
      <c r="AL53" s="9"/>
      <c r="AM53" s="11"/>
      <c r="AN53" s="9"/>
      <c r="AO53" s="10"/>
      <c r="AP53" s="9"/>
      <c r="AQ53" s="11"/>
      <c r="AR53" s="9"/>
      <c r="AS53" s="9"/>
      <c r="AT53" s="11"/>
      <c r="AU53" s="9"/>
      <c r="AV53" s="10"/>
      <c r="AW53" s="9"/>
      <c r="AX53" s="11"/>
      <c r="AY53" s="9"/>
      <c r="AZ53" s="9"/>
      <c r="BA53" s="11"/>
      <c r="BB53" s="9"/>
      <c r="BC53" s="10"/>
      <c r="BD53" s="9"/>
      <c r="BE53" s="11"/>
      <c r="BF53" s="9"/>
      <c r="BG53" s="9"/>
      <c r="BH53" s="11"/>
      <c r="BI53" s="9"/>
      <c r="BJ53" s="10"/>
      <c r="BK53" s="9"/>
      <c r="BL53" s="11"/>
      <c r="BM53" s="9"/>
      <c r="BN53" s="9"/>
      <c r="BO53" s="11"/>
      <c r="BP53" s="9"/>
      <c r="BQ53" s="10"/>
      <c r="BR53" s="9"/>
      <c r="BS53" s="11"/>
      <c r="BT53" s="9"/>
      <c r="BU53" s="9"/>
      <c r="BV53" s="11"/>
      <c r="BW53" s="9"/>
      <c r="BX53" s="10"/>
      <c r="BY53" s="9"/>
      <c r="BZ53" s="11"/>
      <c r="CA53" s="9"/>
      <c r="CB53" s="9"/>
      <c r="CC53" s="11"/>
      <c r="CD53" s="9"/>
      <c r="CE53" s="10"/>
      <c r="CF53" s="9"/>
      <c r="CG53" s="11"/>
      <c r="CH53" s="9"/>
      <c r="CI53" s="9"/>
      <c r="CJ53" s="11"/>
      <c r="CK53" s="9"/>
      <c r="CL53" s="10"/>
      <c r="CM53" s="9"/>
      <c r="CN53" s="11"/>
      <c r="CO53" s="9"/>
      <c r="CP53" s="9"/>
      <c r="CQ53" s="11"/>
      <c r="CR53" s="9"/>
    </row>
    <row r="54" spans="1:96" ht="12.75">
      <c r="A54" s="9"/>
      <c r="B54" s="9"/>
      <c r="C54" s="9"/>
      <c r="D54" s="10"/>
      <c r="E54" s="9"/>
      <c r="F54" s="11"/>
      <c r="G54" s="9"/>
      <c r="H54" s="9"/>
      <c r="I54" s="9"/>
      <c r="J54" s="9"/>
      <c r="K54" s="9"/>
      <c r="L54" s="9"/>
      <c r="M54" s="10"/>
      <c r="N54" s="9"/>
      <c r="O54" s="11"/>
      <c r="P54" s="9"/>
      <c r="Q54" s="9"/>
      <c r="R54" s="9"/>
      <c r="S54" s="9"/>
      <c r="T54" s="9"/>
      <c r="U54" s="10"/>
      <c r="V54" s="9"/>
      <c r="W54" s="11"/>
      <c r="X54" s="9"/>
      <c r="Y54" s="9"/>
      <c r="Z54" s="9"/>
      <c r="AA54" s="9"/>
      <c r="AB54" s="9"/>
      <c r="AC54" s="10"/>
      <c r="AD54" s="9"/>
      <c r="AE54" s="11"/>
      <c r="AF54" s="9"/>
      <c r="AG54" s="9"/>
      <c r="AH54" s="9"/>
      <c r="AI54" s="9"/>
      <c r="AJ54" s="9"/>
      <c r="AK54" s="10"/>
      <c r="AL54" s="9"/>
      <c r="AM54" s="11"/>
      <c r="AN54" s="9"/>
      <c r="AO54" s="9"/>
      <c r="AP54" s="9"/>
      <c r="AQ54" s="9"/>
      <c r="AR54" s="10"/>
      <c r="AS54" s="9"/>
      <c r="AT54" s="11"/>
      <c r="AU54" s="9"/>
      <c r="AV54" s="9"/>
      <c r="AW54" s="9"/>
      <c r="AX54" s="9"/>
      <c r="AY54" s="10"/>
      <c r="AZ54" s="9"/>
      <c r="BA54" s="11"/>
      <c r="BB54" s="9"/>
      <c r="BC54" s="9"/>
      <c r="BD54" s="9"/>
      <c r="BE54" s="9"/>
      <c r="BF54" s="10"/>
      <c r="BG54" s="9"/>
      <c r="BH54" s="11"/>
      <c r="BI54" s="9"/>
      <c r="BJ54" s="9"/>
      <c r="BK54" s="9"/>
      <c r="BL54" s="9"/>
      <c r="BM54" s="10"/>
      <c r="BN54" s="9"/>
      <c r="BO54" s="11"/>
      <c r="BP54" s="9"/>
      <c r="BQ54" s="9"/>
      <c r="BR54" s="9"/>
      <c r="BS54" s="9"/>
      <c r="BT54" s="10"/>
      <c r="BU54" s="9"/>
      <c r="BV54" s="11"/>
      <c r="BW54" s="9"/>
      <c r="BX54" s="9"/>
      <c r="BY54" s="9"/>
      <c r="BZ54" s="9"/>
      <c r="CA54" s="10"/>
      <c r="CB54" s="9"/>
      <c r="CC54" s="11"/>
      <c r="CD54" s="9"/>
      <c r="CE54" s="9"/>
      <c r="CF54" s="9"/>
      <c r="CG54" s="9"/>
      <c r="CH54" s="10"/>
      <c r="CI54" s="9"/>
      <c r="CJ54" s="11"/>
      <c r="CK54" s="9"/>
      <c r="CL54" s="9"/>
      <c r="CM54" s="9"/>
      <c r="CN54" s="9"/>
      <c r="CO54" s="10"/>
      <c r="CP54" s="9"/>
      <c r="CQ54" s="11"/>
      <c r="CR54" s="9"/>
    </row>
    <row r="55" spans="1:96" ht="12.75">
      <c r="A55" s="20" t="s">
        <v>115</v>
      </c>
      <c r="B55" s="9"/>
      <c r="C55" s="9"/>
      <c r="D55" s="10"/>
      <c r="E55" s="9"/>
      <c r="F55" s="11"/>
      <c r="G55" s="9"/>
      <c r="H55" s="9"/>
      <c r="I55" s="9"/>
      <c r="J55" s="20" t="s">
        <v>115</v>
      </c>
      <c r="K55" s="9"/>
      <c r="L55" s="9"/>
      <c r="M55" s="10"/>
      <c r="N55" s="9"/>
      <c r="O55" s="11"/>
      <c r="P55" s="9"/>
      <c r="Q55" s="9"/>
      <c r="R55" s="20" t="s">
        <v>115</v>
      </c>
      <c r="S55" s="9"/>
      <c r="T55" s="9"/>
      <c r="U55" s="10"/>
      <c r="V55" s="9"/>
      <c r="W55" s="11"/>
      <c r="X55" s="9"/>
      <c r="Y55" s="9"/>
      <c r="Z55" s="20" t="s">
        <v>115</v>
      </c>
      <c r="AA55" s="9"/>
      <c r="AB55" s="9"/>
      <c r="AC55" s="10"/>
      <c r="AD55" s="9"/>
      <c r="AE55" s="11"/>
      <c r="AF55" s="9"/>
      <c r="AG55" s="9"/>
      <c r="AH55" s="20" t="s">
        <v>115</v>
      </c>
      <c r="AI55" s="9"/>
      <c r="AJ55" s="9"/>
      <c r="AK55" s="10"/>
      <c r="AL55" s="9"/>
      <c r="AM55" s="11"/>
      <c r="AN55" s="9"/>
      <c r="AO55" s="20" t="s">
        <v>115</v>
      </c>
      <c r="AP55" s="9"/>
      <c r="AQ55" s="9"/>
      <c r="AR55" s="10"/>
      <c r="AS55" s="9"/>
      <c r="AT55" s="11"/>
      <c r="AU55" s="9"/>
      <c r="AV55" s="20" t="s">
        <v>115</v>
      </c>
      <c r="AW55" s="9"/>
      <c r="AX55" s="9"/>
      <c r="AY55" s="10"/>
      <c r="AZ55" s="9"/>
      <c r="BA55" s="11"/>
      <c r="BB55" s="9"/>
      <c r="BC55" s="20" t="s">
        <v>115</v>
      </c>
      <c r="BD55" s="9"/>
      <c r="BE55" s="9"/>
      <c r="BF55" s="10"/>
      <c r="BG55" s="9"/>
      <c r="BH55" s="11"/>
      <c r="BI55" s="9"/>
      <c r="BJ55" s="20" t="s">
        <v>115</v>
      </c>
      <c r="BK55" s="9"/>
      <c r="BL55" s="9"/>
      <c r="BM55" s="10"/>
      <c r="BN55" s="9"/>
      <c r="BO55" s="11"/>
      <c r="BP55" s="9"/>
      <c r="BQ55" s="20" t="s">
        <v>115</v>
      </c>
      <c r="BR55" s="9"/>
      <c r="BS55" s="9"/>
      <c r="BT55" s="10"/>
      <c r="BU55" s="9"/>
      <c r="BV55" s="11"/>
      <c r="BW55" s="9"/>
      <c r="BX55" s="20" t="s">
        <v>115</v>
      </c>
      <c r="BY55" s="9"/>
      <c r="BZ55" s="9"/>
      <c r="CA55" s="10"/>
      <c r="CB55" s="9"/>
      <c r="CC55" s="11"/>
      <c r="CD55" s="9"/>
      <c r="CE55" s="20" t="s">
        <v>115</v>
      </c>
      <c r="CF55" s="9"/>
      <c r="CG55" s="9"/>
      <c r="CH55" s="10"/>
      <c r="CI55" s="9"/>
      <c r="CJ55" s="11"/>
      <c r="CK55" s="9"/>
      <c r="CL55" s="20" t="s">
        <v>115</v>
      </c>
      <c r="CM55" s="9"/>
      <c r="CN55" s="9"/>
      <c r="CO55" s="10"/>
      <c r="CP55" s="9"/>
      <c r="CQ55" s="11"/>
      <c r="CR55" s="9"/>
    </row>
    <row r="56" spans="1:96" ht="12.75">
      <c r="A56" s="20"/>
      <c r="B56" s="9"/>
      <c r="C56" s="9"/>
      <c r="D56" s="10"/>
      <c r="E56" s="9"/>
      <c r="F56" s="11"/>
      <c r="G56" s="9"/>
      <c r="H56" s="9"/>
      <c r="I56" s="9"/>
      <c r="J56" s="20"/>
      <c r="K56" s="9"/>
      <c r="L56" s="9"/>
      <c r="M56" s="10"/>
      <c r="N56" s="9"/>
      <c r="O56" s="11"/>
      <c r="P56" s="9"/>
      <c r="Q56" s="9"/>
      <c r="R56" s="20"/>
      <c r="S56" s="9"/>
      <c r="T56" s="9"/>
      <c r="U56" s="10"/>
      <c r="V56" s="9"/>
      <c r="W56" s="11"/>
      <c r="X56" s="9"/>
      <c r="Y56" s="9"/>
      <c r="Z56" s="20"/>
      <c r="AA56" s="9"/>
      <c r="AB56" s="9"/>
      <c r="AC56" s="10"/>
      <c r="AD56" s="9"/>
      <c r="AE56" s="11"/>
      <c r="AF56" s="9"/>
      <c r="AG56" s="9"/>
      <c r="AH56" s="20"/>
      <c r="AI56" s="9"/>
      <c r="AJ56" s="9"/>
      <c r="AK56" s="10"/>
      <c r="AL56" s="9"/>
      <c r="AM56" s="11"/>
      <c r="AN56" s="9"/>
      <c r="AO56" s="20"/>
      <c r="AP56" s="9"/>
      <c r="AQ56" s="9"/>
      <c r="AR56" s="10"/>
      <c r="AS56" s="9"/>
      <c r="AT56" s="11"/>
      <c r="AU56" s="9"/>
      <c r="AV56" s="20"/>
      <c r="AW56" s="9"/>
      <c r="AX56" s="9"/>
      <c r="AY56" s="10"/>
      <c r="AZ56" s="9"/>
      <c r="BA56" s="11"/>
      <c r="BB56" s="9"/>
      <c r="BC56" s="20"/>
      <c r="BD56" s="9"/>
      <c r="BE56" s="9"/>
      <c r="BF56" s="10"/>
      <c r="BG56" s="9"/>
      <c r="BH56" s="11"/>
      <c r="BI56" s="9"/>
      <c r="BJ56" s="20"/>
      <c r="BK56" s="9"/>
      <c r="BL56" s="9"/>
      <c r="BM56" s="10"/>
      <c r="BN56" s="9"/>
      <c r="BO56" s="11"/>
      <c r="BP56" s="9"/>
      <c r="BQ56" s="20"/>
      <c r="BR56" s="9"/>
      <c r="BS56" s="9"/>
      <c r="BT56" s="10"/>
      <c r="BU56" s="9"/>
      <c r="BV56" s="11"/>
      <c r="BW56" s="9"/>
      <c r="BX56" s="20"/>
      <c r="BY56" s="9"/>
      <c r="BZ56" s="9"/>
      <c r="CA56" s="10"/>
      <c r="CB56" s="9"/>
      <c r="CC56" s="11"/>
      <c r="CD56" s="9"/>
      <c r="CE56" s="20"/>
      <c r="CF56" s="9"/>
      <c r="CG56" s="9"/>
      <c r="CH56" s="10"/>
      <c r="CI56" s="9"/>
      <c r="CJ56" s="11"/>
      <c r="CK56" s="9"/>
      <c r="CL56" s="20"/>
      <c r="CM56" s="9"/>
      <c r="CN56" s="9"/>
      <c r="CO56" s="10"/>
      <c r="CP56" s="9"/>
      <c r="CQ56" s="11"/>
      <c r="CR56" s="9"/>
    </row>
    <row r="57" spans="1:96" s="30" customFormat="1" ht="12.75">
      <c r="A57" s="26"/>
      <c r="B57" s="27"/>
      <c r="C57" s="27"/>
      <c r="D57" s="28" t="s">
        <v>143</v>
      </c>
      <c r="E57" s="27" t="s">
        <v>96</v>
      </c>
      <c r="F57" s="29" t="s">
        <v>97</v>
      </c>
      <c r="G57" s="27" t="s">
        <v>96</v>
      </c>
      <c r="H57" s="26"/>
      <c r="I57" s="26"/>
      <c r="J57" s="28" t="s">
        <v>143</v>
      </c>
      <c r="K57" s="27" t="s">
        <v>96</v>
      </c>
      <c r="L57" s="29" t="s">
        <v>97</v>
      </c>
      <c r="M57" s="27" t="s">
        <v>96</v>
      </c>
      <c r="N57" s="65"/>
      <c r="O57" s="66"/>
      <c r="P57" s="65"/>
      <c r="Q57" s="26"/>
      <c r="R57" s="28" t="s">
        <v>143</v>
      </c>
      <c r="S57" s="27" t="s">
        <v>96</v>
      </c>
      <c r="T57" s="29" t="s">
        <v>97</v>
      </c>
      <c r="U57" s="27" t="s">
        <v>96</v>
      </c>
      <c r="V57" s="65"/>
      <c r="W57" s="66"/>
      <c r="X57" s="65"/>
      <c r="Y57" s="26"/>
      <c r="Z57" s="28" t="s">
        <v>143</v>
      </c>
      <c r="AA57" s="27" t="s">
        <v>96</v>
      </c>
      <c r="AB57" s="29" t="s">
        <v>97</v>
      </c>
      <c r="AC57" s="27" t="s">
        <v>96</v>
      </c>
      <c r="AD57" s="65"/>
      <c r="AE57" s="66"/>
      <c r="AF57" s="65"/>
      <c r="AG57" s="26"/>
      <c r="AH57" s="28" t="s">
        <v>143</v>
      </c>
      <c r="AI57" s="27" t="s">
        <v>96</v>
      </c>
      <c r="AJ57" s="29" t="s">
        <v>97</v>
      </c>
      <c r="AK57" s="27" t="s">
        <v>96</v>
      </c>
      <c r="AL57" s="65"/>
      <c r="AM57" s="66"/>
      <c r="AN57" s="65"/>
      <c r="AO57" s="94" t="s">
        <v>143</v>
      </c>
      <c r="AP57" s="45" t="s">
        <v>96</v>
      </c>
      <c r="AQ57" s="93" t="s">
        <v>97</v>
      </c>
      <c r="AR57" s="45" t="s">
        <v>96</v>
      </c>
      <c r="AS57" s="65"/>
      <c r="AT57" s="66"/>
      <c r="AU57" s="65"/>
      <c r="AV57" s="94" t="s">
        <v>143</v>
      </c>
      <c r="AW57" s="45" t="s">
        <v>96</v>
      </c>
      <c r="AX57" s="93" t="s">
        <v>97</v>
      </c>
      <c r="AY57" s="45" t="s">
        <v>96</v>
      </c>
      <c r="AZ57" s="65"/>
      <c r="BA57" s="66"/>
      <c r="BB57" s="65"/>
      <c r="BC57" s="94" t="s">
        <v>143</v>
      </c>
      <c r="BD57" s="45" t="s">
        <v>96</v>
      </c>
      <c r="BE57" s="93" t="s">
        <v>97</v>
      </c>
      <c r="BF57" s="45" t="s">
        <v>96</v>
      </c>
      <c r="BG57" s="65"/>
      <c r="BH57" s="66"/>
      <c r="BI57" s="65"/>
      <c r="BJ57" s="94" t="s">
        <v>143</v>
      </c>
      <c r="BK57" s="45" t="s">
        <v>96</v>
      </c>
      <c r="BL57" s="93" t="s">
        <v>97</v>
      </c>
      <c r="BM57" s="45" t="s">
        <v>96</v>
      </c>
      <c r="BN57" s="65"/>
      <c r="BO57" s="66"/>
      <c r="BP57" s="65"/>
      <c r="BQ57" s="94" t="s">
        <v>143</v>
      </c>
      <c r="BR57" s="45" t="s">
        <v>96</v>
      </c>
      <c r="BS57" s="93" t="s">
        <v>97</v>
      </c>
      <c r="BT57" s="45" t="s">
        <v>96</v>
      </c>
      <c r="BU57" s="65"/>
      <c r="BV57" s="66"/>
      <c r="BW57" s="65"/>
      <c r="BX57" s="94" t="s">
        <v>143</v>
      </c>
      <c r="BY57" s="45" t="s">
        <v>96</v>
      </c>
      <c r="BZ57" s="93" t="s">
        <v>97</v>
      </c>
      <c r="CA57" s="45" t="s">
        <v>96</v>
      </c>
      <c r="CB57" s="65"/>
      <c r="CC57" s="66"/>
      <c r="CD57" s="65"/>
      <c r="CE57" s="94" t="s">
        <v>143</v>
      </c>
      <c r="CF57" s="45" t="s">
        <v>96</v>
      </c>
      <c r="CG57" s="93" t="s">
        <v>97</v>
      </c>
      <c r="CH57" s="45" t="s">
        <v>96</v>
      </c>
      <c r="CI57" s="65"/>
      <c r="CJ57" s="66"/>
      <c r="CK57" s="65"/>
      <c r="CL57" s="94" t="s">
        <v>143</v>
      </c>
      <c r="CM57" s="45" t="s">
        <v>96</v>
      </c>
      <c r="CN57" s="93" t="s">
        <v>97</v>
      </c>
      <c r="CO57" s="45" t="s">
        <v>96</v>
      </c>
      <c r="CP57" s="65"/>
      <c r="CQ57" s="66"/>
      <c r="CR57" s="65"/>
    </row>
    <row r="58" spans="1:96" ht="12.75">
      <c r="A58" s="13"/>
      <c r="B58" s="9"/>
      <c r="C58" s="9"/>
      <c r="D58" s="10"/>
      <c r="E58" s="9"/>
      <c r="F58" s="11"/>
      <c r="G58" s="9"/>
      <c r="H58" s="9"/>
      <c r="I58" s="9"/>
      <c r="J58" s="10"/>
      <c r="K58" s="9"/>
      <c r="L58" s="11"/>
      <c r="M58" s="9"/>
      <c r="N58" s="55"/>
      <c r="O58" s="56"/>
      <c r="P58" s="55"/>
      <c r="Q58" s="9"/>
      <c r="R58" s="10"/>
      <c r="S58" s="9"/>
      <c r="T58" s="11"/>
      <c r="U58" s="9"/>
      <c r="V58" s="55"/>
      <c r="W58" s="56"/>
      <c r="X58" s="55"/>
      <c r="Y58" s="9"/>
      <c r="Z58" s="10"/>
      <c r="AA58" s="9"/>
      <c r="AB58" s="11"/>
      <c r="AC58" s="9"/>
      <c r="AD58" s="55"/>
      <c r="AE58" s="56"/>
      <c r="AF58" s="55"/>
      <c r="AG58" s="9"/>
      <c r="AH58" s="10"/>
      <c r="AI58" s="9"/>
      <c r="AJ58" s="11"/>
      <c r="AK58" s="9"/>
      <c r="AL58" s="55"/>
      <c r="AM58" s="56"/>
      <c r="AN58" s="55"/>
      <c r="AO58" s="10"/>
      <c r="AP58" s="9"/>
      <c r="AQ58" s="11"/>
      <c r="AR58" s="9"/>
      <c r="AS58" s="55"/>
      <c r="AT58" s="56"/>
      <c r="AU58" s="55"/>
      <c r="AV58" s="10"/>
      <c r="AW58" s="9"/>
      <c r="AX58" s="11"/>
      <c r="AY58" s="9"/>
      <c r="AZ58" s="55"/>
      <c r="BA58" s="56"/>
      <c r="BB58" s="55"/>
      <c r="BC58" s="10"/>
      <c r="BD58" s="9"/>
      <c r="BE58" s="11"/>
      <c r="BF58" s="9"/>
      <c r="BG58" s="55"/>
      <c r="BH58" s="56"/>
      <c r="BI58" s="55"/>
      <c r="BJ58" s="10"/>
      <c r="BK58" s="9"/>
      <c r="BL58" s="11"/>
      <c r="BM58" s="9"/>
      <c r="BN58" s="55"/>
      <c r="BO58" s="56"/>
      <c r="BP58" s="55"/>
      <c r="BQ58" s="10"/>
      <c r="BR58" s="9"/>
      <c r="BS58" s="11"/>
      <c r="BT58" s="9"/>
      <c r="BU58" s="55"/>
      <c r="BV58" s="56"/>
      <c r="BW58" s="55"/>
      <c r="BX58" s="10"/>
      <c r="BY58" s="9"/>
      <c r="BZ58" s="11"/>
      <c r="CA58" s="9"/>
      <c r="CB58" s="55"/>
      <c r="CC58" s="56"/>
      <c r="CD58" s="55"/>
      <c r="CE58" s="10"/>
      <c r="CF58" s="9"/>
      <c r="CG58" s="11"/>
      <c r="CH58" s="9"/>
      <c r="CI58" s="55"/>
      <c r="CJ58" s="56"/>
      <c r="CK58" s="55"/>
      <c r="CL58" s="10"/>
      <c r="CM58" s="9"/>
      <c r="CN58" s="11"/>
      <c r="CO58" s="9"/>
      <c r="CP58" s="55"/>
      <c r="CQ58" s="56"/>
      <c r="CR58" s="55"/>
    </row>
    <row r="59" spans="1:96" ht="12.75">
      <c r="A59" s="9" t="s">
        <v>15</v>
      </c>
      <c r="B59" s="9"/>
      <c r="C59" s="9"/>
      <c r="D59" s="10">
        <v>5824108.359999991</v>
      </c>
      <c r="E59" s="15">
        <v>0.6559264936316566</v>
      </c>
      <c r="F59" s="11">
        <v>6360</v>
      </c>
      <c r="G59" s="15">
        <v>0.8600405679513184</v>
      </c>
      <c r="H59" s="9"/>
      <c r="I59" s="9"/>
      <c r="J59" s="10">
        <v>4364792.15</v>
      </c>
      <c r="K59" s="15">
        <v>0.7304439969514884</v>
      </c>
      <c r="L59" s="11">
        <v>6362</v>
      </c>
      <c r="M59" s="15">
        <v>0.9205614238171032</v>
      </c>
      <c r="N59" s="57"/>
      <c r="O59" s="56"/>
      <c r="P59" s="57"/>
      <c r="Q59" s="9"/>
      <c r="R59" s="10">
        <v>5594164.02999998</v>
      </c>
      <c r="S59" s="15">
        <v>0.758861866787425</v>
      </c>
      <c r="T59" s="11">
        <v>8626</v>
      </c>
      <c r="U59" s="15">
        <v>0.9333477602250595</v>
      </c>
      <c r="V59" s="57"/>
      <c r="W59" s="56"/>
      <c r="X59" s="57"/>
      <c r="Y59" s="9"/>
      <c r="Z59" s="10">
        <v>5999770.919999984</v>
      </c>
      <c r="AA59" s="15">
        <v>0.7525591279872812</v>
      </c>
      <c r="AB59" s="11">
        <v>8666</v>
      </c>
      <c r="AC59" s="15">
        <v>0.9255580476343053</v>
      </c>
      <c r="AD59" s="57"/>
      <c r="AE59" s="56"/>
      <c r="AF59" s="57"/>
      <c r="AG59" s="9"/>
      <c r="AH59" s="10">
        <v>6143311.509999996</v>
      </c>
      <c r="AI59" s="15">
        <v>0.7478999054316774</v>
      </c>
      <c r="AJ59" s="11">
        <v>8448</v>
      </c>
      <c r="AK59" s="15">
        <v>0.9205622752533508</v>
      </c>
      <c r="AL59" s="57"/>
      <c r="AM59" s="56"/>
      <c r="AN59" s="57"/>
      <c r="AO59" s="10">
        <v>7624776.899999997</v>
      </c>
      <c r="AP59" s="15">
        <v>0.7461797468803212</v>
      </c>
      <c r="AQ59" s="11">
        <v>10312</v>
      </c>
      <c r="AR59" s="15">
        <v>0.9190730837789661</v>
      </c>
      <c r="AS59" s="57"/>
      <c r="AT59" s="56"/>
      <c r="AU59" s="57"/>
      <c r="AV59" s="10">
        <v>9674553.270000005</v>
      </c>
      <c r="AW59" s="15">
        <v>0.7204943579149305</v>
      </c>
      <c r="AX59" s="11">
        <v>12634</v>
      </c>
      <c r="AY59" s="15">
        <v>0.9064428181948629</v>
      </c>
      <c r="AZ59" s="57"/>
      <c r="BA59" s="56"/>
      <c r="BB59" s="57"/>
      <c r="BC59" s="10">
        <v>9531726.740000015</v>
      </c>
      <c r="BD59" s="15">
        <v>0.7282270973128724</v>
      </c>
      <c r="BE59" s="11">
        <v>13045</v>
      </c>
      <c r="BF59" s="15">
        <v>0.9133874807449937</v>
      </c>
      <c r="BG59" s="57"/>
      <c r="BH59" s="56"/>
      <c r="BI59" s="57"/>
      <c r="BJ59" s="10">
        <v>7702169.289999986</v>
      </c>
      <c r="BK59" s="15">
        <v>0.7559249886033952</v>
      </c>
      <c r="BL59" s="11">
        <v>11244</v>
      </c>
      <c r="BM59" s="15">
        <v>0.927340206185567</v>
      </c>
      <c r="BN59" s="57"/>
      <c r="BO59" s="56"/>
      <c r="BP59" s="57"/>
      <c r="BQ59" s="10">
        <v>5329305.27</v>
      </c>
      <c r="BR59" s="15">
        <v>0.7768685022139799</v>
      </c>
      <c r="BS59" s="11">
        <v>7949</v>
      </c>
      <c r="BT59" s="15">
        <v>0.9351764705882353</v>
      </c>
      <c r="BU59" s="57"/>
      <c r="BV59" s="56"/>
      <c r="BW59" s="57"/>
      <c r="BX59" s="10">
        <v>3890999.89</v>
      </c>
      <c r="BY59" s="15">
        <v>0.7819736388981732</v>
      </c>
      <c r="BZ59" s="11">
        <v>5771</v>
      </c>
      <c r="CA59" s="15">
        <v>0.9360908353609083</v>
      </c>
      <c r="CB59" s="57"/>
      <c r="CC59" s="56"/>
      <c r="CD59" s="57"/>
      <c r="CE59" s="10">
        <v>12181796.940000065</v>
      </c>
      <c r="CF59" s="15">
        <v>0.7082974306496413</v>
      </c>
      <c r="CG59" s="11">
        <v>17238</v>
      </c>
      <c r="CH59" s="15">
        <v>0.9082191780821918</v>
      </c>
      <c r="CI59" s="57"/>
      <c r="CJ59" s="56"/>
      <c r="CK59" s="57"/>
      <c r="CL59" s="10">
        <v>10603477.38000002</v>
      </c>
      <c r="CM59" s="15">
        <v>0.7072748999296101</v>
      </c>
      <c r="CN59" s="11">
        <v>15233</v>
      </c>
      <c r="CO59" s="15">
        <v>0.9093242597898759</v>
      </c>
      <c r="CP59" s="57"/>
      <c r="CQ59" s="56"/>
      <c r="CR59" s="57"/>
    </row>
    <row r="60" spans="1:96" ht="12.75">
      <c r="A60" s="9" t="s">
        <v>16</v>
      </c>
      <c r="B60" s="9"/>
      <c r="C60" s="9"/>
      <c r="D60" s="10">
        <v>2358580.39</v>
      </c>
      <c r="E60" s="15">
        <v>0.2656295641383098</v>
      </c>
      <c r="F60" s="11">
        <v>910</v>
      </c>
      <c r="G60" s="15">
        <v>0.12305611899932387</v>
      </c>
      <c r="H60" s="9"/>
      <c r="I60" s="9"/>
      <c r="J60" s="10">
        <v>1262539.28</v>
      </c>
      <c r="K60" s="15">
        <v>0.21128480035216693</v>
      </c>
      <c r="L60" s="11">
        <v>487</v>
      </c>
      <c r="M60" s="15">
        <v>0.07046737085805238</v>
      </c>
      <c r="N60" s="57"/>
      <c r="O60" s="56"/>
      <c r="P60" s="57"/>
      <c r="Q60" s="9"/>
      <c r="R60" s="10">
        <v>1428220.03</v>
      </c>
      <c r="S60" s="15">
        <v>0.193741497806777</v>
      </c>
      <c r="T60" s="11">
        <v>552</v>
      </c>
      <c r="U60" s="15">
        <v>0.05972733174637524</v>
      </c>
      <c r="V60" s="57"/>
      <c r="W60" s="56"/>
      <c r="X60" s="57"/>
      <c r="Y60" s="9"/>
      <c r="Z60" s="10">
        <v>1632464.66</v>
      </c>
      <c r="AA60" s="15">
        <v>0.20476218132002566</v>
      </c>
      <c r="AB60" s="11">
        <v>637</v>
      </c>
      <c r="AC60" s="15">
        <v>0.06803374986649578</v>
      </c>
      <c r="AD60" s="57"/>
      <c r="AE60" s="56"/>
      <c r="AF60" s="57"/>
      <c r="AG60" s="9"/>
      <c r="AH60" s="10">
        <v>1682848.33</v>
      </c>
      <c r="AI60" s="15">
        <v>0.2048735612404031</v>
      </c>
      <c r="AJ60" s="11">
        <v>661</v>
      </c>
      <c r="AK60" s="15">
        <v>0.07202789582652283</v>
      </c>
      <c r="AL60" s="57"/>
      <c r="AM60" s="56"/>
      <c r="AN60" s="57"/>
      <c r="AO60" s="10">
        <v>2074462.3</v>
      </c>
      <c r="AP60" s="15">
        <v>0.20301207159605802</v>
      </c>
      <c r="AQ60" s="11">
        <v>813</v>
      </c>
      <c r="AR60" s="15">
        <v>0.07245989304812835</v>
      </c>
      <c r="AS60" s="57"/>
      <c r="AT60" s="56"/>
      <c r="AU60" s="57"/>
      <c r="AV60" s="10">
        <v>3050508.95</v>
      </c>
      <c r="AW60" s="15">
        <v>0.22718097941115592</v>
      </c>
      <c r="AX60" s="11">
        <v>1178</v>
      </c>
      <c r="AY60" s="15">
        <v>0.0845171473669106</v>
      </c>
      <c r="AZ60" s="57"/>
      <c r="BA60" s="56"/>
      <c r="BB60" s="57"/>
      <c r="BC60" s="10">
        <v>2898941.57</v>
      </c>
      <c r="BD60" s="15">
        <v>0.22148010139039265</v>
      </c>
      <c r="BE60" s="11">
        <v>1119</v>
      </c>
      <c r="BF60" s="15">
        <v>0.07835037109648509</v>
      </c>
      <c r="BG60" s="57"/>
      <c r="BH60" s="56"/>
      <c r="BI60" s="57"/>
      <c r="BJ60" s="10">
        <v>2064863.33</v>
      </c>
      <c r="BK60" s="15">
        <v>0.20265482754636013</v>
      </c>
      <c r="BL60" s="11">
        <v>803</v>
      </c>
      <c r="BM60" s="15">
        <v>0.06622680412371135</v>
      </c>
      <c r="BN60" s="57"/>
      <c r="BO60" s="56"/>
      <c r="BP60" s="57"/>
      <c r="BQ60" s="10">
        <v>1289923.42</v>
      </c>
      <c r="BR60" s="15">
        <v>0.18803593048182304</v>
      </c>
      <c r="BS60" s="11">
        <v>505</v>
      </c>
      <c r="BT60" s="15">
        <v>0.05941176470588235</v>
      </c>
      <c r="BU60" s="57"/>
      <c r="BV60" s="56"/>
      <c r="BW60" s="57"/>
      <c r="BX60" s="10">
        <v>920116.6500000011</v>
      </c>
      <c r="BY60" s="15">
        <v>0.18491569913955888</v>
      </c>
      <c r="BZ60" s="11">
        <v>362</v>
      </c>
      <c r="CA60" s="15">
        <v>0.05871857258718573</v>
      </c>
      <c r="CB60" s="57"/>
      <c r="CC60" s="56"/>
      <c r="CD60" s="57"/>
      <c r="CE60" s="10">
        <v>4167991.9199999943</v>
      </c>
      <c r="CF60" s="15">
        <v>0.24234339009630923</v>
      </c>
      <c r="CG60" s="11">
        <v>1588</v>
      </c>
      <c r="CH60" s="15">
        <v>0.08366701791359325</v>
      </c>
      <c r="CI60" s="57"/>
      <c r="CJ60" s="56"/>
      <c r="CK60" s="57"/>
      <c r="CL60" s="10">
        <v>3593060.33</v>
      </c>
      <c r="CM60" s="15">
        <v>0.23966490371687818</v>
      </c>
      <c r="CN60" s="11">
        <v>1378</v>
      </c>
      <c r="CO60" s="15">
        <v>0.08225883476599809</v>
      </c>
      <c r="CP60" s="57"/>
      <c r="CQ60" s="56"/>
      <c r="CR60" s="57"/>
    </row>
    <row r="61" spans="1:96" ht="12.75">
      <c r="A61" s="9" t="s">
        <v>17</v>
      </c>
      <c r="B61" s="9"/>
      <c r="C61" s="9"/>
      <c r="D61" s="10">
        <v>458774.32</v>
      </c>
      <c r="E61" s="15">
        <v>0.05166837779883752</v>
      </c>
      <c r="F61" s="11">
        <v>97</v>
      </c>
      <c r="G61" s="15">
        <v>0.013116970926301555</v>
      </c>
      <c r="H61" s="9"/>
      <c r="I61" s="9"/>
      <c r="J61" s="10">
        <v>225839.41</v>
      </c>
      <c r="K61" s="15">
        <v>0.03779401988467332</v>
      </c>
      <c r="L61" s="11">
        <v>48</v>
      </c>
      <c r="M61" s="15">
        <v>0.006945449283750542</v>
      </c>
      <c r="N61" s="57"/>
      <c r="O61" s="56"/>
      <c r="P61" s="57"/>
      <c r="Q61" s="9"/>
      <c r="R61" s="10">
        <v>233936.78</v>
      </c>
      <c r="S61" s="15">
        <v>0.031734089424088584</v>
      </c>
      <c r="T61" s="11">
        <v>49</v>
      </c>
      <c r="U61" s="15">
        <v>0.0053018827093702665</v>
      </c>
      <c r="V61" s="57"/>
      <c r="W61" s="56"/>
      <c r="X61" s="57"/>
      <c r="Y61" s="9"/>
      <c r="Z61" s="10">
        <v>201128.66</v>
      </c>
      <c r="AA61" s="15">
        <v>0.02522783136240987</v>
      </c>
      <c r="AB61" s="11">
        <v>42</v>
      </c>
      <c r="AC61" s="15">
        <v>0.004485741749439282</v>
      </c>
      <c r="AD61" s="57"/>
      <c r="AE61" s="56"/>
      <c r="AF61" s="57"/>
      <c r="AG61" s="9"/>
      <c r="AH61" s="10">
        <v>245698.85</v>
      </c>
      <c r="AI61" s="15">
        <v>0.029911904415159965</v>
      </c>
      <c r="AJ61" s="11">
        <v>51</v>
      </c>
      <c r="AK61" s="15">
        <v>0.005557371690094802</v>
      </c>
      <c r="AL61" s="57"/>
      <c r="AM61" s="56"/>
      <c r="AN61" s="57"/>
      <c r="AO61" s="10">
        <v>362311.03</v>
      </c>
      <c r="AP61" s="15">
        <v>0.035456664005126294</v>
      </c>
      <c r="AQ61" s="11">
        <v>76</v>
      </c>
      <c r="AR61" s="15">
        <v>0.006773618538324421</v>
      </c>
      <c r="AS61" s="57"/>
      <c r="AT61" s="56"/>
      <c r="AU61" s="57"/>
      <c r="AV61" s="10">
        <v>451280.56</v>
      </c>
      <c r="AW61" s="15">
        <v>0.03360828022157246</v>
      </c>
      <c r="AX61" s="11">
        <v>96</v>
      </c>
      <c r="AY61" s="15">
        <v>0.006887645286267757</v>
      </c>
      <c r="AZ61" s="57"/>
      <c r="BA61" s="56"/>
      <c r="BB61" s="57"/>
      <c r="BC61" s="10">
        <v>415185.82</v>
      </c>
      <c r="BD61" s="15">
        <v>0.03172033491846246</v>
      </c>
      <c r="BE61" s="11">
        <v>88</v>
      </c>
      <c r="BF61" s="15">
        <v>0.006161602016524296</v>
      </c>
      <c r="BG61" s="57"/>
      <c r="BH61" s="56"/>
      <c r="BI61" s="57"/>
      <c r="BJ61" s="10">
        <v>272837.53</v>
      </c>
      <c r="BK61" s="15">
        <v>0.02677748293894341</v>
      </c>
      <c r="BL61" s="11">
        <v>58</v>
      </c>
      <c r="BM61" s="15">
        <v>0.004783505154639175</v>
      </c>
      <c r="BN61" s="57"/>
      <c r="BO61" s="56"/>
      <c r="BP61" s="57"/>
      <c r="BQ61" s="10">
        <v>174579.97</v>
      </c>
      <c r="BR61" s="15">
        <v>0.025449035650844137</v>
      </c>
      <c r="BS61" s="11">
        <v>37</v>
      </c>
      <c r="BT61" s="15">
        <v>0.004352941176470588</v>
      </c>
      <c r="BU61" s="57"/>
      <c r="BV61" s="56"/>
      <c r="BW61" s="57"/>
      <c r="BX61" s="10">
        <v>116417.05</v>
      </c>
      <c r="BY61" s="15">
        <v>0.023396316317626637</v>
      </c>
      <c r="BZ61" s="11">
        <v>25</v>
      </c>
      <c r="CA61" s="15">
        <v>0.0040551500405515</v>
      </c>
      <c r="CB61" s="57"/>
      <c r="CC61" s="56"/>
      <c r="CD61" s="57"/>
      <c r="CE61" s="10">
        <v>544888.83</v>
      </c>
      <c r="CF61" s="15">
        <v>0.03168197271548734</v>
      </c>
      <c r="CG61" s="11">
        <v>117</v>
      </c>
      <c r="CH61" s="15">
        <v>0.0061643835616438354</v>
      </c>
      <c r="CI61" s="57"/>
      <c r="CJ61" s="56"/>
      <c r="CK61" s="57"/>
      <c r="CL61" s="10">
        <v>493330.12</v>
      </c>
      <c r="CM61" s="15">
        <v>0.03290618716397562</v>
      </c>
      <c r="CN61" s="11">
        <v>105</v>
      </c>
      <c r="CO61" s="15">
        <v>0.006267908309455587</v>
      </c>
      <c r="CP61" s="57"/>
      <c r="CQ61" s="56"/>
      <c r="CR61" s="57"/>
    </row>
    <row r="62" spans="1:96" ht="12.75">
      <c r="A62" s="9" t="s">
        <v>18</v>
      </c>
      <c r="B62" s="9"/>
      <c r="C62" s="9"/>
      <c r="D62" s="10">
        <v>146786.43</v>
      </c>
      <c r="E62" s="15">
        <v>0.016531476131843255</v>
      </c>
      <c r="F62" s="11">
        <v>21</v>
      </c>
      <c r="G62" s="15">
        <v>0.002839756592292089</v>
      </c>
      <c r="H62" s="9"/>
      <c r="I62" s="9"/>
      <c r="J62" s="10">
        <v>69484.21</v>
      </c>
      <c r="K62" s="15">
        <v>0.011628119354415675</v>
      </c>
      <c r="L62" s="11">
        <v>10</v>
      </c>
      <c r="M62" s="15">
        <v>0.0014469686007813631</v>
      </c>
      <c r="N62" s="57"/>
      <c r="O62" s="56"/>
      <c r="P62" s="57"/>
      <c r="Q62" s="9"/>
      <c r="R62" s="10">
        <v>67340.43</v>
      </c>
      <c r="S62" s="15">
        <v>0.00913489203141369</v>
      </c>
      <c r="T62" s="11">
        <v>10</v>
      </c>
      <c r="U62" s="15">
        <v>0.0010820168794633195</v>
      </c>
      <c r="V62" s="57"/>
      <c r="W62" s="56"/>
      <c r="X62" s="57"/>
      <c r="Y62" s="9"/>
      <c r="Z62" s="10">
        <v>79561.74</v>
      </c>
      <c r="AA62" s="15">
        <v>0.009979533297839804</v>
      </c>
      <c r="AB62" s="11">
        <v>12</v>
      </c>
      <c r="AC62" s="15">
        <v>0.001281640499839795</v>
      </c>
      <c r="AD62" s="57"/>
      <c r="AE62" s="56"/>
      <c r="AF62" s="57"/>
      <c r="AG62" s="9"/>
      <c r="AH62" s="10">
        <v>57013.54</v>
      </c>
      <c r="AI62" s="15">
        <v>0.006940950512588476</v>
      </c>
      <c r="AJ62" s="11">
        <v>9</v>
      </c>
      <c r="AK62" s="15">
        <v>0.0009807126511932004</v>
      </c>
      <c r="AL62" s="57"/>
      <c r="AM62" s="56"/>
      <c r="AN62" s="57"/>
      <c r="AO62" s="10">
        <v>86920.45</v>
      </c>
      <c r="AP62" s="15">
        <v>0.008506252737666808</v>
      </c>
      <c r="AQ62" s="11">
        <v>13</v>
      </c>
      <c r="AR62" s="15">
        <v>0.0011586452762923352</v>
      </c>
      <c r="AS62" s="57"/>
      <c r="AT62" s="56"/>
      <c r="AU62" s="57"/>
      <c r="AV62" s="10">
        <v>129823.57</v>
      </c>
      <c r="AW62" s="15">
        <v>0.009668368874398063</v>
      </c>
      <c r="AX62" s="11">
        <v>19</v>
      </c>
      <c r="AY62" s="15">
        <v>0.0013631797962404936</v>
      </c>
      <c r="AZ62" s="57"/>
      <c r="BA62" s="56"/>
      <c r="BB62" s="57"/>
      <c r="BC62" s="10">
        <v>129054.58</v>
      </c>
      <c r="BD62" s="15">
        <v>0.009859812891397654</v>
      </c>
      <c r="BE62" s="11">
        <v>19</v>
      </c>
      <c r="BF62" s="15">
        <v>0.0013303458899313822</v>
      </c>
      <c r="BG62" s="57"/>
      <c r="BH62" s="56"/>
      <c r="BI62" s="57"/>
      <c r="BJ62" s="10">
        <v>103053.14</v>
      </c>
      <c r="BK62" s="15">
        <v>0.01011409133543522</v>
      </c>
      <c r="BL62" s="11">
        <v>15</v>
      </c>
      <c r="BM62" s="15">
        <v>0.0012371134020618556</v>
      </c>
      <c r="BN62" s="57"/>
      <c r="BO62" s="56"/>
      <c r="BP62" s="57"/>
      <c r="BQ62" s="10">
        <v>57063.57</v>
      </c>
      <c r="BR62" s="15">
        <v>0.008318324417712065</v>
      </c>
      <c r="BS62" s="11">
        <v>8</v>
      </c>
      <c r="BT62" s="15">
        <v>0.0009411764705882353</v>
      </c>
      <c r="BU62" s="57"/>
      <c r="BV62" s="56"/>
      <c r="BW62" s="57"/>
      <c r="BX62" s="10">
        <v>40111.7</v>
      </c>
      <c r="BY62" s="15">
        <v>0.008061242070965932</v>
      </c>
      <c r="BZ62" s="11">
        <v>6</v>
      </c>
      <c r="CA62" s="15">
        <v>0.0009732360097323601</v>
      </c>
      <c r="CB62" s="57"/>
      <c r="CC62" s="56"/>
      <c r="CD62" s="57"/>
      <c r="CE62" s="10">
        <v>175267.29</v>
      </c>
      <c r="CF62" s="15">
        <v>0.010190727344690488</v>
      </c>
      <c r="CG62" s="11">
        <v>26</v>
      </c>
      <c r="CH62" s="15">
        <v>0.0013698630136986301</v>
      </c>
      <c r="CI62" s="57"/>
      <c r="CJ62" s="56"/>
      <c r="CK62" s="57"/>
      <c r="CL62" s="10">
        <v>142029.3</v>
      </c>
      <c r="CM62" s="15">
        <v>0.00947366183230094</v>
      </c>
      <c r="CN62" s="11">
        <v>21</v>
      </c>
      <c r="CO62" s="15">
        <v>0.0012535816618911176</v>
      </c>
      <c r="CP62" s="57"/>
      <c r="CQ62" s="56"/>
      <c r="CR62" s="57"/>
    </row>
    <row r="63" spans="1:96" ht="12.75">
      <c r="A63" s="9" t="s">
        <v>19</v>
      </c>
      <c r="B63" s="9"/>
      <c r="C63" s="9"/>
      <c r="D63" s="10">
        <v>16675.94</v>
      </c>
      <c r="E63" s="15">
        <v>0.0018780884860136607</v>
      </c>
      <c r="F63" s="11">
        <v>2</v>
      </c>
      <c r="G63" s="15">
        <v>0.0002704530087897228</v>
      </c>
      <c r="H63" s="9"/>
      <c r="I63" s="9"/>
      <c r="J63" s="10">
        <v>0</v>
      </c>
      <c r="K63" s="15">
        <v>0</v>
      </c>
      <c r="L63" s="11">
        <v>0</v>
      </c>
      <c r="M63" s="15">
        <v>0</v>
      </c>
      <c r="N63" s="57"/>
      <c r="O63" s="56"/>
      <c r="P63" s="57"/>
      <c r="Q63" s="9"/>
      <c r="R63" s="10">
        <v>26381.14</v>
      </c>
      <c r="S63" s="15">
        <v>0.003578665380746885</v>
      </c>
      <c r="T63" s="11">
        <v>3</v>
      </c>
      <c r="U63" s="15">
        <v>0.0003246050638389959</v>
      </c>
      <c r="V63" s="57"/>
      <c r="W63" s="56"/>
      <c r="X63" s="57"/>
      <c r="Y63" s="9"/>
      <c r="Z63" s="10">
        <v>27073.36</v>
      </c>
      <c r="AA63" s="15">
        <v>0.0033958470189868165</v>
      </c>
      <c r="AB63" s="11">
        <v>3</v>
      </c>
      <c r="AC63" s="15">
        <v>0.0003204101249599487</v>
      </c>
      <c r="AD63" s="57"/>
      <c r="AE63" s="56"/>
      <c r="AF63" s="57"/>
      <c r="AG63" s="9"/>
      <c r="AH63" s="10">
        <v>43774.63</v>
      </c>
      <c r="AI63" s="15">
        <v>0.005329217244480362</v>
      </c>
      <c r="AJ63" s="11">
        <v>5</v>
      </c>
      <c r="AK63" s="15">
        <v>0.0005448403617740002</v>
      </c>
      <c r="AL63" s="57"/>
      <c r="AM63" s="56"/>
      <c r="AN63" s="57"/>
      <c r="AO63" s="10">
        <v>18987</v>
      </c>
      <c r="AP63" s="15">
        <v>0.0018581153310881352</v>
      </c>
      <c r="AQ63" s="11">
        <v>2</v>
      </c>
      <c r="AR63" s="15">
        <v>0.00017825311942959</v>
      </c>
      <c r="AS63" s="57"/>
      <c r="AT63" s="56"/>
      <c r="AU63" s="57"/>
      <c r="AV63" s="10">
        <v>35808.81</v>
      </c>
      <c r="AW63" s="15">
        <v>0.0026667945122232735</v>
      </c>
      <c r="AX63" s="11">
        <v>4</v>
      </c>
      <c r="AY63" s="15">
        <v>0.00028698522026115655</v>
      </c>
      <c r="AZ63" s="57"/>
      <c r="BA63" s="56"/>
      <c r="BB63" s="57"/>
      <c r="BC63" s="10">
        <v>52870.76</v>
      </c>
      <c r="BD63" s="15">
        <v>0.0040393436716929495</v>
      </c>
      <c r="BE63" s="11">
        <v>6</v>
      </c>
      <c r="BF63" s="15">
        <v>0.0004201092283993838</v>
      </c>
      <c r="BG63" s="57"/>
      <c r="BH63" s="56"/>
      <c r="BI63" s="57"/>
      <c r="BJ63" s="10">
        <v>25778.49</v>
      </c>
      <c r="BK63" s="15">
        <v>0.0025300151198653768</v>
      </c>
      <c r="BL63" s="11">
        <v>3</v>
      </c>
      <c r="BM63" s="15">
        <v>0.00024742268041237116</v>
      </c>
      <c r="BN63" s="57"/>
      <c r="BO63" s="56"/>
      <c r="BP63" s="57"/>
      <c r="BQ63" s="10">
        <v>9111.48</v>
      </c>
      <c r="BR63" s="15">
        <v>0.001328207235640797</v>
      </c>
      <c r="BS63" s="11">
        <v>1</v>
      </c>
      <c r="BT63" s="15">
        <v>0.00011764705882352942</v>
      </c>
      <c r="BU63" s="57"/>
      <c r="BV63" s="56"/>
      <c r="BW63" s="57"/>
      <c r="BX63" s="10">
        <v>8225.63</v>
      </c>
      <c r="BY63" s="15">
        <v>0.0016531035736754983</v>
      </c>
      <c r="BZ63" s="11">
        <v>1</v>
      </c>
      <c r="CA63" s="15">
        <v>0.00016220600162206002</v>
      </c>
      <c r="CB63" s="57"/>
      <c r="CC63" s="56"/>
      <c r="CD63" s="57"/>
      <c r="CE63" s="10">
        <v>34884.31</v>
      </c>
      <c r="CF63" s="15">
        <v>0.00202831054110359</v>
      </c>
      <c r="CG63" s="11">
        <v>4</v>
      </c>
      <c r="CH63" s="15">
        <v>0.00021074815595363542</v>
      </c>
      <c r="CI63" s="57"/>
      <c r="CJ63" s="56"/>
      <c r="CK63" s="57"/>
      <c r="CL63" s="10">
        <v>71367.58</v>
      </c>
      <c r="CM63" s="15">
        <v>0.004760372111315652</v>
      </c>
      <c r="CN63" s="11">
        <v>8</v>
      </c>
      <c r="CO63" s="15">
        <v>0.0004775549188156638</v>
      </c>
      <c r="CP63" s="57"/>
      <c r="CQ63" s="56"/>
      <c r="CR63" s="57"/>
    </row>
    <row r="64" spans="1:96" ht="12.75">
      <c r="A64" s="9" t="s">
        <v>20</v>
      </c>
      <c r="B64" s="9"/>
      <c r="C64" s="9"/>
      <c r="D64" s="10">
        <v>0</v>
      </c>
      <c r="E64" s="15">
        <v>0</v>
      </c>
      <c r="F64" s="11">
        <v>0</v>
      </c>
      <c r="G64" s="15">
        <v>0</v>
      </c>
      <c r="H64" s="9"/>
      <c r="I64" s="9"/>
      <c r="J64" s="10">
        <v>21643.87</v>
      </c>
      <c r="K64" s="15">
        <v>0.003622081961519844</v>
      </c>
      <c r="L64" s="11">
        <v>2</v>
      </c>
      <c r="M64" s="15">
        <v>0.0002893937201562726</v>
      </c>
      <c r="N64" s="57"/>
      <c r="O64" s="56"/>
      <c r="P64" s="57"/>
      <c r="Q64" s="9"/>
      <c r="R64" s="10">
        <v>21739.3</v>
      </c>
      <c r="S64" s="15">
        <v>0.002948988569548957</v>
      </c>
      <c r="T64" s="11">
        <v>2</v>
      </c>
      <c r="U64" s="15">
        <v>0.00021640337589266391</v>
      </c>
      <c r="V64" s="57"/>
      <c r="W64" s="56"/>
      <c r="X64" s="57"/>
      <c r="Y64" s="9"/>
      <c r="Z64" s="10">
        <v>32491.72</v>
      </c>
      <c r="AA64" s="15">
        <v>0.004075479013456562</v>
      </c>
      <c r="AB64" s="11">
        <v>3</v>
      </c>
      <c r="AC64" s="15">
        <v>0.0003204101249599487</v>
      </c>
      <c r="AD64" s="57"/>
      <c r="AE64" s="56"/>
      <c r="AF64" s="57"/>
      <c r="AG64" s="9"/>
      <c r="AH64" s="10">
        <v>10520.09</v>
      </c>
      <c r="AI64" s="15">
        <v>0.0012807382961657337</v>
      </c>
      <c r="AJ64" s="11">
        <v>1</v>
      </c>
      <c r="AK64" s="15">
        <v>0.00010896807235480004</v>
      </c>
      <c r="AL64" s="57"/>
      <c r="AM64" s="56"/>
      <c r="AN64" s="57"/>
      <c r="AO64" s="10">
        <v>20486.8</v>
      </c>
      <c r="AP64" s="15">
        <v>0.002004889512031201</v>
      </c>
      <c r="AQ64" s="11">
        <v>2</v>
      </c>
      <c r="AR64" s="15">
        <v>0.00017825311942959</v>
      </c>
      <c r="AS64" s="57"/>
      <c r="AT64" s="56"/>
      <c r="AU64" s="57"/>
      <c r="AV64" s="10">
        <v>43191</v>
      </c>
      <c r="AW64" s="15">
        <v>0.003216569379921741</v>
      </c>
      <c r="AX64" s="11">
        <v>4</v>
      </c>
      <c r="AY64" s="15">
        <v>0.00028698522026115655</v>
      </c>
      <c r="AZ64" s="57"/>
      <c r="BA64" s="56"/>
      <c r="BB64" s="57"/>
      <c r="BC64" s="10">
        <v>42068.71</v>
      </c>
      <c r="BD64" s="15">
        <v>0.003214063454256868</v>
      </c>
      <c r="BE64" s="11">
        <v>4</v>
      </c>
      <c r="BF64" s="15">
        <v>0.0002800728189329226</v>
      </c>
      <c r="BG64" s="57"/>
      <c r="BH64" s="56"/>
      <c r="BI64" s="57"/>
      <c r="BJ64" s="10">
        <v>20363.81</v>
      </c>
      <c r="BK64" s="15">
        <v>0.001998594456000555</v>
      </c>
      <c r="BL64" s="11">
        <v>2</v>
      </c>
      <c r="BM64" s="15">
        <v>0.00016494845360824742</v>
      </c>
      <c r="BN64" s="57"/>
      <c r="BO64" s="56"/>
      <c r="BP64" s="57"/>
      <c r="BQ64" s="10">
        <v>0</v>
      </c>
      <c r="BR64" s="15">
        <v>0</v>
      </c>
      <c r="BS64" s="11">
        <v>0</v>
      </c>
      <c r="BT64" s="15">
        <v>0</v>
      </c>
      <c r="BU64" s="57"/>
      <c r="BV64" s="56"/>
      <c r="BW64" s="57"/>
      <c r="BX64" s="10">
        <v>0</v>
      </c>
      <c r="BY64" s="15">
        <v>0</v>
      </c>
      <c r="BZ64" s="11">
        <v>0</v>
      </c>
      <c r="CA64" s="15">
        <v>0</v>
      </c>
      <c r="CB64" s="57"/>
      <c r="CC64" s="56"/>
      <c r="CD64" s="57"/>
      <c r="CE64" s="10">
        <v>21537.17</v>
      </c>
      <c r="CF64" s="15">
        <v>0.0012522554964263307</v>
      </c>
      <c r="CG64" s="11">
        <v>2</v>
      </c>
      <c r="CH64" s="15">
        <v>0.00010537407797681771</v>
      </c>
      <c r="CI64" s="57"/>
      <c r="CJ64" s="56"/>
      <c r="CK64" s="57"/>
      <c r="CL64" s="10">
        <v>54179.55</v>
      </c>
      <c r="CM64" s="15">
        <v>0.0036138932947373573</v>
      </c>
      <c r="CN64" s="11">
        <v>5</v>
      </c>
      <c r="CO64" s="15">
        <v>0.0002984718242597899</v>
      </c>
      <c r="CP64" s="57"/>
      <c r="CQ64" s="56"/>
      <c r="CR64" s="57"/>
    </row>
    <row r="65" spans="1:96" ht="12.75">
      <c r="A65" s="9" t="s">
        <v>21</v>
      </c>
      <c r="B65" s="9"/>
      <c r="C65" s="9"/>
      <c r="D65" s="10">
        <v>27469.97</v>
      </c>
      <c r="E65" s="15">
        <v>0.003093740704760312</v>
      </c>
      <c r="F65" s="11">
        <v>2</v>
      </c>
      <c r="G65" s="15">
        <v>0.0002704530087897228</v>
      </c>
      <c r="H65" s="9"/>
      <c r="I65" s="9"/>
      <c r="J65" s="10">
        <v>0</v>
      </c>
      <c r="K65" s="15">
        <v>0</v>
      </c>
      <c r="L65" s="11">
        <v>0</v>
      </c>
      <c r="M65" s="15">
        <v>0</v>
      </c>
      <c r="N65" s="57"/>
      <c r="O65" s="56"/>
      <c r="P65" s="57"/>
      <c r="Q65" s="9"/>
      <c r="R65" s="10">
        <v>0</v>
      </c>
      <c r="S65" s="15">
        <v>0</v>
      </c>
      <c r="T65" s="11">
        <v>0</v>
      </c>
      <c r="U65" s="15">
        <v>0</v>
      </c>
      <c r="V65" s="57"/>
      <c r="W65" s="56"/>
      <c r="X65" s="57"/>
      <c r="Y65" s="9"/>
      <c r="Z65" s="10">
        <v>0</v>
      </c>
      <c r="AA65" s="15">
        <v>0</v>
      </c>
      <c r="AB65" s="11">
        <v>0</v>
      </c>
      <c r="AC65" s="15">
        <v>0</v>
      </c>
      <c r="AD65" s="57"/>
      <c r="AE65" s="56"/>
      <c r="AF65" s="57"/>
      <c r="AG65" s="9"/>
      <c r="AH65" s="10">
        <v>12149.18</v>
      </c>
      <c r="AI65" s="15">
        <v>0.00147906720313332</v>
      </c>
      <c r="AJ65" s="11">
        <v>1</v>
      </c>
      <c r="AK65" s="15">
        <v>0.00010896807235480004</v>
      </c>
      <c r="AL65" s="57"/>
      <c r="AM65" s="56"/>
      <c r="AN65" s="57"/>
      <c r="AO65" s="10">
        <v>0</v>
      </c>
      <c r="AP65" s="15">
        <v>0</v>
      </c>
      <c r="AQ65" s="11">
        <v>0</v>
      </c>
      <c r="AR65" s="15">
        <v>0</v>
      </c>
      <c r="AS65" s="57"/>
      <c r="AT65" s="56"/>
      <c r="AU65" s="57"/>
      <c r="AV65" s="10">
        <v>13375.71</v>
      </c>
      <c r="AW65" s="15">
        <v>0.0009961311203888084</v>
      </c>
      <c r="AX65" s="11">
        <v>1</v>
      </c>
      <c r="AY65" s="15">
        <v>7.174630506528914E-05</v>
      </c>
      <c r="AZ65" s="57"/>
      <c r="BA65" s="56"/>
      <c r="BB65" s="57"/>
      <c r="BC65" s="10">
        <v>0</v>
      </c>
      <c r="BD65" s="15">
        <v>0</v>
      </c>
      <c r="BE65" s="11">
        <v>0</v>
      </c>
      <c r="BF65" s="15">
        <v>0</v>
      </c>
      <c r="BG65" s="57"/>
      <c r="BH65" s="56"/>
      <c r="BI65" s="57"/>
      <c r="BJ65" s="10">
        <v>0</v>
      </c>
      <c r="BK65" s="15">
        <v>0</v>
      </c>
      <c r="BL65" s="11">
        <v>0</v>
      </c>
      <c r="BM65" s="15">
        <v>0</v>
      </c>
      <c r="BN65" s="57"/>
      <c r="BO65" s="56"/>
      <c r="BP65" s="57"/>
      <c r="BQ65" s="10">
        <v>0</v>
      </c>
      <c r="BR65" s="15">
        <v>0</v>
      </c>
      <c r="BS65" s="11">
        <v>0</v>
      </c>
      <c r="BT65" s="15">
        <v>0</v>
      </c>
      <c r="BU65" s="57"/>
      <c r="BV65" s="56"/>
      <c r="BW65" s="57"/>
      <c r="BX65" s="10">
        <v>0</v>
      </c>
      <c r="BY65" s="15">
        <v>0</v>
      </c>
      <c r="BZ65" s="11">
        <v>0</v>
      </c>
      <c r="CA65" s="15">
        <v>0</v>
      </c>
      <c r="CB65" s="57"/>
      <c r="CC65" s="56"/>
      <c r="CD65" s="57"/>
      <c r="CE65" s="10">
        <v>37462.98</v>
      </c>
      <c r="CF65" s="15">
        <v>0.0021782445241185213</v>
      </c>
      <c r="CG65" s="11">
        <v>3</v>
      </c>
      <c r="CH65" s="15">
        <v>0.00015806111696522654</v>
      </c>
      <c r="CI65" s="57"/>
      <c r="CJ65" s="56"/>
      <c r="CK65" s="57"/>
      <c r="CL65" s="10">
        <v>0</v>
      </c>
      <c r="CM65" s="15">
        <v>0</v>
      </c>
      <c r="CN65" s="11">
        <v>0</v>
      </c>
      <c r="CO65" s="15">
        <v>0</v>
      </c>
      <c r="CP65" s="57"/>
      <c r="CQ65" s="56"/>
      <c r="CR65" s="57"/>
    </row>
    <row r="66" spans="1:96" ht="12.75">
      <c r="A66" s="9" t="s">
        <v>22</v>
      </c>
      <c r="B66" s="9"/>
      <c r="C66" s="9"/>
      <c r="D66" s="10">
        <v>46813.49</v>
      </c>
      <c r="E66" s="15">
        <v>0.005272259108578925</v>
      </c>
      <c r="F66" s="11">
        <v>3</v>
      </c>
      <c r="G66" s="15">
        <v>0.00040567951318458417</v>
      </c>
      <c r="H66" s="9"/>
      <c r="I66" s="9"/>
      <c r="J66" s="10">
        <v>31234</v>
      </c>
      <c r="K66" s="15">
        <v>0.00522698149573578</v>
      </c>
      <c r="L66" s="11">
        <v>2</v>
      </c>
      <c r="M66" s="15">
        <v>0.0002893937201562726</v>
      </c>
      <c r="N66" s="57"/>
      <c r="O66" s="56"/>
      <c r="P66" s="57"/>
      <c r="Q66" s="9"/>
      <c r="R66" s="10">
        <v>0</v>
      </c>
      <c r="S66" s="15">
        <v>0</v>
      </c>
      <c r="T66" s="11">
        <v>0</v>
      </c>
      <c r="U66" s="15">
        <v>0</v>
      </c>
      <c r="V66" s="57"/>
      <c r="W66" s="56"/>
      <c r="X66" s="57"/>
      <c r="Y66" s="9"/>
      <c r="Z66" s="10">
        <v>0</v>
      </c>
      <c r="AA66" s="15">
        <v>0</v>
      </c>
      <c r="AB66" s="11">
        <v>0</v>
      </c>
      <c r="AC66" s="15">
        <v>0</v>
      </c>
      <c r="AD66" s="57"/>
      <c r="AE66" s="56"/>
      <c r="AF66" s="57"/>
      <c r="AG66" s="9"/>
      <c r="AH66" s="10">
        <v>0</v>
      </c>
      <c r="AI66" s="15">
        <v>0</v>
      </c>
      <c r="AJ66" s="11">
        <v>0</v>
      </c>
      <c r="AK66" s="15">
        <v>0</v>
      </c>
      <c r="AL66" s="57"/>
      <c r="AM66" s="56"/>
      <c r="AN66" s="57"/>
      <c r="AO66" s="10">
        <v>14378.2</v>
      </c>
      <c r="AP66" s="15">
        <v>0.0014070866305077908</v>
      </c>
      <c r="AQ66" s="11">
        <v>1</v>
      </c>
      <c r="AR66" s="15">
        <v>8.9126559714795E-05</v>
      </c>
      <c r="AS66" s="57"/>
      <c r="AT66" s="56"/>
      <c r="AU66" s="57"/>
      <c r="AV66" s="10">
        <v>29118.13</v>
      </c>
      <c r="AW66" s="15">
        <v>0.002168518565409012</v>
      </c>
      <c r="AX66" s="11">
        <v>2</v>
      </c>
      <c r="AY66" s="15">
        <v>0.00014349261013057828</v>
      </c>
      <c r="AZ66" s="57"/>
      <c r="BA66" s="56"/>
      <c r="BB66" s="57"/>
      <c r="BC66" s="10">
        <v>0</v>
      </c>
      <c r="BD66" s="15">
        <v>0</v>
      </c>
      <c r="BE66" s="11">
        <v>0</v>
      </c>
      <c r="BF66" s="15">
        <v>0</v>
      </c>
      <c r="BG66" s="57"/>
      <c r="BH66" s="56"/>
      <c r="BI66" s="57"/>
      <c r="BJ66" s="10">
        <v>0</v>
      </c>
      <c r="BK66" s="15">
        <v>0</v>
      </c>
      <c r="BL66" s="11">
        <v>0</v>
      </c>
      <c r="BM66" s="15">
        <v>0</v>
      </c>
      <c r="BN66" s="57"/>
      <c r="BO66" s="56"/>
      <c r="BP66" s="57"/>
      <c r="BQ66" s="10">
        <v>0</v>
      </c>
      <c r="BR66" s="15">
        <v>0</v>
      </c>
      <c r="BS66" s="11">
        <v>0</v>
      </c>
      <c r="BT66" s="15">
        <v>0</v>
      </c>
      <c r="BU66" s="57"/>
      <c r="BV66" s="56"/>
      <c r="BW66" s="57"/>
      <c r="BX66" s="10">
        <v>0</v>
      </c>
      <c r="BY66" s="15">
        <v>0</v>
      </c>
      <c r="BZ66" s="11">
        <v>0</v>
      </c>
      <c r="CA66" s="15">
        <v>0</v>
      </c>
      <c r="CB66" s="57"/>
      <c r="CC66" s="56"/>
      <c r="CD66" s="57"/>
      <c r="CE66" s="10">
        <v>14320.5</v>
      </c>
      <c r="CF66" s="15">
        <v>0.0008326500109612019</v>
      </c>
      <c r="CG66" s="11">
        <v>1</v>
      </c>
      <c r="CH66" s="15">
        <v>5.2687038988408854E-05</v>
      </c>
      <c r="CI66" s="57"/>
      <c r="CJ66" s="56"/>
      <c r="CK66" s="57"/>
      <c r="CL66" s="10">
        <v>15739.02</v>
      </c>
      <c r="CM66" s="15">
        <v>0.0010498267121771437</v>
      </c>
      <c r="CN66" s="11">
        <v>1</v>
      </c>
      <c r="CO66" s="15">
        <v>5.969436485195797E-05</v>
      </c>
      <c r="CP66" s="57"/>
      <c r="CQ66" s="56"/>
      <c r="CR66" s="57"/>
    </row>
    <row r="67" spans="1:96" ht="12.75">
      <c r="A67" s="9" t="s">
        <v>0</v>
      </c>
      <c r="B67" s="9"/>
      <c r="C67" s="9"/>
      <c r="D67" s="10">
        <v>0</v>
      </c>
      <c r="E67" s="15">
        <v>0</v>
      </c>
      <c r="F67" s="11">
        <v>0</v>
      </c>
      <c r="G67" s="15">
        <v>0</v>
      </c>
      <c r="H67" s="9"/>
      <c r="I67" s="9"/>
      <c r="J67" s="10">
        <v>0</v>
      </c>
      <c r="K67" s="15">
        <v>0</v>
      </c>
      <c r="L67" s="11">
        <v>0</v>
      </c>
      <c r="M67" s="15">
        <v>0</v>
      </c>
      <c r="N67" s="57"/>
      <c r="O67" s="56"/>
      <c r="P67" s="57"/>
      <c r="Q67" s="9"/>
      <c r="R67" s="10">
        <v>0</v>
      </c>
      <c r="S67" s="15">
        <v>0</v>
      </c>
      <c r="T67" s="11">
        <v>0</v>
      </c>
      <c r="U67" s="15">
        <v>0</v>
      </c>
      <c r="V67" s="57"/>
      <c r="W67" s="56"/>
      <c r="X67" s="57"/>
      <c r="Y67" s="9"/>
      <c r="Z67" s="10">
        <v>0</v>
      </c>
      <c r="AA67" s="15">
        <v>0</v>
      </c>
      <c r="AB67" s="11">
        <v>0</v>
      </c>
      <c r="AC67" s="15">
        <v>0</v>
      </c>
      <c r="AD67" s="57"/>
      <c r="AE67" s="56"/>
      <c r="AF67" s="57"/>
      <c r="AG67" s="9"/>
      <c r="AH67" s="10">
        <v>0</v>
      </c>
      <c r="AI67" s="15">
        <v>0</v>
      </c>
      <c r="AJ67" s="11">
        <v>0</v>
      </c>
      <c r="AK67" s="15">
        <v>0</v>
      </c>
      <c r="AL67" s="57"/>
      <c r="AM67" s="56"/>
      <c r="AN67" s="57"/>
      <c r="AO67" s="10">
        <v>16095.78</v>
      </c>
      <c r="AP67" s="15">
        <v>0.0015751733072008104</v>
      </c>
      <c r="AQ67" s="11">
        <v>1</v>
      </c>
      <c r="AR67" s="15">
        <v>8.9126559714795E-05</v>
      </c>
      <c r="AS67" s="57"/>
      <c r="AT67" s="56"/>
      <c r="AU67" s="57"/>
      <c r="AV67" s="10">
        <v>0</v>
      </c>
      <c r="AW67" s="15">
        <v>0</v>
      </c>
      <c r="AX67" s="11">
        <v>0</v>
      </c>
      <c r="AY67" s="15">
        <v>0</v>
      </c>
      <c r="AZ67" s="57"/>
      <c r="BA67" s="56"/>
      <c r="BB67" s="57"/>
      <c r="BC67" s="10">
        <v>0</v>
      </c>
      <c r="BD67" s="15">
        <v>0</v>
      </c>
      <c r="BE67" s="11">
        <v>0</v>
      </c>
      <c r="BF67" s="15">
        <v>0</v>
      </c>
      <c r="BG67" s="57"/>
      <c r="BH67" s="56"/>
      <c r="BI67" s="57"/>
      <c r="BJ67" s="10">
        <v>0</v>
      </c>
      <c r="BK67" s="15">
        <v>0</v>
      </c>
      <c r="BL67" s="11">
        <v>0</v>
      </c>
      <c r="BM67" s="15">
        <v>0</v>
      </c>
      <c r="BN67" s="57"/>
      <c r="BO67" s="56"/>
      <c r="BP67" s="57"/>
      <c r="BQ67" s="10">
        <v>0</v>
      </c>
      <c r="BR67" s="15">
        <v>0</v>
      </c>
      <c r="BS67" s="11">
        <v>0</v>
      </c>
      <c r="BT67" s="15">
        <v>0</v>
      </c>
      <c r="BU67" s="57"/>
      <c r="BV67" s="56"/>
      <c r="BW67" s="57"/>
      <c r="BX67" s="10">
        <v>0</v>
      </c>
      <c r="BY67" s="15">
        <v>0</v>
      </c>
      <c r="BZ67" s="11">
        <v>0</v>
      </c>
      <c r="CA67" s="15">
        <v>0</v>
      </c>
      <c r="CB67" s="57"/>
      <c r="CC67" s="56"/>
      <c r="CD67" s="57"/>
      <c r="CE67" s="10">
        <v>0</v>
      </c>
      <c r="CF67" s="15">
        <v>0</v>
      </c>
      <c r="CG67" s="11">
        <v>0</v>
      </c>
      <c r="CH67" s="15">
        <v>0</v>
      </c>
      <c r="CI67" s="57"/>
      <c r="CJ67" s="56"/>
      <c r="CK67" s="57"/>
      <c r="CL67" s="10">
        <v>0</v>
      </c>
      <c r="CM67" s="15">
        <v>0</v>
      </c>
      <c r="CN67" s="11">
        <v>0</v>
      </c>
      <c r="CO67" s="15">
        <v>0</v>
      </c>
      <c r="CP67" s="57"/>
      <c r="CQ67" s="56"/>
      <c r="CR67" s="57"/>
    </row>
    <row r="68" spans="1:96" ht="12.75">
      <c r="A68" s="9" t="s">
        <v>1</v>
      </c>
      <c r="B68" s="9"/>
      <c r="C68" s="9"/>
      <c r="D68" s="10">
        <v>0</v>
      </c>
      <c r="E68" s="15">
        <v>0</v>
      </c>
      <c r="F68" s="11">
        <v>0</v>
      </c>
      <c r="G68" s="15">
        <v>0</v>
      </c>
      <c r="H68" s="9"/>
      <c r="I68" s="9"/>
      <c r="J68" s="10">
        <v>0</v>
      </c>
      <c r="K68" s="15">
        <v>0</v>
      </c>
      <c r="L68" s="11">
        <v>0</v>
      </c>
      <c r="M68" s="15">
        <v>0</v>
      </c>
      <c r="N68" s="57"/>
      <c r="O68" s="56"/>
      <c r="P68" s="57"/>
      <c r="Q68" s="9"/>
      <c r="R68" s="10">
        <v>0</v>
      </c>
      <c r="S68" s="15">
        <v>0</v>
      </c>
      <c r="T68" s="11">
        <v>0</v>
      </c>
      <c r="U68" s="15">
        <v>0</v>
      </c>
      <c r="V68" s="57"/>
      <c r="W68" s="56"/>
      <c r="X68" s="57"/>
      <c r="Y68" s="9"/>
      <c r="Z68" s="10">
        <v>0</v>
      </c>
      <c r="AA68" s="15">
        <v>0</v>
      </c>
      <c r="AB68" s="11">
        <v>0</v>
      </c>
      <c r="AC68" s="15">
        <v>0</v>
      </c>
      <c r="AD68" s="57"/>
      <c r="AE68" s="56"/>
      <c r="AF68" s="57"/>
      <c r="AG68" s="9"/>
      <c r="AH68" s="10">
        <v>18766.35</v>
      </c>
      <c r="AI68" s="15">
        <v>0.0022846556563917053</v>
      </c>
      <c r="AJ68" s="11">
        <v>1</v>
      </c>
      <c r="AK68" s="15">
        <v>0.00010896807235480004</v>
      </c>
      <c r="AL68" s="57"/>
      <c r="AM68" s="56"/>
      <c r="AN68" s="57"/>
      <c r="AO68" s="10">
        <v>0</v>
      </c>
      <c r="AP68" s="15">
        <v>0</v>
      </c>
      <c r="AQ68" s="11">
        <v>0</v>
      </c>
      <c r="AR68" s="15">
        <v>0</v>
      </c>
      <c r="AS68" s="57"/>
      <c r="AT68" s="56"/>
      <c r="AU68" s="57"/>
      <c r="AV68" s="10">
        <v>0</v>
      </c>
      <c r="AW68" s="15">
        <v>0</v>
      </c>
      <c r="AX68" s="11">
        <v>0</v>
      </c>
      <c r="AY68" s="15">
        <v>0</v>
      </c>
      <c r="AZ68" s="57"/>
      <c r="BA68" s="56"/>
      <c r="BB68" s="57"/>
      <c r="BC68" s="10">
        <v>19100</v>
      </c>
      <c r="BD68" s="15">
        <v>0.0014592463609249295</v>
      </c>
      <c r="BE68" s="11">
        <v>1</v>
      </c>
      <c r="BF68" s="15">
        <v>7.001820473323065E-05</v>
      </c>
      <c r="BG68" s="57"/>
      <c r="BH68" s="56"/>
      <c r="BI68" s="57"/>
      <c r="BJ68" s="10">
        <v>0</v>
      </c>
      <c r="BK68" s="15">
        <v>0</v>
      </c>
      <c r="BL68" s="11">
        <v>0</v>
      </c>
      <c r="BM68" s="15">
        <v>0</v>
      </c>
      <c r="BN68" s="57"/>
      <c r="BO68" s="56"/>
      <c r="BP68" s="57"/>
      <c r="BQ68" s="10">
        <v>0</v>
      </c>
      <c r="BR68" s="15">
        <v>0</v>
      </c>
      <c r="BS68" s="11">
        <v>0</v>
      </c>
      <c r="BT68" s="15">
        <v>0</v>
      </c>
      <c r="BU68" s="57"/>
      <c r="BV68" s="56"/>
      <c r="BW68" s="57"/>
      <c r="BX68" s="10">
        <v>0</v>
      </c>
      <c r="BY68" s="15">
        <v>0</v>
      </c>
      <c r="BZ68" s="11">
        <v>0</v>
      </c>
      <c r="CA68" s="15">
        <v>0</v>
      </c>
      <c r="CB68" s="57"/>
      <c r="CC68" s="56"/>
      <c r="CD68" s="57"/>
      <c r="CE68" s="10">
        <v>0</v>
      </c>
      <c r="CF68" s="15">
        <v>0</v>
      </c>
      <c r="CG68" s="11">
        <v>0</v>
      </c>
      <c r="CH68" s="15">
        <v>0</v>
      </c>
      <c r="CI68" s="57"/>
      <c r="CJ68" s="56"/>
      <c r="CK68" s="57"/>
      <c r="CL68" s="10">
        <v>18833.8</v>
      </c>
      <c r="CM68" s="15">
        <v>0.0012562552390048354</v>
      </c>
      <c r="CN68" s="11">
        <v>1</v>
      </c>
      <c r="CO68" s="15">
        <v>5.969436485195797E-05</v>
      </c>
      <c r="CP68" s="57"/>
      <c r="CQ68" s="56"/>
      <c r="CR68" s="57"/>
    </row>
    <row r="69" spans="1:96" ht="12.75">
      <c r="A69" s="9" t="s">
        <v>2</v>
      </c>
      <c r="B69" s="9"/>
      <c r="C69" s="9"/>
      <c r="D69" s="10">
        <v>0</v>
      </c>
      <c r="E69" s="15">
        <v>0</v>
      </c>
      <c r="F69" s="11">
        <v>0</v>
      </c>
      <c r="G69" s="15">
        <v>0</v>
      </c>
      <c r="H69" s="9"/>
      <c r="I69" s="9"/>
      <c r="J69" s="10">
        <v>0</v>
      </c>
      <c r="K69" s="15">
        <v>0</v>
      </c>
      <c r="L69" s="11">
        <v>0</v>
      </c>
      <c r="M69" s="15">
        <v>0</v>
      </c>
      <c r="N69" s="57"/>
      <c r="O69" s="56"/>
      <c r="P69" s="57"/>
      <c r="Q69" s="9"/>
      <c r="R69" s="10">
        <v>0</v>
      </c>
      <c r="S69" s="15">
        <v>0</v>
      </c>
      <c r="T69" s="11">
        <v>0</v>
      </c>
      <c r="U69" s="15">
        <v>0</v>
      </c>
      <c r="V69" s="57"/>
      <c r="W69" s="56"/>
      <c r="X69" s="57"/>
      <c r="Y69" s="9"/>
      <c r="Z69" s="10">
        <v>0</v>
      </c>
      <c r="AA69" s="15">
        <v>0</v>
      </c>
      <c r="AB69" s="11">
        <v>0</v>
      </c>
      <c r="AC69" s="15">
        <v>0</v>
      </c>
      <c r="AD69" s="57"/>
      <c r="AE69" s="56"/>
      <c r="AF69" s="57"/>
      <c r="AG69" s="9"/>
      <c r="AH69" s="10">
        <v>0</v>
      </c>
      <c r="AI69" s="15">
        <v>0</v>
      </c>
      <c r="AJ69" s="11">
        <v>0</v>
      </c>
      <c r="AK69" s="15">
        <v>0</v>
      </c>
      <c r="AL69" s="57"/>
      <c r="AM69" s="56"/>
      <c r="AN69" s="57"/>
      <c r="AO69" s="10">
        <v>0</v>
      </c>
      <c r="AP69" s="15">
        <v>0</v>
      </c>
      <c r="AQ69" s="11">
        <v>0</v>
      </c>
      <c r="AR69" s="15">
        <v>0</v>
      </c>
      <c r="AS69" s="57"/>
      <c r="AT69" s="56"/>
      <c r="AU69" s="57"/>
      <c r="AV69" s="10">
        <v>0</v>
      </c>
      <c r="AW69" s="15">
        <v>0</v>
      </c>
      <c r="AX69" s="11">
        <v>0</v>
      </c>
      <c r="AY69" s="15">
        <v>0</v>
      </c>
      <c r="AZ69" s="57"/>
      <c r="BA69" s="56"/>
      <c r="BB69" s="57"/>
      <c r="BC69" s="10">
        <v>0</v>
      </c>
      <c r="BD69" s="15">
        <v>0</v>
      </c>
      <c r="BE69" s="11">
        <v>0</v>
      </c>
      <c r="BF69" s="15">
        <v>0</v>
      </c>
      <c r="BG69" s="57"/>
      <c r="BH69" s="56"/>
      <c r="BI69" s="57"/>
      <c r="BJ69" s="10">
        <v>0</v>
      </c>
      <c r="BK69" s="15">
        <v>0</v>
      </c>
      <c r="BL69" s="11">
        <v>0</v>
      </c>
      <c r="BM69" s="15">
        <v>0</v>
      </c>
      <c r="BN69" s="57"/>
      <c r="BO69" s="56"/>
      <c r="BP69" s="57"/>
      <c r="BQ69" s="10">
        <v>0</v>
      </c>
      <c r="BR69" s="15">
        <v>0</v>
      </c>
      <c r="BS69" s="11">
        <v>0</v>
      </c>
      <c r="BT69" s="15">
        <v>0</v>
      </c>
      <c r="BU69" s="57"/>
      <c r="BV69" s="56"/>
      <c r="BW69" s="57"/>
      <c r="BX69" s="10">
        <v>0</v>
      </c>
      <c r="BY69" s="15">
        <v>0</v>
      </c>
      <c r="BZ69" s="11">
        <v>0</v>
      </c>
      <c r="CA69" s="15">
        <v>0</v>
      </c>
      <c r="CB69" s="57"/>
      <c r="CC69" s="56"/>
      <c r="CD69" s="57"/>
      <c r="CE69" s="10">
        <v>20552.77</v>
      </c>
      <c r="CF69" s="15">
        <v>0.0011950186212620413</v>
      </c>
      <c r="CG69" s="11">
        <v>1</v>
      </c>
      <c r="CH69" s="15">
        <v>5.2687038988408854E-05</v>
      </c>
      <c r="CI69" s="57"/>
      <c r="CJ69" s="56"/>
      <c r="CK69" s="57"/>
      <c r="CL69" s="10">
        <v>0</v>
      </c>
      <c r="CM69" s="15">
        <v>0</v>
      </c>
      <c r="CN69" s="11">
        <v>0</v>
      </c>
      <c r="CO69" s="15">
        <v>0</v>
      </c>
      <c r="CP69" s="57"/>
      <c r="CQ69" s="56"/>
      <c r="CR69" s="57"/>
    </row>
    <row r="70" spans="1:96" ht="12.75">
      <c r="A70" s="9" t="s">
        <v>3</v>
      </c>
      <c r="B70" s="9"/>
      <c r="C70" s="9"/>
      <c r="D70" s="10">
        <v>0</v>
      </c>
      <c r="E70" s="15">
        <v>0</v>
      </c>
      <c r="F70" s="11">
        <v>0</v>
      </c>
      <c r="G70" s="15">
        <v>0</v>
      </c>
      <c r="H70" s="9"/>
      <c r="I70" s="9"/>
      <c r="J70" s="10">
        <v>0</v>
      </c>
      <c r="K70" s="15">
        <v>0</v>
      </c>
      <c r="L70" s="11">
        <v>0</v>
      </c>
      <c r="M70" s="15">
        <v>0</v>
      </c>
      <c r="N70" s="57"/>
      <c r="O70" s="56"/>
      <c r="P70" s="57"/>
      <c r="Q70" s="9"/>
      <c r="R70" s="10">
        <v>0</v>
      </c>
      <c r="S70" s="15">
        <v>0</v>
      </c>
      <c r="T70" s="11">
        <v>0</v>
      </c>
      <c r="U70" s="15">
        <v>0</v>
      </c>
      <c r="V70" s="57"/>
      <c r="W70" s="56"/>
      <c r="X70" s="57"/>
      <c r="Y70" s="9"/>
      <c r="Z70" s="10">
        <v>0</v>
      </c>
      <c r="AA70" s="15">
        <v>0</v>
      </c>
      <c r="AB70" s="11">
        <v>0</v>
      </c>
      <c r="AC70" s="15">
        <v>0</v>
      </c>
      <c r="AD70" s="57"/>
      <c r="AE70" s="56"/>
      <c r="AF70" s="57"/>
      <c r="AG70" s="9"/>
      <c r="AH70" s="10">
        <v>0</v>
      </c>
      <c r="AI70" s="15">
        <v>0</v>
      </c>
      <c r="AJ70" s="11">
        <v>0</v>
      </c>
      <c r="AK70" s="15">
        <v>0</v>
      </c>
      <c r="AL70" s="57"/>
      <c r="AM70" s="56"/>
      <c r="AN70" s="57"/>
      <c r="AO70" s="10">
        <v>0</v>
      </c>
      <c r="AP70" s="15">
        <v>0</v>
      </c>
      <c r="AQ70" s="11">
        <v>0</v>
      </c>
      <c r="AR70" s="15">
        <v>0</v>
      </c>
      <c r="AS70" s="57"/>
      <c r="AT70" s="56"/>
      <c r="AU70" s="57"/>
      <c r="AV70" s="10">
        <v>0</v>
      </c>
      <c r="AW70" s="15">
        <v>0</v>
      </c>
      <c r="AX70" s="11">
        <v>0</v>
      </c>
      <c r="AY70" s="15">
        <v>0</v>
      </c>
      <c r="AZ70" s="57"/>
      <c r="BA70" s="56"/>
      <c r="BB70" s="57"/>
      <c r="BC70" s="10">
        <v>0</v>
      </c>
      <c r="BD70" s="15">
        <v>0</v>
      </c>
      <c r="BE70" s="11">
        <v>0</v>
      </c>
      <c r="BF70" s="15">
        <v>0</v>
      </c>
      <c r="BG70" s="57"/>
      <c r="BH70" s="56"/>
      <c r="BI70" s="57"/>
      <c r="BJ70" s="10">
        <v>0</v>
      </c>
      <c r="BK70" s="15">
        <v>0</v>
      </c>
      <c r="BL70" s="11">
        <v>0</v>
      </c>
      <c r="BM70" s="15">
        <v>0</v>
      </c>
      <c r="BN70" s="57"/>
      <c r="BO70" s="56"/>
      <c r="BP70" s="57"/>
      <c r="BQ70" s="10">
        <v>0</v>
      </c>
      <c r="BR70" s="15">
        <v>0</v>
      </c>
      <c r="BS70" s="11">
        <v>0</v>
      </c>
      <c r="BT70" s="15">
        <v>0</v>
      </c>
      <c r="BU70" s="57"/>
      <c r="BV70" s="56"/>
      <c r="BW70" s="57"/>
      <c r="BX70" s="10">
        <v>0</v>
      </c>
      <c r="BY70" s="15">
        <v>0</v>
      </c>
      <c r="BZ70" s="11">
        <v>0</v>
      </c>
      <c r="CA70" s="15">
        <v>0</v>
      </c>
      <c r="CB70" s="57"/>
      <c r="CC70" s="56"/>
      <c r="CD70" s="57"/>
      <c r="CE70" s="10">
        <v>0</v>
      </c>
      <c r="CF70" s="15">
        <v>0</v>
      </c>
      <c r="CG70" s="11">
        <v>0</v>
      </c>
      <c r="CH70" s="15">
        <v>0</v>
      </c>
      <c r="CI70" s="57"/>
      <c r="CJ70" s="56"/>
      <c r="CK70" s="57"/>
      <c r="CL70" s="10">
        <v>0</v>
      </c>
      <c r="CM70" s="15">
        <v>0</v>
      </c>
      <c r="CN70" s="11">
        <v>0</v>
      </c>
      <c r="CO70" s="15">
        <v>0</v>
      </c>
      <c r="CP70" s="57"/>
      <c r="CQ70" s="56"/>
      <c r="CR70" s="57"/>
    </row>
    <row r="71" spans="1:96" ht="12.75">
      <c r="A71" s="9" t="s">
        <v>4</v>
      </c>
      <c r="B71" s="9"/>
      <c r="C71" s="9"/>
      <c r="D71" s="10">
        <v>0</v>
      </c>
      <c r="E71" s="15">
        <v>0</v>
      </c>
      <c r="F71" s="11">
        <v>0</v>
      </c>
      <c r="G71" s="15">
        <v>0</v>
      </c>
      <c r="H71" s="9"/>
      <c r="I71" s="9"/>
      <c r="J71" s="10">
        <v>0</v>
      </c>
      <c r="K71" s="15">
        <v>0</v>
      </c>
      <c r="L71" s="11">
        <v>0</v>
      </c>
      <c r="M71" s="15">
        <v>0</v>
      </c>
      <c r="N71" s="57"/>
      <c r="O71" s="56"/>
      <c r="P71" s="57"/>
      <c r="Q71" s="9"/>
      <c r="R71" s="10">
        <v>0</v>
      </c>
      <c r="S71" s="15">
        <v>0</v>
      </c>
      <c r="T71" s="11">
        <v>0</v>
      </c>
      <c r="U71" s="15">
        <v>0</v>
      </c>
      <c r="V71" s="57"/>
      <c r="W71" s="56"/>
      <c r="X71" s="57"/>
      <c r="Y71" s="9"/>
      <c r="Z71" s="10">
        <v>0</v>
      </c>
      <c r="AA71" s="15">
        <v>0</v>
      </c>
      <c r="AB71" s="11">
        <v>0</v>
      </c>
      <c r="AC71" s="15">
        <v>0</v>
      </c>
      <c r="AD71" s="57"/>
      <c r="AE71" s="56"/>
      <c r="AF71" s="57"/>
      <c r="AG71" s="9"/>
      <c r="AH71" s="10">
        <v>0</v>
      </c>
      <c r="AI71" s="15">
        <v>0</v>
      </c>
      <c r="AJ71" s="11">
        <v>0</v>
      </c>
      <c r="AK71" s="15">
        <v>0</v>
      </c>
      <c r="AL71" s="57"/>
      <c r="AM71" s="56"/>
      <c r="AN71" s="57"/>
      <c r="AO71" s="10">
        <v>0</v>
      </c>
      <c r="AP71" s="15">
        <v>0</v>
      </c>
      <c r="AQ71" s="11">
        <v>0</v>
      </c>
      <c r="AR71" s="15">
        <v>0</v>
      </c>
      <c r="AS71" s="57"/>
      <c r="AT71" s="56"/>
      <c r="AU71" s="57"/>
      <c r="AV71" s="10">
        <v>0</v>
      </c>
      <c r="AW71" s="15">
        <v>0</v>
      </c>
      <c r="AX71" s="11">
        <v>0</v>
      </c>
      <c r="AY71" s="15">
        <v>0</v>
      </c>
      <c r="AZ71" s="57"/>
      <c r="BA71" s="56"/>
      <c r="BB71" s="57"/>
      <c r="BC71" s="10">
        <v>0</v>
      </c>
      <c r="BD71" s="15">
        <v>0</v>
      </c>
      <c r="BE71" s="11">
        <v>0</v>
      </c>
      <c r="BF71" s="15">
        <v>0</v>
      </c>
      <c r="BG71" s="57"/>
      <c r="BH71" s="56"/>
      <c r="BI71" s="57"/>
      <c r="BJ71" s="10">
        <v>0</v>
      </c>
      <c r="BK71" s="15">
        <v>0</v>
      </c>
      <c r="BL71" s="11">
        <v>0</v>
      </c>
      <c r="BM71" s="15">
        <v>0</v>
      </c>
      <c r="BN71" s="57"/>
      <c r="BO71" s="56"/>
      <c r="BP71" s="57"/>
      <c r="BQ71" s="10">
        <v>0</v>
      </c>
      <c r="BR71" s="15">
        <v>0</v>
      </c>
      <c r="BS71" s="11">
        <v>0</v>
      </c>
      <c r="BT71" s="15">
        <v>0</v>
      </c>
      <c r="BU71" s="57"/>
      <c r="BV71" s="56"/>
      <c r="BW71" s="57"/>
      <c r="BX71" s="10">
        <v>0</v>
      </c>
      <c r="BY71" s="15">
        <v>0</v>
      </c>
      <c r="BZ71" s="11">
        <v>0</v>
      </c>
      <c r="CA71" s="15">
        <v>0</v>
      </c>
      <c r="CB71" s="57"/>
      <c r="CC71" s="56"/>
      <c r="CD71" s="57"/>
      <c r="CE71" s="10">
        <v>0</v>
      </c>
      <c r="CF71" s="15">
        <v>0</v>
      </c>
      <c r="CG71" s="11">
        <v>0</v>
      </c>
      <c r="CH71" s="15">
        <v>0</v>
      </c>
      <c r="CI71" s="57"/>
      <c r="CJ71" s="56"/>
      <c r="CK71" s="57"/>
      <c r="CL71" s="10">
        <v>0</v>
      </c>
      <c r="CM71" s="15">
        <v>0</v>
      </c>
      <c r="CN71" s="11">
        <v>0</v>
      </c>
      <c r="CO71" s="15">
        <v>0</v>
      </c>
      <c r="CP71" s="57"/>
      <c r="CQ71" s="56"/>
      <c r="CR71" s="57"/>
    </row>
    <row r="72" spans="1:96" ht="12.75">
      <c r="A72" s="9" t="s">
        <v>5</v>
      </c>
      <c r="B72" s="9"/>
      <c r="C72" s="9"/>
      <c r="D72" s="10">
        <v>0</v>
      </c>
      <c r="E72" s="15">
        <v>0</v>
      </c>
      <c r="F72" s="11">
        <v>0</v>
      </c>
      <c r="G72" s="15">
        <v>0</v>
      </c>
      <c r="H72" s="9"/>
      <c r="I72" s="9"/>
      <c r="J72" s="10">
        <v>0</v>
      </c>
      <c r="K72" s="15">
        <v>0</v>
      </c>
      <c r="L72" s="11">
        <v>0</v>
      </c>
      <c r="M72" s="15">
        <v>0</v>
      </c>
      <c r="N72" s="57"/>
      <c r="O72" s="56"/>
      <c r="P72" s="57"/>
      <c r="Q72" s="9"/>
      <c r="R72" s="10">
        <v>0</v>
      </c>
      <c r="S72" s="15">
        <v>0</v>
      </c>
      <c r="T72" s="11">
        <v>0</v>
      </c>
      <c r="U72" s="15">
        <v>0</v>
      </c>
      <c r="V72" s="57"/>
      <c r="W72" s="56"/>
      <c r="X72" s="57"/>
      <c r="Y72" s="9"/>
      <c r="Z72" s="10">
        <v>0</v>
      </c>
      <c r="AA72" s="15">
        <v>0</v>
      </c>
      <c r="AB72" s="11">
        <v>0</v>
      </c>
      <c r="AC72" s="15">
        <v>0</v>
      </c>
      <c r="AD72" s="57"/>
      <c r="AE72" s="56"/>
      <c r="AF72" s="57"/>
      <c r="AG72" s="9"/>
      <c r="AH72" s="10">
        <v>0</v>
      </c>
      <c r="AI72" s="15">
        <v>0</v>
      </c>
      <c r="AJ72" s="11">
        <v>0</v>
      </c>
      <c r="AK72" s="15">
        <v>0</v>
      </c>
      <c r="AL72" s="57"/>
      <c r="AM72" s="56"/>
      <c r="AN72" s="57"/>
      <c r="AO72" s="10">
        <v>0</v>
      </c>
      <c r="AP72" s="15">
        <v>0</v>
      </c>
      <c r="AQ72" s="11">
        <v>0</v>
      </c>
      <c r="AR72" s="15">
        <v>0</v>
      </c>
      <c r="AS72" s="57"/>
      <c r="AT72" s="56"/>
      <c r="AU72" s="57"/>
      <c r="AV72" s="10">
        <v>0</v>
      </c>
      <c r="AW72" s="15">
        <v>0</v>
      </c>
      <c r="AX72" s="11">
        <v>0</v>
      </c>
      <c r="AY72" s="15">
        <v>0</v>
      </c>
      <c r="AZ72" s="57"/>
      <c r="BA72" s="56"/>
      <c r="BB72" s="57"/>
      <c r="BC72" s="10">
        <v>0</v>
      </c>
      <c r="BD72" s="15">
        <v>0</v>
      </c>
      <c r="BE72" s="11">
        <v>0</v>
      </c>
      <c r="BF72" s="15">
        <v>0</v>
      </c>
      <c r="BG72" s="57"/>
      <c r="BH72" s="56"/>
      <c r="BI72" s="57"/>
      <c r="BJ72" s="10">
        <v>0</v>
      </c>
      <c r="BK72" s="15">
        <v>0</v>
      </c>
      <c r="BL72" s="11">
        <v>0</v>
      </c>
      <c r="BM72" s="15">
        <v>0</v>
      </c>
      <c r="BN72" s="57"/>
      <c r="BO72" s="56"/>
      <c r="BP72" s="57"/>
      <c r="BQ72" s="10">
        <v>0</v>
      </c>
      <c r="BR72" s="15">
        <v>0</v>
      </c>
      <c r="BS72" s="11">
        <v>0</v>
      </c>
      <c r="BT72" s="15">
        <v>0</v>
      </c>
      <c r="BU72" s="57"/>
      <c r="BV72" s="56"/>
      <c r="BW72" s="57"/>
      <c r="BX72" s="10">
        <v>0</v>
      </c>
      <c r="BY72" s="15">
        <v>0</v>
      </c>
      <c r="BZ72" s="11">
        <v>0</v>
      </c>
      <c r="CA72" s="15">
        <v>0</v>
      </c>
      <c r="CB72" s="57"/>
      <c r="CC72" s="56"/>
      <c r="CD72" s="57"/>
      <c r="CE72" s="10">
        <v>0</v>
      </c>
      <c r="CF72" s="15">
        <v>0</v>
      </c>
      <c r="CG72" s="11">
        <v>0</v>
      </c>
      <c r="CH72" s="15">
        <v>0</v>
      </c>
      <c r="CI72" s="57"/>
      <c r="CJ72" s="56"/>
      <c r="CK72" s="57"/>
      <c r="CL72" s="10">
        <v>0</v>
      </c>
      <c r="CM72" s="15">
        <v>0</v>
      </c>
      <c r="CN72" s="11">
        <v>0</v>
      </c>
      <c r="CO72" s="15">
        <v>0</v>
      </c>
      <c r="CP72" s="57"/>
      <c r="CQ72" s="56"/>
      <c r="CR72" s="57"/>
    </row>
    <row r="73" spans="1:96" ht="12.75">
      <c r="A73" s="9"/>
      <c r="B73" s="9"/>
      <c r="C73" s="9"/>
      <c r="D73" s="10"/>
      <c r="E73" s="9"/>
      <c r="F73" s="11"/>
      <c r="G73" s="9"/>
      <c r="H73" s="9"/>
      <c r="I73" s="9"/>
      <c r="J73" s="10"/>
      <c r="K73" s="9"/>
      <c r="L73" s="11"/>
      <c r="M73" s="9"/>
      <c r="N73" s="55"/>
      <c r="O73" s="56"/>
      <c r="P73" s="55"/>
      <c r="Q73" s="9"/>
      <c r="R73" s="10"/>
      <c r="S73" s="9"/>
      <c r="T73" s="11"/>
      <c r="U73" s="9"/>
      <c r="V73" s="55"/>
      <c r="W73" s="56"/>
      <c r="X73" s="55"/>
      <c r="Y73" s="9"/>
      <c r="Z73" s="10"/>
      <c r="AA73" s="9"/>
      <c r="AB73" s="11"/>
      <c r="AC73" s="9"/>
      <c r="AD73" s="55"/>
      <c r="AE73" s="56"/>
      <c r="AF73" s="55"/>
      <c r="AG73" s="9"/>
      <c r="AH73" s="10"/>
      <c r="AI73" s="9"/>
      <c r="AJ73" s="11"/>
      <c r="AK73" s="9"/>
      <c r="AL73" s="55"/>
      <c r="AM73" s="56"/>
      <c r="AN73" s="55"/>
      <c r="AO73" s="10"/>
      <c r="AP73" s="9"/>
      <c r="AQ73" s="11"/>
      <c r="AR73" s="9"/>
      <c r="AS73" s="55"/>
      <c r="AT73" s="56"/>
      <c r="AU73" s="55"/>
      <c r="AV73" s="10"/>
      <c r="AW73" s="9"/>
      <c r="AX73" s="11"/>
      <c r="AY73" s="9"/>
      <c r="AZ73" s="55"/>
      <c r="BA73" s="56"/>
      <c r="BB73" s="55"/>
      <c r="BC73" s="10"/>
      <c r="BD73" s="9"/>
      <c r="BE73" s="11"/>
      <c r="BF73" s="9"/>
      <c r="BG73" s="55"/>
      <c r="BH73" s="56"/>
      <c r="BI73" s="55"/>
      <c r="BJ73" s="10"/>
      <c r="BK73" s="9"/>
      <c r="BL73" s="11"/>
      <c r="BM73" s="9"/>
      <c r="BN73" s="55"/>
      <c r="BO73" s="56"/>
      <c r="BP73" s="55"/>
      <c r="BQ73" s="10"/>
      <c r="BR73" s="9"/>
      <c r="BS73" s="11"/>
      <c r="BT73" s="9"/>
      <c r="BU73" s="55"/>
      <c r="BV73" s="56"/>
      <c r="BW73" s="55"/>
      <c r="BX73" s="10"/>
      <c r="BY73" s="9"/>
      <c r="BZ73" s="11"/>
      <c r="CA73" s="9"/>
      <c r="CB73" s="55"/>
      <c r="CC73" s="56"/>
      <c r="CD73" s="55"/>
      <c r="CE73" s="10"/>
      <c r="CF73" s="9"/>
      <c r="CG73" s="11"/>
      <c r="CH73" s="9"/>
      <c r="CI73" s="55"/>
      <c r="CJ73" s="56"/>
      <c r="CK73" s="55"/>
      <c r="CL73" s="10"/>
      <c r="CM73" s="9"/>
      <c r="CN73" s="11"/>
      <c r="CO73" s="9"/>
      <c r="CP73" s="55"/>
      <c r="CQ73" s="56"/>
      <c r="CR73" s="55"/>
    </row>
    <row r="74" spans="1:96" ht="13.5" thickBot="1">
      <c r="A74" s="9"/>
      <c r="B74" s="13"/>
      <c r="C74" s="13"/>
      <c r="D74" s="22">
        <f>SUM(D59:D73)</f>
        <v>8879208.899999991</v>
      </c>
      <c r="E74" s="24"/>
      <c r="F74" s="23">
        <f>SUM(F59:F73)</f>
        <v>7395</v>
      </c>
      <c r="G74" s="13"/>
      <c r="H74" s="9"/>
      <c r="I74" s="9"/>
      <c r="J74" s="22">
        <f>SUM(J59:J72)</f>
        <v>5975532.920000001</v>
      </c>
      <c r="K74" s="24"/>
      <c r="L74" s="23">
        <f>SUM(L59:L73)</f>
        <v>6911</v>
      </c>
      <c r="M74" s="24"/>
      <c r="N74" s="58"/>
      <c r="O74" s="32"/>
      <c r="P74" s="58"/>
      <c r="Q74" s="9"/>
      <c r="R74" s="22">
        <f>SUM(R59:R72)</f>
        <v>7371781.7099999795</v>
      </c>
      <c r="S74" s="24"/>
      <c r="T74" s="23">
        <f>SUM(T59:T73)</f>
        <v>9242</v>
      </c>
      <c r="U74" s="24"/>
      <c r="V74" s="58"/>
      <c r="W74" s="32"/>
      <c r="X74" s="58"/>
      <c r="Y74" s="9"/>
      <c r="Z74" s="22">
        <f>SUM(Z59:Z72)</f>
        <v>7972491.059999985</v>
      </c>
      <c r="AA74" s="24"/>
      <c r="AB74" s="23">
        <f>SUM(AB59:AB73)</f>
        <v>9363</v>
      </c>
      <c r="AC74" s="24"/>
      <c r="AD74" s="58"/>
      <c r="AE74" s="32"/>
      <c r="AF74" s="58"/>
      <c r="AG74" s="9"/>
      <c r="AH74" s="22">
        <f>SUM(AH59:AH72)</f>
        <v>8214082.479999995</v>
      </c>
      <c r="AI74" s="24"/>
      <c r="AJ74" s="23">
        <f>SUM(AJ59:AJ73)</f>
        <v>9177</v>
      </c>
      <c r="AK74" s="24"/>
      <c r="AL74" s="58"/>
      <c r="AM74" s="32"/>
      <c r="AN74" s="58"/>
      <c r="AO74" s="22">
        <f>SUM(AO59:AO72)</f>
        <v>10218418.459999995</v>
      </c>
      <c r="AP74" s="24"/>
      <c r="AQ74" s="23">
        <f>SUM(AQ59:AQ73)</f>
        <v>11220</v>
      </c>
      <c r="AR74" s="24"/>
      <c r="AS74" s="58"/>
      <c r="AT74" s="32"/>
      <c r="AU74" s="58"/>
      <c r="AV74" s="22">
        <f>SUM(AV59:AV72)</f>
        <v>13427660.00000001</v>
      </c>
      <c r="AW74" s="24"/>
      <c r="AX74" s="23">
        <f>SUM(AX59:AX73)</f>
        <v>13938</v>
      </c>
      <c r="AY74" s="24"/>
      <c r="AZ74" s="58"/>
      <c r="BA74" s="32"/>
      <c r="BB74" s="58"/>
      <c r="BC74" s="22">
        <f>SUM(BC59:BC72)</f>
        <v>13088948.180000016</v>
      </c>
      <c r="BD74" s="24"/>
      <c r="BE74" s="23">
        <f>SUM(BE59:BE73)</f>
        <v>14282</v>
      </c>
      <c r="BF74" s="24"/>
      <c r="BG74" s="58"/>
      <c r="BH74" s="32"/>
      <c r="BI74" s="58"/>
      <c r="BJ74" s="22">
        <f>SUM(BJ59:BJ72)</f>
        <v>10189065.589999987</v>
      </c>
      <c r="BK74" s="24"/>
      <c r="BL74" s="23">
        <f>SUM(BL59:BL73)</f>
        <v>12125</v>
      </c>
      <c r="BM74" s="24"/>
      <c r="BN74" s="58"/>
      <c r="BO74" s="32"/>
      <c r="BP74" s="58"/>
      <c r="BQ74" s="22">
        <f>SUM(BQ59:BQ72)</f>
        <v>6859983.71</v>
      </c>
      <c r="BR74" s="24"/>
      <c r="BS74" s="23">
        <f>SUM(BS59:BS73)</f>
        <v>8500</v>
      </c>
      <c r="BT74" s="24"/>
      <c r="BU74" s="58"/>
      <c r="BV74" s="32"/>
      <c r="BW74" s="58"/>
      <c r="BX74" s="22">
        <f>SUM(BX59:BX72)</f>
        <v>4975870.920000001</v>
      </c>
      <c r="BY74" s="24"/>
      <c r="BZ74" s="23">
        <f>SUM(BZ59:BZ73)</f>
        <v>6165</v>
      </c>
      <c r="CA74" s="24"/>
      <c r="CB74" s="58"/>
      <c r="CC74" s="32"/>
      <c r="CD74" s="58"/>
      <c r="CE74" s="22">
        <f>SUM(CE59:CE72)</f>
        <v>17198702.710000057</v>
      </c>
      <c r="CF74" s="24"/>
      <c r="CG74" s="23">
        <f>SUM(CG59:CG73)</f>
        <v>18980</v>
      </c>
      <c r="CH74" s="24"/>
      <c r="CI74" s="58"/>
      <c r="CJ74" s="32"/>
      <c r="CK74" s="58"/>
      <c r="CL74" s="22">
        <f>SUM(CL59:CL72)</f>
        <v>14992017.08000002</v>
      </c>
      <c r="CM74" s="24"/>
      <c r="CN74" s="23">
        <f>SUM(CN59:CN73)</f>
        <v>16752</v>
      </c>
      <c r="CO74" s="24"/>
      <c r="CP74" s="58"/>
      <c r="CQ74" s="32"/>
      <c r="CR74" s="58"/>
    </row>
    <row r="75" spans="1:96" ht="13.5" thickTop="1">
      <c r="A75" s="13"/>
      <c r="B75" s="9"/>
      <c r="C75" s="9"/>
      <c r="D75" s="10"/>
      <c r="E75" s="9"/>
      <c r="F75" s="11"/>
      <c r="G75" s="9"/>
      <c r="H75" s="9"/>
      <c r="I75" s="9"/>
      <c r="J75" s="13"/>
      <c r="K75" s="9"/>
      <c r="L75" s="9"/>
      <c r="M75" s="10"/>
      <c r="N75" s="9"/>
      <c r="O75" s="11"/>
      <c r="P75" s="9"/>
      <c r="Q75" s="9"/>
      <c r="R75" s="13"/>
      <c r="S75" s="9"/>
      <c r="T75" s="9"/>
      <c r="U75" s="10"/>
      <c r="V75" s="9"/>
      <c r="W75" s="11"/>
      <c r="X75" s="9"/>
      <c r="Y75" s="9"/>
      <c r="Z75" s="13"/>
      <c r="AA75" s="9"/>
      <c r="AB75" s="9"/>
      <c r="AC75" s="10"/>
      <c r="AD75" s="9"/>
      <c r="AE75" s="11"/>
      <c r="AF75" s="9"/>
      <c r="AG75" s="9"/>
      <c r="AH75" s="13"/>
      <c r="AI75" s="9"/>
      <c r="AJ75" s="9"/>
      <c r="AK75" s="10"/>
      <c r="AL75" s="9"/>
      <c r="AM75" s="11"/>
      <c r="AN75" s="9"/>
      <c r="AO75" s="13"/>
      <c r="AP75" s="9"/>
      <c r="AQ75" s="9"/>
      <c r="AR75" s="10"/>
      <c r="AS75" s="9"/>
      <c r="AT75" s="11"/>
      <c r="AU75" s="9"/>
      <c r="AV75" s="13"/>
      <c r="AW75" s="9"/>
      <c r="AX75" s="9"/>
      <c r="AY75" s="10"/>
      <c r="AZ75" s="9"/>
      <c r="BA75" s="11"/>
      <c r="BB75" s="9"/>
      <c r="BC75" s="13"/>
      <c r="BD75" s="9"/>
      <c r="BE75" s="9"/>
      <c r="BF75" s="10"/>
      <c r="BG75" s="9"/>
      <c r="BH75" s="11"/>
      <c r="BI75" s="9"/>
      <c r="BJ75" s="13"/>
      <c r="BK75" s="9"/>
      <c r="BL75" s="9"/>
      <c r="BM75" s="10"/>
      <c r="BN75" s="9"/>
      <c r="BO75" s="11"/>
      <c r="BP75" s="9"/>
      <c r="BQ75" s="13"/>
      <c r="BR75" s="9"/>
      <c r="BS75" s="9"/>
      <c r="BT75" s="10"/>
      <c r="BU75" s="9"/>
      <c r="BV75" s="11"/>
      <c r="BW75" s="9"/>
      <c r="BX75" s="13"/>
      <c r="BY75" s="9"/>
      <c r="BZ75" s="9"/>
      <c r="CA75" s="10"/>
      <c r="CB75" s="9"/>
      <c r="CC75" s="11"/>
      <c r="CD75" s="9"/>
      <c r="CE75" s="13"/>
      <c r="CF75" s="9"/>
      <c r="CG75" s="9"/>
      <c r="CH75" s="10"/>
      <c r="CI75" s="9"/>
      <c r="CJ75" s="11"/>
      <c r="CK75" s="9"/>
      <c r="CL75" s="13"/>
      <c r="CM75" s="9"/>
      <c r="CN75" s="9"/>
      <c r="CO75" s="10"/>
      <c r="CP75" s="9"/>
      <c r="CQ75" s="11"/>
      <c r="CR75" s="9"/>
    </row>
    <row r="76" spans="1:96" ht="12.75">
      <c r="A76" s="9"/>
      <c r="B76" s="9"/>
      <c r="C76" s="9"/>
      <c r="D76" s="10"/>
      <c r="E76" s="9"/>
      <c r="F76" s="11"/>
      <c r="G76" s="9"/>
      <c r="H76" s="9"/>
      <c r="I76" s="9"/>
      <c r="J76" s="9"/>
      <c r="K76" s="9"/>
      <c r="L76" s="9"/>
      <c r="M76" s="10"/>
      <c r="N76" s="9"/>
      <c r="O76" s="11"/>
      <c r="P76" s="9"/>
      <c r="Q76" s="9"/>
      <c r="R76" s="9"/>
      <c r="S76" s="9"/>
      <c r="T76" s="9"/>
      <c r="U76" s="10"/>
      <c r="V76" s="9"/>
      <c r="W76" s="11"/>
      <c r="X76" s="9"/>
      <c r="Y76" s="9"/>
      <c r="Z76" s="9"/>
      <c r="AA76" s="9"/>
      <c r="AB76" s="9"/>
      <c r="AC76" s="10"/>
      <c r="AD76" s="9"/>
      <c r="AE76" s="11"/>
      <c r="AF76" s="9"/>
      <c r="AG76" s="9"/>
      <c r="AH76" s="9"/>
      <c r="AI76" s="9"/>
      <c r="AJ76" s="9"/>
      <c r="AK76" s="10"/>
      <c r="AL76" s="9"/>
      <c r="AM76" s="11"/>
      <c r="AN76" s="9"/>
      <c r="AO76" s="9"/>
      <c r="AP76" s="9"/>
      <c r="AQ76" s="9"/>
      <c r="AR76" s="10"/>
      <c r="AS76" s="9"/>
      <c r="AT76" s="11"/>
      <c r="AU76" s="9"/>
      <c r="AV76" s="9"/>
      <c r="AW76" s="9"/>
      <c r="AX76" s="9"/>
      <c r="AY76" s="10"/>
      <c r="AZ76" s="9"/>
      <c r="BA76" s="11"/>
      <c r="BB76" s="9"/>
      <c r="BC76" s="9"/>
      <c r="BD76" s="9"/>
      <c r="BE76" s="9"/>
      <c r="BF76" s="10"/>
      <c r="BG76" s="9"/>
      <c r="BH76" s="11"/>
      <c r="BI76" s="9"/>
      <c r="BJ76" s="9"/>
      <c r="BK76" s="9"/>
      <c r="BL76" s="9"/>
      <c r="BM76" s="10"/>
      <c r="BN76" s="9"/>
      <c r="BO76" s="11"/>
      <c r="BP76" s="9"/>
      <c r="BQ76" s="9"/>
      <c r="BR76" s="9"/>
      <c r="BS76" s="9"/>
      <c r="BT76" s="10"/>
      <c r="BU76" s="9"/>
      <c r="BV76" s="11"/>
      <c r="BW76" s="9"/>
      <c r="BX76" s="9"/>
      <c r="BY76" s="9"/>
      <c r="BZ76" s="9"/>
      <c r="CA76" s="10"/>
      <c r="CB76" s="9"/>
      <c r="CC76" s="11"/>
      <c r="CD76" s="9"/>
      <c r="CE76" s="9"/>
      <c r="CF76" s="9"/>
      <c r="CG76" s="9"/>
      <c r="CH76" s="10"/>
      <c r="CI76" s="9"/>
      <c r="CJ76" s="11"/>
      <c r="CK76" s="9"/>
      <c r="CL76" s="9"/>
      <c r="CM76" s="9"/>
      <c r="CN76" s="9"/>
      <c r="CO76" s="10"/>
      <c r="CP76" s="9"/>
      <c r="CQ76" s="11"/>
      <c r="CR76" s="9"/>
    </row>
    <row r="77" spans="1:96" ht="12.75">
      <c r="A77" s="20" t="s">
        <v>105</v>
      </c>
      <c r="B77" s="9"/>
      <c r="C77" s="9"/>
      <c r="D77" s="10"/>
      <c r="E77" s="9"/>
      <c r="F77" s="11"/>
      <c r="G77" s="9"/>
      <c r="H77" s="9"/>
      <c r="I77" s="9"/>
      <c r="J77" s="20" t="s">
        <v>105</v>
      </c>
      <c r="K77" s="9"/>
      <c r="L77" s="9"/>
      <c r="M77" s="10"/>
      <c r="N77" s="9"/>
      <c r="O77" s="11"/>
      <c r="P77" s="9"/>
      <c r="Q77" s="9"/>
      <c r="R77" s="20" t="s">
        <v>105</v>
      </c>
      <c r="S77" s="9"/>
      <c r="T77" s="9"/>
      <c r="U77" s="10"/>
      <c r="V77" s="9"/>
      <c r="W77" s="11"/>
      <c r="X77" s="9"/>
      <c r="Y77" s="9"/>
      <c r="Z77" s="20" t="s">
        <v>105</v>
      </c>
      <c r="AA77" s="9"/>
      <c r="AB77" s="9"/>
      <c r="AC77" s="10"/>
      <c r="AD77" s="9"/>
      <c r="AE77" s="11"/>
      <c r="AF77" s="9"/>
      <c r="AG77" s="9"/>
      <c r="AH77" s="20" t="s">
        <v>105</v>
      </c>
      <c r="AI77" s="9"/>
      <c r="AJ77" s="9"/>
      <c r="AK77" s="10"/>
      <c r="AL77" s="9"/>
      <c r="AM77" s="11"/>
      <c r="AN77" s="9"/>
      <c r="AO77" s="20" t="s">
        <v>105</v>
      </c>
      <c r="AP77" s="9"/>
      <c r="AQ77" s="9"/>
      <c r="AR77" s="10"/>
      <c r="AS77" s="9"/>
      <c r="AT77" s="11"/>
      <c r="AU77" s="9"/>
      <c r="AV77" s="20" t="s">
        <v>105</v>
      </c>
      <c r="AW77" s="9"/>
      <c r="AX77" s="9"/>
      <c r="AY77" s="10"/>
      <c r="AZ77" s="9"/>
      <c r="BA77" s="11"/>
      <c r="BB77" s="9"/>
      <c r="BC77" s="20" t="s">
        <v>105</v>
      </c>
      <c r="BD77" s="9"/>
      <c r="BE77" s="9"/>
      <c r="BF77" s="10"/>
      <c r="BG77" s="9"/>
      <c r="BH77" s="11"/>
      <c r="BI77" s="9"/>
      <c r="BJ77" s="20" t="s">
        <v>105</v>
      </c>
      <c r="BK77" s="9"/>
      <c r="BL77" s="9"/>
      <c r="BM77" s="10"/>
      <c r="BN77" s="9"/>
      <c r="BO77" s="11"/>
      <c r="BP77" s="9"/>
      <c r="BQ77" s="20" t="s">
        <v>105</v>
      </c>
      <c r="BR77" s="9"/>
      <c r="BS77" s="9"/>
      <c r="BT77" s="10"/>
      <c r="BU77" s="9"/>
      <c r="BV77" s="11"/>
      <c r="BW77" s="9"/>
      <c r="BX77" s="20" t="s">
        <v>105</v>
      </c>
      <c r="BY77" s="9"/>
      <c r="BZ77" s="9"/>
      <c r="CA77" s="10"/>
      <c r="CB77" s="9"/>
      <c r="CC77" s="11"/>
      <c r="CD77" s="9"/>
      <c r="CE77" s="20" t="s">
        <v>105</v>
      </c>
      <c r="CF77" s="9"/>
      <c r="CG77" s="9"/>
      <c r="CH77" s="10"/>
      <c r="CI77" s="9"/>
      <c r="CJ77" s="11"/>
      <c r="CK77" s="9"/>
      <c r="CL77" s="20" t="s">
        <v>105</v>
      </c>
      <c r="CM77" s="9"/>
      <c r="CN77" s="9"/>
      <c r="CO77" s="10"/>
      <c r="CP77" s="9"/>
      <c r="CQ77" s="11"/>
      <c r="CR77" s="9"/>
    </row>
    <row r="78" spans="1:96" ht="12.75">
      <c r="A78" s="20"/>
      <c r="B78" s="9"/>
      <c r="C78" s="9"/>
      <c r="D78" s="10"/>
      <c r="E78" s="9"/>
      <c r="F78" s="11"/>
      <c r="G78" s="9"/>
      <c r="H78" s="9"/>
      <c r="I78" s="9"/>
      <c r="J78" s="20"/>
      <c r="K78" s="9"/>
      <c r="L78" s="9"/>
      <c r="M78" s="10"/>
      <c r="N78" s="9"/>
      <c r="O78" s="11"/>
      <c r="P78" s="9"/>
      <c r="Q78" s="9"/>
      <c r="R78" s="20"/>
      <c r="S78" s="9"/>
      <c r="T78" s="9"/>
      <c r="U78" s="10"/>
      <c r="V78" s="9"/>
      <c r="W78" s="11"/>
      <c r="X78" s="9"/>
      <c r="Y78" s="9"/>
      <c r="Z78" s="20"/>
      <c r="AA78" s="9"/>
      <c r="AB78" s="9"/>
      <c r="AC78" s="10"/>
      <c r="AD78" s="9"/>
      <c r="AE78" s="11"/>
      <c r="AF78" s="9"/>
      <c r="AG78" s="9"/>
      <c r="AH78" s="20"/>
      <c r="AI78" s="9"/>
      <c r="AJ78" s="9"/>
      <c r="AK78" s="10"/>
      <c r="AL78" s="9"/>
      <c r="AM78" s="11"/>
      <c r="AN78" s="9"/>
      <c r="AO78" s="20"/>
      <c r="AP78" s="9"/>
      <c r="AQ78" s="9"/>
      <c r="AR78" s="10"/>
      <c r="AS78" s="9"/>
      <c r="AT78" s="11"/>
      <c r="AU78" s="9"/>
      <c r="AV78" s="20"/>
      <c r="AW78" s="9"/>
      <c r="AX78" s="9"/>
      <c r="AY78" s="10"/>
      <c r="AZ78" s="9"/>
      <c r="BA78" s="11"/>
      <c r="BB78" s="9"/>
      <c r="BC78" s="20"/>
      <c r="BD78" s="9"/>
      <c r="BE78" s="9"/>
      <c r="BF78" s="10"/>
      <c r="BG78" s="9"/>
      <c r="BH78" s="11"/>
      <c r="BI78" s="9"/>
      <c r="BJ78" s="20"/>
      <c r="BK78" s="9"/>
      <c r="BL78" s="9"/>
      <c r="BM78" s="10"/>
      <c r="BN78" s="9"/>
      <c r="BO78" s="11"/>
      <c r="BP78" s="9"/>
      <c r="BQ78" s="20"/>
      <c r="BR78" s="9"/>
      <c r="BS78" s="9"/>
      <c r="BT78" s="10"/>
      <c r="BU78" s="9"/>
      <c r="BV78" s="11"/>
      <c r="BW78" s="9"/>
      <c r="BX78" s="20"/>
      <c r="BY78" s="9"/>
      <c r="BZ78" s="9"/>
      <c r="CA78" s="10"/>
      <c r="CB78" s="9"/>
      <c r="CC78" s="11"/>
      <c r="CD78" s="9"/>
      <c r="CE78" s="20"/>
      <c r="CF78" s="9"/>
      <c r="CG78" s="9"/>
      <c r="CH78" s="10"/>
      <c r="CI78" s="9"/>
      <c r="CJ78" s="11"/>
      <c r="CK78" s="9"/>
      <c r="CL78" s="20"/>
      <c r="CM78" s="9"/>
      <c r="CN78" s="9"/>
      <c r="CO78" s="10"/>
      <c r="CP78" s="9"/>
      <c r="CQ78" s="11"/>
      <c r="CR78" s="9"/>
    </row>
    <row r="79" spans="1:96" s="30" customFormat="1" ht="12.75">
      <c r="A79" s="26"/>
      <c r="B79" s="27"/>
      <c r="C79" s="27"/>
      <c r="D79" s="28" t="s">
        <v>143</v>
      </c>
      <c r="E79" s="27" t="s">
        <v>96</v>
      </c>
      <c r="F79" s="29" t="s">
        <v>97</v>
      </c>
      <c r="G79" s="27" t="s">
        <v>96</v>
      </c>
      <c r="H79" s="26"/>
      <c r="I79" s="26"/>
      <c r="J79" s="28" t="s">
        <v>143</v>
      </c>
      <c r="K79" s="27" t="s">
        <v>96</v>
      </c>
      <c r="L79" s="29" t="s">
        <v>97</v>
      </c>
      <c r="M79" s="27" t="s">
        <v>96</v>
      </c>
      <c r="N79" s="65"/>
      <c r="O79" s="66"/>
      <c r="P79" s="65"/>
      <c r="Q79" s="26"/>
      <c r="R79" s="28" t="s">
        <v>143</v>
      </c>
      <c r="S79" s="27" t="s">
        <v>96</v>
      </c>
      <c r="T79" s="29" t="s">
        <v>97</v>
      </c>
      <c r="U79" s="27" t="s">
        <v>96</v>
      </c>
      <c r="V79" s="65"/>
      <c r="W79" s="66"/>
      <c r="X79" s="65"/>
      <c r="Y79" s="26"/>
      <c r="Z79" s="28" t="s">
        <v>143</v>
      </c>
      <c r="AA79" s="27" t="s">
        <v>96</v>
      </c>
      <c r="AB79" s="29" t="s">
        <v>97</v>
      </c>
      <c r="AC79" s="27" t="s">
        <v>96</v>
      </c>
      <c r="AD79" s="65"/>
      <c r="AE79" s="66"/>
      <c r="AF79" s="65"/>
      <c r="AG79" s="26"/>
      <c r="AH79" s="28" t="s">
        <v>143</v>
      </c>
      <c r="AI79" s="27" t="s">
        <v>96</v>
      </c>
      <c r="AJ79" s="29" t="s">
        <v>97</v>
      </c>
      <c r="AK79" s="27" t="s">
        <v>96</v>
      </c>
      <c r="AL79" s="65"/>
      <c r="AM79" s="66"/>
      <c r="AN79" s="65"/>
      <c r="AO79" s="94" t="s">
        <v>143</v>
      </c>
      <c r="AP79" s="45" t="s">
        <v>96</v>
      </c>
      <c r="AQ79" s="93" t="s">
        <v>97</v>
      </c>
      <c r="AR79" s="45" t="s">
        <v>96</v>
      </c>
      <c r="AS79" s="65"/>
      <c r="AT79" s="66"/>
      <c r="AU79" s="65"/>
      <c r="AV79" s="94" t="s">
        <v>143</v>
      </c>
      <c r="AW79" s="45" t="s">
        <v>96</v>
      </c>
      <c r="AX79" s="93" t="s">
        <v>97</v>
      </c>
      <c r="AY79" s="45" t="s">
        <v>96</v>
      </c>
      <c r="AZ79" s="65"/>
      <c r="BA79" s="66"/>
      <c r="BB79" s="65"/>
      <c r="BC79" s="94" t="s">
        <v>143</v>
      </c>
      <c r="BD79" s="45" t="s">
        <v>96</v>
      </c>
      <c r="BE79" s="93" t="s">
        <v>97</v>
      </c>
      <c r="BF79" s="45" t="s">
        <v>96</v>
      </c>
      <c r="BG79" s="65"/>
      <c r="BH79" s="66"/>
      <c r="BI79" s="65"/>
      <c r="BJ79" s="94" t="s">
        <v>143</v>
      </c>
      <c r="BK79" s="45" t="s">
        <v>96</v>
      </c>
      <c r="BL79" s="93" t="s">
        <v>97</v>
      </c>
      <c r="BM79" s="45" t="s">
        <v>96</v>
      </c>
      <c r="BN79" s="65"/>
      <c r="BO79" s="66"/>
      <c r="BP79" s="65"/>
      <c r="BQ79" s="94" t="s">
        <v>143</v>
      </c>
      <c r="BR79" s="45" t="s">
        <v>96</v>
      </c>
      <c r="BS79" s="93" t="s">
        <v>97</v>
      </c>
      <c r="BT79" s="45" t="s">
        <v>96</v>
      </c>
      <c r="BU79" s="65"/>
      <c r="BV79" s="66"/>
      <c r="BW79" s="65"/>
      <c r="BX79" s="94" t="s">
        <v>143</v>
      </c>
      <c r="BY79" s="45" t="s">
        <v>96</v>
      </c>
      <c r="BZ79" s="93" t="s">
        <v>97</v>
      </c>
      <c r="CA79" s="45" t="s">
        <v>96</v>
      </c>
      <c r="CB79" s="65"/>
      <c r="CC79" s="66"/>
      <c r="CD79" s="65"/>
      <c r="CE79" s="94" t="s">
        <v>143</v>
      </c>
      <c r="CF79" s="45" t="s">
        <v>96</v>
      </c>
      <c r="CG79" s="93" t="s">
        <v>97</v>
      </c>
      <c r="CH79" s="45" t="s">
        <v>96</v>
      </c>
      <c r="CI79" s="65"/>
      <c r="CJ79" s="66"/>
      <c r="CK79" s="65"/>
      <c r="CL79" s="94" t="s">
        <v>143</v>
      </c>
      <c r="CM79" s="45" t="s">
        <v>96</v>
      </c>
      <c r="CN79" s="93" t="s">
        <v>97</v>
      </c>
      <c r="CO79" s="45" t="s">
        <v>96</v>
      </c>
      <c r="CP79" s="65"/>
      <c r="CQ79" s="66"/>
      <c r="CR79" s="65"/>
    </row>
    <row r="80" spans="1:96" ht="12.75">
      <c r="A80" s="13"/>
      <c r="B80" s="9"/>
      <c r="C80" s="9"/>
      <c r="D80" s="10"/>
      <c r="E80" s="9"/>
      <c r="F80" s="11"/>
      <c r="G80" s="9"/>
      <c r="H80" s="9"/>
      <c r="I80" s="9"/>
      <c r="J80" s="10"/>
      <c r="K80" s="9"/>
      <c r="L80" s="11"/>
      <c r="M80" s="9"/>
      <c r="N80" s="55"/>
      <c r="O80" s="56"/>
      <c r="P80" s="55"/>
      <c r="Q80" s="9"/>
      <c r="R80" s="10"/>
      <c r="S80" s="9"/>
      <c r="T80" s="11"/>
      <c r="U80" s="9"/>
      <c r="V80" s="55"/>
      <c r="W80" s="56"/>
      <c r="X80" s="55"/>
      <c r="Y80" s="9"/>
      <c r="Z80" s="10"/>
      <c r="AA80" s="9"/>
      <c r="AB80" s="11"/>
      <c r="AC80" s="9"/>
      <c r="AD80" s="55"/>
      <c r="AE80" s="56"/>
      <c r="AF80" s="55"/>
      <c r="AG80" s="9"/>
      <c r="AH80" s="10"/>
      <c r="AI80" s="9"/>
      <c r="AJ80" s="11"/>
      <c r="AK80" s="9"/>
      <c r="AL80" s="55"/>
      <c r="AM80" s="56"/>
      <c r="AN80" s="55"/>
      <c r="AO80" s="10"/>
      <c r="AP80" s="9"/>
      <c r="AQ80" s="11"/>
      <c r="AR80" s="9"/>
      <c r="AS80" s="55"/>
      <c r="AT80" s="56"/>
      <c r="AU80" s="55"/>
      <c r="AV80" s="10"/>
      <c r="AW80" s="9"/>
      <c r="AX80" s="11"/>
      <c r="AY80" s="9"/>
      <c r="AZ80" s="55"/>
      <c r="BA80" s="56"/>
      <c r="BB80" s="55"/>
      <c r="BC80" s="10"/>
      <c r="BD80" s="9"/>
      <c r="BE80" s="11"/>
      <c r="BF80" s="9"/>
      <c r="BG80" s="55"/>
      <c r="BH80" s="56"/>
      <c r="BI80" s="55"/>
      <c r="BJ80" s="10"/>
      <c r="BK80" s="9"/>
      <c r="BL80" s="11"/>
      <c r="BM80" s="9"/>
      <c r="BN80" s="55"/>
      <c r="BO80" s="56"/>
      <c r="BP80" s="55"/>
      <c r="BQ80" s="10"/>
      <c r="BR80" s="9"/>
      <c r="BS80" s="11"/>
      <c r="BT80" s="9"/>
      <c r="BU80" s="55"/>
      <c r="BV80" s="56"/>
      <c r="BW80" s="55"/>
      <c r="BX80" s="10"/>
      <c r="BY80" s="9"/>
      <c r="BZ80" s="11"/>
      <c r="CA80" s="9"/>
      <c r="CB80" s="55"/>
      <c r="CC80" s="56"/>
      <c r="CD80" s="55"/>
      <c r="CE80" s="10"/>
      <c r="CF80" s="9"/>
      <c r="CG80" s="11"/>
      <c r="CH80" s="9"/>
      <c r="CI80" s="55"/>
      <c r="CJ80" s="56"/>
      <c r="CK80" s="55"/>
      <c r="CL80" s="10"/>
      <c r="CM80" s="9"/>
      <c r="CN80" s="11"/>
      <c r="CO80" s="9"/>
      <c r="CP80" s="55"/>
      <c r="CQ80" s="56"/>
      <c r="CR80" s="55"/>
    </row>
    <row r="81" spans="1:96" ht="12.75">
      <c r="A81" s="9" t="s">
        <v>23</v>
      </c>
      <c r="B81" s="9"/>
      <c r="C81" s="9"/>
      <c r="D81" s="10">
        <v>2691700.32</v>
      </c>
      <c r="E81" s="15">
        <v>0.3031464120638043</v>
      </c>
      <c r="F81" s="11">
        <v>1852</v>
      </c>
      <c r="G81" s="15">
        <v>0.2504394861392833</v>
      </c>
      <c r="H81" s="9"/>
      <c r="I81" s="9"/>
      <c r="J81" s="10">
        <v>1727341.21</v>
      </c>
      <c r="K81" s="15">
        <v>0.2890689806458298</v>
      </c>
      <c r="L81" s="11">
        <v>1799</v>
      </c>
      <c r="M81" s="15">
        <v>0.2603096512805672</v>
      </c>
      <c r="N81" s="57"/>
      <c r="O81" s="56"/>
      <c r="P81" s="57"/>
      <c r="Q81" s="9"/>
      <c r="R81" s="10">
        <v>2411505.25</v>
      </c>
      <c r="S81" s="15">
        <v>0.32712651362542855</v>
      </c>
      <c r="T81" s="11">
        <v>3255</v>
      </c>
      <c r="U81" s="15">
        <v>0.3521964942653105</v>
      </c>
      <c r="V81" s="57"/>
      <c r="W81" s="56"/>
      <c r="X81" s="57"/>
      <c r="Y81" s="9"/>
      <c r="Z81" s="10">
        <v>2776528.72</v>
      </c>
      <c r="AA81" s="15">
        <v>0.34826363543140754</v>
      </c>
      <c r="AB81" s="11">
        <v>3389</v>
      </c>
      <c r="AC81" s="15">
        <v>0.3619566378297554</v>
      </c>
      <c r="AD81" s="57"/>
      <c r="AE81" s="56"/>
      <c r="AF81" s="57"/>
      <c r="AG81" s="9"/>
      <c r="AH81" s="10">
        <v>2774575.21</v>
      </c>
      <c r="AI81" s="15">
        <v>0.33778273066476433</v>
      </c>
      <c r="AJ81" s="11">
        <v>3417</v>
      </c>
      <c r="AK81" s="15">
        <v>0.37234390323635175</v>
      </c>
      <c r="AL81" s="57"/>
      <c r="AM81" s="56"/>
      <c r="AN81" s="57"/>
      <c r="AO81" s="10">
        <v>3883982.369999989</v>
      </c>
      <c r="AP81" s="15">
        <v>0.3800962336005165</v>
      </c>
      <c r="AQ81" s="11">
        <v>4549</v>
      </c>
      <c r="AR81" s="15">
        <v>0.4054367201426025</v>
      </c>
      <c r="AS81" s="57"/>
      <c r="AT81" s="56"/>
      <c r="AU81" s="57"/>
      <c r="AV81" s="10">
        <v>6309481.170000045</v>
      </c>
      <c r="AW81" s="15">
        <v>0.4698868730664928</v>
      </c>
      <c r="AX81" s="11">
        <v>6526</v>
      </c>
      <c r="AY81" s="15">
        <v>0.4682163868560769</v>
      </c>
      <c r="AZ81" s="57"/>
      <c r="BA81" s="56"/>
      <c r="BB81" s="57"/>
      <c r="BC81" s="10">
        <v>6283926.9299999885</v>
      </c>
      <c r="BD81" s="15">
        <v>0.48009411020527043</v>
      </c>
      <c r="BE81" s="11">
        <v>6921</v>
      </c>
      <c r="BF81" s="15">
        <v>0.48459599495868927</v>
      </c>
      <c r="BG81" s="57"/>
      <c r="BH81" s="56"/>
      <c r="BI81" s="57"/>
      <c r="BJ81" s="10">
        <v>4518301.3099999875</v>
      </c>
      <c r="BK81" s="15">
        <v>0.44344609131130247</v>
      </c>
      <c r="BL81" s="11">
        <v>5940</v>
      </c>
      <c r="BM81" s="15">
        <v>0.48989690721649487</v>
      </c>
      <c r="BN81" s="57"/>
      <c r="BO81" s="56"/>
      <c r="BP81" s="57"/>
      <c r="BQ81" s="10">
        <v>2511443.89</v>
      </c>
      <c r="BR81" s="15">
        <v>0.36610056177524086</v>
      </c>
      <c r="BS81" s="11">
        <v>3592</v>
      </c>
      <c r="BT81" s="15">
        <v>0.42258823529411765</v>
      </c>
      <c r="BU81" s="57"/>
      <c r="BV81" s="56"/>
      <c r="BW81" s="57"/>
      <c r="BX81" s="10">
        <v>1493772.26</v>
      </c>
      <c r="BY81" s="15">
        <v>0.300203177296247</v>
      </c>
      <c r="BZ81" s="11">
        <v>2204</v>
      </c>
      <c r="CA81" s="15">
        <v>0.35750202757502025</v>
      </c>
      <c r="CB81" s="57"/>
      <c r="CC81" s="56"/>
      <c r="CD81" s="57"/>
      <c r="CE81" s="10">
        <v>9913182.93000005</v>
      </c>
      <c r="CF81" s="15">
        <v>0.5763913184124118</v>
      </c>
      <c r="CG81" s="11">
        <v>11371</v>
      </c>
      <c r="CH81" s="15">
        <v>0.5991043203371971</v>
      </c>
      <c r="CI81" s="57"/>
      <c r="CJ81" s="56"/>
      <c r="CK81" s="57"/>
      <c r="CL81" s="10">
        <v>8467441.640000047</v>
      </c>
      <c r="CM81" s="15">
        <v>0.5647966911200998</v>
      </c>
      <c r="CN81" s="11">
        <v>9928</v>
      </c>
      <c r="CO81" s="15">
        <v>0.5926456542502387</v>
      </c>
      <c r="CP81" s="57"/>
      <c r="CQ81" s="56"/>
      <c r="CR81" s="57"/>
    </row>
    <row r="82" spans="1:96" ht="12.75">
      <c r="A82" s="9" t="s">
        <v>64</v>
      </c>
      <c r="B82" s="9"/>
      <c r="C82" s="9"/>
      <c r="D82" s="10">
        <v>937348.3200000008</v>
      </c>
      <c r="E82" s="15">
        <v>0.10556664794765674</v>
      </c>
      <c r="F82" s="11">
        <v>769</v>
      </c>
      <c r="G82" s="15">
        <v>0.10398918187964841</v>
      </c>
      <c r="H82" s="9"/>
      <c r="I82" s="9"/>
      <c r="J82" s="10">
        <v>514986.01</v>
      </c>
      <c r="K82" s="15">
        <v>0.0861824404441571</v>
      </c>
      <c r="L82" s="11">
        <v>725</v>
      </c>
      <c r="M82" s="15">
        <v>0.10490522355664882</v>
      </c>
      <c r="N82" s="57"/>
      <c r="O82" s="56"/>
      <c r="P82" s="57"/>
      <c r="Q82" s="9"/>
      <c r="R82" s="10">
        <v>671936.09</v>
      </c>
      <c r="S82" s="15">
        <v>0.09114975408027912</v>
      </c>
      <c r="T82" s="11">
        <v>545</v>
      </c>
      <c r="U82" s="15">
        <v>0.058969919930750916</v>
      </c>
      <c r="V82" s="57"/>
      <c r="W82" s="56"/>
      <c r="X82" s="57"/>
      <c r="Y82" s="9"/>
      <c r="Z82" s="10">
        <v>821014.39</v>
      </c>
      <c r="AA82" s="15">
        <v>0.1029809107117393</v>
      </c>
      <c r="AB82" s="11">
        <v>729</v>
      </c>
      <c r="AC82" s="15">
        <v>0.07785966036526754</v>
      </c>
      <c r="AD82" s="57"/>
      <c r="AE82" s="56"/>
      <c r="AF82" s="57"/>
      <c r="AG82" s="9"/>
      <c r="AH82" s="10">
        <v>896887.87</v>
      </c>
      <c r="AI82" s="15">
        <v>0.10918905089932825</v>
      </c>
      <c r="AJ82" s="11">
        <v>858</v>
      </c>
      <c r="AK82" s="15">
        <v>0.09349460608041844</v>
      </c>
      <c r="AL82" s="57"/>
      <c r="AM82" s="56"/>
      <c r="AN82" s="57"/>
      <c r="AO82" s="10">
        <v>1033027.79</v>
      </c>
      <c r="AP82" s="15">
        <v>0.10109468447037945</v>
      </c>
      <c r="AQ82" s="11">
        <v>1000</v>
      </c>
      <c r="AR82" s="15">
        <v>0.08912655971479501</v>
      </c>
      <c r="AS82" s="57"/>
      <c r="AT82" s="56"/>
      <c r="AU82" s="57"/>
      <c r="AV82" s="10">
        <v>1121977.89</v>
      </c>
      <c r="AW82" s="15">
        <v>0.08355721622382425</v>
      </c>
      <c r="AX82" s="11">
        <v>1111</v>
      </c>
      <c r="AY82" s="15">
        <v>0.07971014492753623</v>
      </c>
      <c r="AZ82" s="57"/>
      <c r="BA82" s="56"/>
      <c r="BB82" s="57"/>
      <c r="BC82" s="10">
        <v>1088524.17</v>
      </c>
      <c r="BD82" s="15">
        <v>0.08316360910216403</v>
      </c>
      <c r="BE82" s="11">
        <v>1175</v>
      </c>
      <c r="BF82" s="15">
        <v>0.082271390561546</v>
      </c>
      <c r="BG82" s="57"/>
      <c r="BH82" s="56"/>
      <c r="BI82" s="57"/>
      <c r="BJ82" s="10">
        <v>904495.2</v>
      </c>
      <c r="BK82" s="15">
        <v>0.08877116277352377</v>
      </c>
      <c r="BL82" s="11">
        <v>1000</v>
      </c>
      <c r="BM82" s="15">
        <v>0.08247422680412371</v>
      </c>
      <c r="BN82" s="57"/>
      <c r="BO82" s="56"/>
      <c r="BP82" s="57"/>
      <c r="BQ82" s="10">
        <v>696808.12</v>
      </c>
      <c r="BR82" s="15">
        <v>0.1015757689022267</v>
      </c>
      <c r="BS82" s="11">
        <v>860</v>
      </c>
      <c r="BT82" s="15">
        <v>0.1011764705882353</v>
      </c>
      <c r="BU82" s="57"/>
      <c r="BV82" s="56"/>
      <c r="BW82" s="57"/>
      <c r="BX82" s="10">
        <v>540210.39</v>
      </c>
      <c r="BY82" s="15">
        <v>0.10856599752792621</v>
      </c>
      <c r="BZ82" s="11">
        <v>726</v>
      </c>
      <c r="CA82" s="15">
        <v>0.11776155717761558</v>
      </c>
      <c r="CB82" s="57"/>
      <c r="CC82" s="56"/>
      <c r="CD82" s="57"/>
      <c r="CE82" s="10">
        <v>1292682.84</v>
      </c>
      <c r="CF82" s="15">
        <v>0.0751616480496742</v>
      </c>
      <c r="CG82" s="11">
        <v>1338</v>
      </c>
      <c r="CH82" s="15">
        <v>0.07049525816649105</v>
      </c>
      <c r="CI82" s="57"/>
      <c r="CJ82" s="56"/>
      <c r="CK82" s="57"/>
      <c r="CL82" s="10">
        <v>1243387.91</v>
      </c>
      <c r="CM82" s="15">
        <v>0.08293666578453462</v>
      </c>
      <c r="CN82" s="11">
        <v>1297</v>
      </c>
      <c r="CO82" s="15">
        <v>0.07742359121298949</v>
      </c>
      <c r="CP82" s="57"/>
      <c r="CQ82" s="56"/>
      <c r="CR82" s="57"/>
    </row>
    <row r="83" spans="1:96" ht="12.75">
      <c r="A83" s="9" t="s">
        <v>65</v>
      </c>
      <c r="B83" s="9"/>
      <c r="C83" s="9"/>
      <c r="D83" s="10">
        <v>623219.54</v>
      </c>
      <c r="E83" s="15">
        <v>0.0701886335842374</v>
      </c>
      <c r="F83" s="11">
        <v>382</v>
      </c>
      <c r="G83" s="15">
        <v>0.05165652467883705</v>
      </c>
      <c r="H83" s="9"/>
      <c r="I83" s="9"/>
      <c r="J83" s="10">
        <v>473053.95</v>
      </c>
      <c r="K83" s="15">
        <v>0.07916514833625912</v>
      </c>
      <c r="L83" s="11">
        <v>375</v>
      </c>
      <c r="M83" s="15">
        <v>0.05426132252930112</v>
      </c>
      <c r="N83" s="57"/>
      <c r="O83" s="56"/>
      <c r="P83" s="57"/>
      <c r="Q83" s="9"/>
      <c r="R83" s="10">
        <v>498532.15</v>
      </c>
      <c r="S83" s="15">
        <v>0.06762709065621526</v>
      </c>
      <c r="T83" s="11">
        <v>494</v>
      </c>
      <c r="U83" s="15">
        <v>0.05345163384548799</v>
      </c>
      <c r="V83" s="57"/>
      <c r="W83" s="56"/>
      <c r="X83" s="57"/>
      <c r="Y83" s="9"/>
      <c r="Z83" s="10">
        <v>461653.9600000006</v>
      </c>
      <c r="AA83" s="15">
        <v>0.05790586110735637</v>
      </c>
      <c r="AB83" s="11">
        <v>537</v>
      </c>
      <c r="AC83" s="15">
        <v>0.05735341236783082</v>
      </c>
      <c r="AD83" s="57"/>
      <c r="AE83" s="56"/>
      <c r="AF83" s="57"/>
      <c r="AG83" s="9"/>
      <c r="AH83" s="10">
        <v>435489.11</v>
      </c>
      <c r="AI83" s="15">
        <v>0.053017377298115474</v>
      </c>
      <c r="AJ83" s="11">
        <v>477</v>
      </c>
      <c r="AK83" s="15">
        <v>0.051977770513239624</v>
      </c>
      <c r="AL83" s="57"/>
      <c r="AM83" s="56"/>
      <c r="AN83" s="57"/>
      <c r="AO83" s="10">
        <v>432199.94</v>
      </c>
      <c r="AP83" s="15">
        <v>0.042296167620444046</v>
      </c>
      <c r="AQ83" s="11">
        <v>511</v>
      </c>
      <c r="AR83" s="15">
        <v>0.04554367201426025</v>
      </c>
      <c r="AS83" s="57"/>
      <c r="AT83" s="56"/>
      <c r="AU83" s="57"/>
      <c r="AV83" s="10">
        <v>510656.6699999993</v>
      </c>
      <c r="AW83" s="15">
        <v>0.038030205560760214</v>
      </c>
      <c r="AX83" s="11">
        <v>580</v>
      </c>
      <c r="AY83" s="15">
        <v>0.0416128569378677</v>
      </c>
      <c r="AZ83" s="57"/>
      <c r="BA83" s="56"/>
      <c r="BB83" s="57"/>
      <c r="BC83" s="10">
        <v>560638.22</v>
      </c>
      <c r="BD83" s="15">
        <v>0.042832946718870765</v>
      </c>
      <c r="BE83" s="11">
        <v>642</v>
      </c>
      <c r="BF83" s="15">
        <v>0.044951687438734074</v>
      </c>
      <c r="BG83" s="57"/>
      <c r="BH83" s="56"/>
      <c r="BI83" s="57"/>
      <c r="BJ83" s="10">
        <v>503549.34</v>
      </c>
      <c r="BK83" s="15">
        <v>0.04942056124304527</v>
      </c>
      <c r="BL83" s="11">
        <v>553</v>
      </c>
      <c r="BM83" s="15">
        <v>0.04560824742268041</v>
      </c>
      <c r="BN83" s="57"/>
      <c r="BO83" s="56"/>
      <c r="BP83" s="57"/>
      <c r="BQ83" s="10">
        <v>391108.73</v>
      </c>
      <c r="BR83" s="15">
        <v>0.05701306978759581</v>
      </c>
      <c r="BS83" s="11">
        <v>459</v>
      </c>
      <c r="BT83" s="15">
        <v>0.054</v>
      </c>
      <c r="BU83" s="57"/>
      <c r="BV83" s="56"/>
      <c r="BW83" s="57"/>
      <c r="BX83" s="10">
        <v>301434.82</v>
      </c>
      <c r="BY83" s="15">
        <v>0.060579308596694914</v>
      </c>
      <c r="BZ83" s="11">
        <v>381</v>
      </c>
      <c r="CA83" s="15">
        <v>0.061800486618004864</v>
      </c>
      <c r="CB83" s="57"/>
      <c r="CC83" s="56"/>
      <c r="CD83" s="57"/>
      <c r="CE83" s="10">
        <v>563046.27</v>
      </c>
      <c r="CF83" s="15">
        <v>0.032737717460086156</v>
      </c>
      <c r="CG83" s="11">
        <v>668</v>
      </c>
      <c r="CH83" s="15">
        <v>0.03519494204425711</v>
      </c>
      <c r="CI83" s="57"/>
      <c r="CJ83" s="56"/>
      <c r="CK83" s="57"/>
      <c r="CL83" s="10">
        <v>482060.32</v>
      </c>
      <c r="CM83" s="15">
        <v>0.032154467102568064</v>
      </c>
      <c r="CN83" s="11">
        <v>622</v>
      </c>
      <c r="CO83" s="15">
        <v>0.03712989493791786</v>
      </c>
      <c r="CP83" s="57"/>
      <c r="CQ83" s="56"/>
      <c r="CR83" s="57"/>
    </row>
    <row r="84" spans="1:96" ht="12.75">
      <c r="A84" s="9" t="s">
        <v>66</v>
      </c>
      <c r="B84" s="9"/>
      <c r="C84" s="9"/>
      <c r="D84" s="10">
        <v>766150.7</v>
      </c>
      <c r="E84" s="15">
        <v>0.08628591900794227</v>
      </c>
      <c r="F84" s="11">
        <v>532</v>
      </c>
      <c r="G84" s="15">
        <v>0.07194050033806626</v>
      </c>
      <c r="H84" s="9"/>
      <c r="I84" s="9"/>
      <c r="J84" s="10">
        <v>559795.38</v>
      </c>
      <c r="K84" s="15">
        <v>0.0936812477639233</v>
      </c>
      <c r="L84" s="11">
        <v>519</v>
      </c>
      <c r="M84" s="15">
        <v>0.07509767038055275</v>
      </c>
      <c r="N84" s="57"/>
      <c r="O84" s="56"/>
      <c r="P84" s="57"/>
      <c r="Q84" s="9"/>
      <c r="R84" s="10">
        <v>658200.94</v>
      </c>
      <c r="S84" s="15">
        <v>0.08928654779714028</v>
      </c>
      <c r="T84" s="11">
        <v>740</v>
      </c>
      <c r="U84" s="15">
        <v>0.08006924908028565</v>
      </c>
      <c r="V84" s="57"/>
      <c r="W84" s="56"/>
      <c r="X84" s="57"/>
      <c r="Y84" s="9"/>
      <c r="Z84" s="10">
        <v>671596.62</v>
      </c>
      <c r="AA84" s="15">
        <v>0.08423924403873827</v>
      </c>
      <c r="AB84" s="11">
        <v>802</v>
      </c>
      <c r="AC84" s="15">
        <v>0.08565630673929296</v>
      </c>
      <c r="AD84" s="57"/>
      <c r="AE84" s="56"/>
      <c r="AF84" s="57"/>
      <c r="AG84" s="9"/>
      <c r="AH84" s="10">
        <v>672759.2</v>
      </c>
      <c r="AI84" s="15">
        <v>0.08190314641203851</v>
      </c>
      <c r="AJ84" s="11">
        <v>736</v>
      </c>
      <c r="AK84" s="15">
        <v>0.08020050125313283</v>
      </c>
      <c r="AL84" s="57"/>
      <c r="AM84" s="56"/>
      <c r="AN84" s="57"/>
      <c r="AO84" s="10">
        <v>756607.13</v>
      </c>
      <c r="AP84" s="15">
        <v>0.07404346699655523</v>
      </c>
      <c r="AQ84" s="11">
        <v>809</v>
      </c>
      <c r="AR84" s="15">
        <v>0.07210338680926916</v>
      </c>
      <c r="AS84" s="57"/>
      <c r="AT84" s="56"/>
      <c r="AU84" s="57"/>
      <c r="AV84" s="10">
        <v>890622.56</v>
      </c>
      <c r="AW84" s="15">
        <v>0.06632745839558025</v>
      </c>
      <c r="AX84" s="11">
        <v>899</v>
      </c>
      <c r="AY84" s="15">
        <v>0.06449992825369494</v>
      </c>
      <c r="AZ84" s="57"/>
      <c r="BA84" s="56"/>
      <c r="BB84" s="57"/>
      <c r="BC84" s="10">
        <v>826987.9999999994</v>
      </c>
      <c r="BD84" s="15">
        <v>0.06318215861406215</v>
      </c>
      <c r="BE84" s="11">
        <v>884</v>
      </c>
      <c r="BF84" s="15">
        <v>0.061896092984175886</v>
      </c>
      <c r="BG84" s="57"/>
      <c r="BH84" s="56"/>
      <c r="BI84" s="57"/>
      <c r="BJ84" s="10">
        <v>661387.01</v>
      </c>
      <c r="BK84" s="15">
        <v>0.06491144886230935</v>
      </c>
      <c r="BL84" s="11">
        <v>778</v>
      </c>
      <c r="BM84" s="15">
        <v>0.06416494845360825</v>
      </c>
      <c r="BN84" s="57"/>
      <c r="BO84" s="56"/>
      <c r="BP84" s="57"/>
      <c r="BQ84" s="10">
        <v>474382.71</v>
      </c>
      <c r="BR84" s="15">
        <v>0.06915216275345931</v>
      </c>
      <c r="BS84" s="11">
        <v>635</v>
      </c>
      <c r="BT84" s="15">
        <v>0.07470588235294118</v>
      </c>
      <c r="BU84" s="57"/>
      <c r="BV84" s="56"/>
      <c r="BW84" s="57"/>
      <c r="BX84" s="10">
        <v>341001.4</v>
      </c>
      <c r="BY84" s="15">
        <v>0.06853099798657958</v>
      </c>
      <c r="BZ84" s="11">
        <v>477</v>
      </c>
      <c r="CA84" s="15">
        <v>0.07737226277372262</v>
      </c>
      <c r="CB84" s="57"/>
      <c r="CC84" s="56"/>
      <c r="CD84" s="57"/>
      <c r="CE84" s="10">
        <v>931638.02</v>
      </c>
      <c r="CF84" s="15">
        <v>0.05416908680317536</v>
      </c>
      <c r="CG84" s="11">
        <v>1103</v>
      </c>
      <c r="CH84" s="15">
        <v>0.05811380400421496</v>
      </c>
      <c r="CI84" s="57"/>
      <c r="CJ84" s="56"/>
      <c r="CK84" s="57"/>
      <c r="CL84" s="10">
        <v>785025.44</v>
      </c>
      <c r="CM84" s="15">
        <v>0.052362896587628306</v>
      </c>
      <c r="CN84" s="11">
        <v>935</v>
      </c>
      <c r="CO84" s="15">
        <v>0.055814231136580704</v>
      </c>
      <c r="CP84" s="57"/>
      <c r="CQ84" s="56"/>
      <c r="CR84" s="57"/>
    </row>
    <row r="85" spans="1:96" ht="12.75">
      <c r="A85" s="9" t="s">
        <v>67</v>
      </c>
      <c r="B85" s="9"/>
      <c r="C85" s="9"/>
      <c r="D85" s="10">
        <v>558696.59</v>
      </c>
      <c r="E85" s="15">
        <v>0.06292188823263294</v>
      </c>
      <c r="F85" s="11">
        <v>441</v>
      </c>
      <c r="G85" s="15">
        <v>0.05963488843813387</v>
      </c>
      <c r="H85" s="9"/>
      <c r="I85" s="9"/>
      <c r="J85" s="10">
        <v>404377.81</v>
      </c>
      <c r="K85" s="15">
        <v>0.06767225876148295</v>
      </c>
      <c r="L85" s="11">
        <v>426</v>
      </c>
      <c r="M85" s="15">
        <v>0.06164086239328607</v>
      </c>
      <c r="N85" s="57"/>
      <c r="O85" s="56"/>
      <c r="P85" s="57"/>
      <c r="Q85" s="9"/>
      <c r="R85" s="10">
        <v>449744.49</v>
      </c>
      <c r="S85" s="15">
        <v>0.06100892670084226</v>
      </c>
      <c r="T85" s="11">
        <v>570</v>
      </c>
      <c r="U85" s="15">
        <v>0.06167496212940922</v>
      </c>
      <c r="V85" s="57"/>
      <c r="W85" s="56"/>
      <c r="X85" s="57"/>
      <c r="Y85" s="9"/>
      <c r="Z85" s="10">
        <v>463895.54</v>
      </c>
      <c r="AA85" s="15">
        <v>0.05818702542389553</v>
      </c>
      <c r="AB85" s="11">
        <v>590</v>
      </c>
      <c r="AC85" s="15">
        <v>0.06301399124212326</v>
      </c>
      <c r="AD85" s="57"/>
      <c r="AE85" s="56"/>
      <c r="AF85" s="57"/>
      <c r="AG85" s="9"/>
      <c r="AH85" s="10">
        <v>482168.84</v>
      </c>
      <c r="AI85" s="15">
        <v>0.058700267640847945</v>
      </c>
      <c r="AJ85" s="11">
        <v>509</v>
      </c>
      <c r="AK85" s="15">
        <v>0.05546474882859322</v>
      </c>
      <c r="AL85" s="57"/>
      <c r="AM85" s="56"/>
      <c r="AN85" s="57"/>
      <c r="AO85" s="10">
        <v>599005.6000000007</v>
      </c>
      <c r="AP85" s="15">
        <v>0.05862018690512708</v>
      </c>
      <c r="AQ85" s="11">
        <v>624</v>
      </c>
      <c r="AR85" s="15">
        <v>0.05561497326203209</v>
      </c>
      <c r="AS85" s="57"/>
      <c r="AT85" s="56"/>
      <c r="AU85" s="57"/>
      <c r="AV85" s="10">
        <v>721711.71</v>
      </c>
      <c r="AW85" s="15">
        <v>0.0537481370544084</v>
      </c>
      <c r="AX85" s="11">
        <v>721</v>
      </c>
      <c r="AY85" s="15">
        <v>0.05172908595207347</v>
      </c>
      <c r="AZ85" s="57"/>
      <c r="BA85" s="56"/>
      <c r="BB85" s="57"/>
      <c r="BC85" s="10">
        <v>660112.4599999995</v>
      </c>
      <c r="BD85" s="15">
        <v>0.05043281178304734</v>
      </c>
      <c r="BE85" s="11">
        <v>729</v>
      </c>
      <c r="BF85" s="15">
        <v>0.051043271250525137</v>
      </c>
      <c r="BG85" s="57"/>
      <c r="BH85" s="56"/>
      <c r="BI85" s="57"/>
      <c r="BJ85" s="10">
        <v>515746.55</v>
      </c>
      <c r="BK85" s="15">
        <v>0.0506176494247104</v>
      </c>
      <c r="BL85" s="11">
        <v>578</v>
      </c>
      <c r="BM85" s="15">
        <v>0.04767010309278351</v>
      </c>
      <c r="BN85" s="57"/>
      <c r="BO85" s="56"/>
      <c r="BP85" s="57"/>
      <c r="BQ85" s="10">
        <v>386210.02</v>
      </c>
      <c r="BR85" s="15">
        <v>0.0562989704242315</v>
      </c>
      <c r="BS85" s="11">
        <v>433</v>
      </c>
      <c r="BT85" s="15">
        <v>0.05094117647058823</v>
      </c>
      <c r="BU85" s="57"/>
      <c r="BV85" s="56"/>
      <c r="BW85" s="57"/>
      <c r="BX85" s="10">
        <v>304272.64</v>
      </c>
      <c r="BY85" s="15">
        <v>0.06114962483793688</v>
      </c>
      <c r="BZ85" s="11">
        <v>324</v>
      </c>
      <c r="CA85" s="15">
        <v>0.052554744525547446</v>
      </c>
      <c r="CB85" s="57"/>
      <c r="CC85" s="56"/>
      <c r="CD85" s="57"/>
      <c r="CE85" s="10">
        <v>595160.1700000005</v>
      </c>
      <c r="CF85" s="15">
        <v>0.03460494550289245</v>
      </c>
      <c r="CG85" s="11">
        <v>672</v>
      </c>
      <c r="CH85" s="15">
        <v>0.03540569020021075</v>
      </c>
      <c r="CI85" s="57"/>
      <c r="CJ85" s="56"/>
      <c r="CK85" s="57"/>
      <c r="CL85" s="10">
        <v>500334.52000000054</v>
      </c>
      <c r="CM85" s="15">
        <v>0.03337339580992519</v>
      </c>
      <c r="CN85" s="11">
        <v>621</v>
      </c>
      <c r="CO85" s="15">
        <v>0.037070200573065905</v>
      </c>
      <c r="CP85" s="57"/>
      <c r="CQ85" s="56"/>
      <c r="CR85" s="57"/>
    </row>
    <row r="86" spans="1:96" ht="12.75">
      <c r="A86" s="9" t="s">
        <v>68</v>
      </c>
      <c r="B86" s="9"/>
      <c r="C86" s="9"/>
      <c r="D86" s="10">
        <v>300279.16</v>
      </c>
      <c r="E86" s="15">
        <v>0.03381823351402397</v>
      </c>
      <c r="F86" s="11">
        <v>341</v>
      </c>
      <c r="G86" s="15">
        <v>0.046112237998647734</v>
      </c>
      <c r="H86" s="9"/>
      <c r="I86" s="9"/>
      <c r="J86" s="10">
        <v>198333.51</v>
      </c>
      <c r="K86" s="15">
        <v>0.033190932533595674</v>
      </c>
      <c r="L86" s="11">
        <v>324</v>
      </c>
      <c r="M86" s="15">
        <v>0.04688178266531616</v>
      </c>
      <c r="N86" s="57"/>
      <c r="O86" s="56"/>
      <c r="P86" s="57"/>
      <c r="Q86" s="9"/>
      <c r="R86" s="10">
        <v>228637.18</v>
      </c>
      <c r="S86" s="15">
        <v>0.031015185879669765</v>
      </c>
      <c r="T86" s="11">
        <v>437</v>
      </c>
      <c r="U86" s="15">
        <v>0.04728413763254707</v>
      </c>
      <c r="V86" s="57"/>
      <c r="W86" s="56"/>
      <c r="X86" s="57"/>
      <c r="Y86" s="9"/>
      <c r="Z86" s="10">
        <v>240815.03</v>
      </c>
      <c r="AA86" s="15">
        <v>0.030205744752506477</v>
      </c>
      <c r="AB86" s="11">
        <v>451</v>
      </c>
      <c r="AC86" s="15">
        <v>0.04816832211897896</v>
      </c>
      <c r="AD86" s="57"/>
      <c r="AE86" s="56"/>
      <c r="AF86" s="57"/>
      <c r="AG86" s="9"/>
      <c r="AH86" s="10">
        <v>238926.51</v>
      </c>
      <c r="AI86" s="15">
        <v>0.029087425233645842</v>
      </c>
      <c r="AJ86" s="11">
        <v>399</v>
      </c>
      <c r="AK86" s="15">
        <v>0.043478260869565216</v>
      </c>
      <c r="AL86" s="57"/>
      <c r="AM86" s="56"/>
      <c r="AN86" s="57"/>
      <c r="AO86" s="10">
        <v>305707.95</v>
      </c>
      <c r="AP86" s="15">
        <v>0.029917344958683572</v>
      </c>
      <c r="AQ86" s="11">
        <v>484</v>
      </c>
      <c r="AR86" s="15">
        <v>0.043137254901960784</v>
      </c>
      <c r="AS86" s="57"/>
      <c r="AT86" s="56"/>
      <c r="AU86" s="57"/>
      <c r="AV86" s="10">
        <v>346437</v>
      </c>
      <c r="AW86" s="15">
        <v>0.025800251123427233</v>
      </c>
      <c r="AX86" s="11">
        <v>533</v>
      </c>
      <c r="AY86" s="15">
        <v>0.03824078059979911</v>
      </c>
      <c r="AZ86" s="57"/>
      <c r="BA86" s="56"/>
      <c r="BB86" s="57"/>
      <c r="BC86" s="10">
        <v>314982.82</v>
      </c>
      <c r="BD86" s="15">
        <v>0.024064792347584955</v>
      </c>
      <c r="BE86" s="11">
        <v>498</v>
      </c>
      <c r="BF86" s="15">
        <v>0.03486906595714886</v>
      </c>
      <c r="BG86" s="57"/>
      <c r="BH86" s="56"/>
      <c r="BI86" s="57"/>
      <c r="BJ86" s="10">
        <v>234253.82</v>
      </c>
      <c r="BK86" s="15">
        <v>0.022990706844591056</v>
      </c>
      <c r="BL86" s="11">
        <v>407</v>
      </c>
      <c r="BM86" s="15">
        <v>0.03356701030927835</v>
      </c>
      <c r="BN86" s="57"/>
      <c r="BO86" s="56"/>
      <c r="BP86" s="57"/>
      <c r="BQ86" s="10">
        <v>149137.13</v>
      </c>
      <c r="BR86" s="15">
        <v>0.021740158038946713</v>
      </c>
      <c r="BS86" s="11">
        <v>264</v>
      </c>
      <c r="BT86" s="15">
        <v>0.031058823529411764</v>
      </c>
      <c r="BU86" s="57"/>
      <c r="BV86" s="56"/>
      <c r="BW86" s="57"/>
      <c r="BX86" s="10">
        <v>103737.51</v>
      </c>
      <c r="BY86" s="15">
        <v>0.020848111148349474</v>
      </c>
      <c r="BZ86" s="11">
        <v>168</v>
      </c>
      <c r="CA86" s="15">
        <v>0.027250608272506083</v>
      </c>
      <c r="CB86" s="57"/>
      <c r="CC86" s="56"/>
      <c r="CD86" s="57"/>
      <c r="CE86" s="10">
        <v>213831.14</v>
      </c>
      <c r="CF86" s="15">
        <v>0.012432980766373126</v>
      </c>
      <c r="CG86" s="11">
        <v>445</v>
      </c>
      <c r="CH86" s="15">
        <v>0.02344573234984194</v>
      </c>
      <c r="CI86" s="57"/>
      <c r="CJ86" s="56"/>
      <c r="CK86" s="57"/>
      <c r="CL86" s="10">
        <v>170640.02</v>
      </c>
      <c r="CM86" s="15">
        <v>0.011382058804324654</v>
      </c>
      <c r="CN86" s="11">
        <v>360</v>
      </c>
      <c r="CO86" s="15">
        <v>0.02148997134670487</v>
      </c>
      <c r="CP86" s="57"/>
      <c r="CQ86" s="56"/>
      <c r="CR86" s="57"/>
    </row>
    <row r="87" spans="1:96" ht="12.75">
      <c r="A87" s="9" t="s">
        <v>69</v>
      </c>
      <c r="B87" s="9"/>
      <c r="C87" s="9"/>
      <c r="D87" s="10">
        <v>401985.89</v>
      </c>
      <c r="E87" s="15">
        <v>0.04527271455455897</v>
      </c>
      <c r="F87" s="11">
        <v>632</v>
      </c>
      <c r="G87" s="15">
        <v>0.0854631507775524</v>
      </c>
      <c r="H87" s="9"/>
      <c r="I87" s="9"/>
      <c r="J87" s="10">
        <v>248625.39</v>
      </c>
      <c r="K87" s="15">
        <v>0.04160723291605597</v>
      </c>
      <c r="L87" s="11">
        <v>607</v>
      </c>
      <c r="M87" s="15">
        <v>0.08783099406742874</v>
      </c>
      <c r="N87" s="57"/>
      <c r="O87" s="56"/>
      <c r="P87" s="57"/>
      <c r="Q87" s="9"/>
      <c r="R87" s="10">
        <v>205930.49</v>
      </c>
      <c r="S87" s="15">
        <v>0.0279349685192998</v>
      </c>
      <c r="T87" s="11">
        <v>646</v>
      </c>
      <c r="U87" s="15">
        <v>0.06989829041333044</v>
      </c>
      <c r="V87" s="57"/>
      <c r="W87" s="56"/>
      <c r="X87" s="57"/>
      <c r="Y87" s="9"/>
      <c r="Z87" s="10">
        <v>164318.68</v>
      </c>
      <c r="AA87" s="15">
        <v>0.020610707338943057</v>
      </c>
      <c r="AB87" s="11">
        <v>299</v>
      </c>
      <c r="AC87" s="15">
        <v>0.03193420912100822</v>
      </c>
      <c r="AD87" s="57"/>
      <c r="AE87" s="56"/>
      <c r="AF87" s="57"/>
      <c r="AG87" s="9"/>
      <c r="AH87" s="10">
        <v>173036.85</v>
      </c>
      <c r="AI87" s="15">
        <v>0.02106587685493998</v>
      </c>
      <c r="AJ87" s="11">
        <v>252</v>
      </c>
      <c r="AK87" s="15">
        <v>0.02745995423340961</v>
      </c>
      <c r="AL87" s="57"/>
      <c r="AM87" s="56"/>
      <c r="AN87" s="57"/>
      <c r="AO87" s="10">
        <v>183968.67</v>
      </c>
      <c r="AP87" s="15">
        <v>0.018003634390208766</v>
      </c>
      <c r="AQ87" s="11">
        <v>272</v>
      </c>
      <c r="AR87" s="15">
        <v>0.024242424242424242</v>
      </c>
      <c r="AS87" s="57"/>
      <c r="AT87" s="56"/>
      <c r="AU87" s="57"/>
      <c r="AV87" s="10">
        <v>210498.56</v>
      </c>
      <c r="AW87" s="15">
        <v>0.015676488680827452</v>
      </c>
      <c r="AX87" s="11">
        <v>307</v>
      </c>
      <c r="AY87" s="15">
        <v>0.022026115655043765</v>
      </c>
      <c r="AZ87" s="57"/>
      <c r="BA87" s="56"/>
      <c r="BB87" s="57"/>
      <c r="BC87" s="10">
        <v>191286.4</v>
      </c>
      <c r="BD87" s="15">
        <v>0.014614344664629901</v>
      </c>
      <c r="BE87" s="11">
        <v>305</v>
      </c>
      <c r="BF87" s="15">
        <v>0.021355552443635344</v>
      </c>
      <c r="BG87" s="57"/>
      <c r="BH87" s="56"/>
      <c r="BI87" s="57"/>
      <c r="BJ87" s="10">
        <v>147499.65</v>
      </c>
      <c r="BK87" s="15">
        <v>0.014476268574103876</v>
      </c>
      <c r="BL87" s="11">
        <v>230</v>
      </c>
      <c r="BM87" s="15">
        <v>0.018969072164948454</v>
      </c>
      <c r="BN87" s="57"/>
      <c r="BO87" s="56"/>
      <c r="BP87" s="57"/>
      <c r="BQ87" s="10">
        <v>114060.41</v>
      </c>
      <c r="BR87" s="15">
        <v>0.016626921407077222</v>
      </c>
      <c r="BS87" s="11">
        <v>150</v>
      </c>
      <c r="BT87" s="15">
        <v>0.01764705882352941</v>
      </c>
      <c r="BU87" s="57"/>
      <c r="BV87" s="56"/>
      <c r="BW87" s="57"/>
      <c r="BX87" s="10">
        <v>95402.23</v>
      </c>
      <c r="BY87" s="15">
        <v>0.019172971231335715</v>
      </c>
      <c r="BZ87" s="11">
        <v>111</v>
      </c>
      <c r="CA87" s="15">
        <v>0.01800486618004866</v>
      </c>
      <c r="CB87" s="57"/>
      <c r="CC87" s="56"/>
      <c r="CD87" s="57"/>
      <c r="CE87" s="10">
        <v>147906.34</v>
      </c>
      <c r="CF87" s="15">
        <v>0.008599854447975378</v>
      </c>
      <c r="CG87" s="11">
        <v>247</v>
      </c>
      <c r="CH87" s="15">
        <v>0.013013698630136987</v>
      </c>
      <c r="CI87" s="57"/>
      <c r="CJ87" s="56"/>
      <c r="CK87" s="57"/>
      <c r="CL87" s="10">
        <v>113241.13</v>
      </c>
      <c r="CM87" s="15">
        <v>0.0075534285610618845</v>
      </c>
      <c r="CN87" s="11">
        <v>197</v>
      </c>
      <c r="CO87" s="15">
        <v>0.011759789875835721</v>
      </c>
      <c r="CP87" s="57"/>
      <c r="CQ87" s="56"/>
      <c r="CR87" s="57"/>
    </row>
    <row r="88" spans="1:96" ht="12.75">
      <c r="A88" s="9" t="s">
        <v>70</v>
      </c>
      <c r="B88" s="9"/>
      <c r="C88" s="9"/>
      <c r="D88" s="10">
        <v>275993.15</v>
      </c>
      <c r="E88" s="15">
        <v>0.03108307880896912</v>
      </c>
      <c r="F88" s="11">
        <v>314</v>
      </c>
      <c r="G88" s="15">
        <v>0.04246112237998648</v>
      </c>
      <c r="H88" s="9"/>
      <c r="I88" s="9"/>
      <c r="J88" s="10">
        <v>160911.88</v>
      </c>
      <c r="K88" s="15">
        <v>0.026928456784403417</v>
      </c>
      <c r="L88" s="11">
        <v>298</v>
      </c>
      <c r="M88" s="15">
        <v>0.04311966430328462</v>
      </c>
      <c r="N88" s="57"/>
      <c r="O88" s="56"/>
      <c r="P88" s="57"/>
      <c r="Q88" s="9"/>
      <c r="R88" s="10">
        <v>180601.52</v>
      </c>
      <c r="S88" s="15">
        <v>0.02449903254121181</v>
      </c>
      <c r="T88" s="11">
        <v>324</v>
      </c>
      <c r="U88" s="15">
        <v>0.035057346894611555</v>
      </c>
      <c r="V88" s="57"/>
      <c r="W88" s="56"/>
      <c r="X88" s="57"/>
      <c r="Y88" s="9"/>
      <c r="Z88" s="10">
        <v>164405.56</v>
      </c>
      <c r="AA88" s="15">
        <v>0.020621604811181807</v>
      </c>
      <c r="AB88" s="11">
        <v>269</v>
      </c>
      <c r="AC88" s="15">
        <v>0.028730107871408738</v>
      </c>
      <c r="AD88" s="57"/>
      <c r="AE88" s="56"/>
      <c r="AF88" s="57"/>
      <c r="AG88" s="9"/>
      <c r="AH88" s="10">
        <v>143736.58</v>
      </c>
      <c r="AI88" s="15">
        <v>0.017498799208551415</v>
      </c>
      <c r="AJ88" s="11">
        <v>210</v>
      </c>
      <c r="AK88" s="15">
        <v>0.02288329519450801</v>
      </c>
      <c r="AL88" s="57"/>
      <c r="AM88" s="56"/>
      <c r="AN88" s="57"/>
      <c r="AO88" s="10">
        <v>162118.89</v>
      </c>
      <c r="AP88" s="15">
        <v>0.015865360244798586</v>
      </c>
      <c r="AQ88" s="11">
        <v>246</v>
      </c>
      <c r="AR88" s="15">
        <v>0.021925133689839574</v>
      </c>
      <c r="AS88" s="57"/>
      <c r="AT88" s="56"/>
      <c r="AU88" s="57"/>
      <c r="AV88" s="10">
        <v>171071.21</v>
      </c>
      <c r="AW88" s="15">
        <v>0.012740210133411133</v>
      </c>
      <c r="AX88" s="11">
        <v>241</v>
      </c>
      <c r="AY88" s="15">
        <v>0.017290859520734683</v>
      </c>
      <c r="AZ88" s="57"/>
      <c r="BA88" s="56"/>
      <c r="BB88" s="57"/>
      <c r="BC88" s="10">
        <v>156907.9</v>
      </c>
      <c r="BD88" s="15">
        <v>0.011987815815464565</v>
      </c>
      <c r="BE88" s="11">
        <v>227</v>
      </c>
      <c r="BF88" s="15">
        <v>0.015894132474443354</v>
      </c>
      <c r="BG88" s="57"/>
      <c r="BH88" s="56"/>
      <c r="BI88" s="57"/>
      <c r="BJ88" s="10">
        <v>120260.04</v>
      </c>
      <c r="BK88" s="15">
        <v>0.011802852669633282</v>
      </c>
      <c r="BL88" s="11">
        <v>178</v>
      </c>
      <c r="BM88" s="15">
        <v>0.014680412371134021</v>
      </c>
      <c r="BN88" s="57"/>
      <c r="BO88" s="56"/>
      <c r="BP88" s="57"/>
      <c r="BQ88" s="10">
        <v>93281.52</v>
      </c>
      <c r="BR88" s="15">
        <v>0.013597921502936051</v>
      </c>
      <c r="BS88" s="11">
        <v>134</v>
      </c>
      <c r="BT88" s="15">
        <v>0.01576470588235294</v>
      </c>
      <c r="BU88" s="57"/>
      <c r="BV88" s="56"/>
      <c r="BW88" s="57"/>
      <c r="BX88" s="10">
        <v>76744.09</v>
      </c>
      <c r="BY88" s="15">
        <v>0.015423247755791864</v>
      </c>
      <c r="BZ88" s="11">
        <v>106</v>
      </c>
      <c r="CA88" s="15">
        <v>0.017193836171938363</v>
      </c>
      <c r="CB88" s="57"/>
      <c r="CC88" s="56"/>
      <c r="CD88" s="57"/>
      <c r="CE88" s="10">
        <v>101607.25</v>
      </c>
      <c r="CF88" s="15">
        <v>0.005907843848066588</v>
      </c>
      <c r="CG88" s="11">
        <v>166</v>
      </c>
      <c r="CH88" s="15">
        <v>0.008746048472075869</v>
      </c>
      <c r="CI88" s="57"/>
      <c r="CJ88" s="56"/>
      <c r="CK88" s="57"/>
      <c r="CL88" s="10">
        <v>87191.44</v>
      </c>
      <c r="CM88" s="15">
        <v>0.005815857835188627</v>
      </c>
      <c r="CN88" s="11">
        <v>139</v>
      </c>
      <c r="CO88" s="15">
        <v>0.008297516714422158</v>
      </c>
      <c r="CP88" s="57"/>
      <c r="CQ88" s="56"/>
      <c r="CR88" s="57"/>
    </row>
    <row r="89" spans="1:96" ht="12.75">
      <c r="A89" s="9" t="s">
        <v>71</v>
      </c>
      <c r="B89" s="9"/>
      <c r="C89" s="9"/>
      <c r="D89" s="10">
        <v>275935.03</v>
      </c>
      <c r="E89" s="15">
        <v>0.0310765331807882</v>
      </c>
      <c r="F89" s="11">
        <v>350</v>
      </c>
      <c r="G89" s="15">
        <v>0.04732927653820149</v>
      </c>
      <c r="H89" s="9"/>
      <c r="I89" s="9"/>
      <c r="J89" s="10">
        <v>172543.98</v>
      </c>
      <c r="K89" s="15">
        <v>0.028875078141147627</v>
      </c>
      <c r="L89" s="11">
        <v>328</v>
      </c>
      <c r="M89" s="15">
        <v>0.04746057010562871</v>
      </c>
      <c r="N89" s="57"/>
      <c r="O89" s="56"/>
      <c r="P89" s="57"/>
      <c r="Q89" s="9"/>
      <c r="R89" s="10">
        <v>189853.66</v>
      </c>
      <c r="S89" s="15">
        <v>0.025754107686403543</v>
      </c>
      <c r="T89" s="11">
        <v>333</v>
      </c>
      <c r="U89" s="15">
        <v>0.03603116208612854</v>
      </c>
      <c r="V89" s="57"/>
      <c r="W89" s="56"/>
      <c r="X89" s="57"/>
      <c r="Y89" s="9"/>
      <c r="Z89" s="10">
        <v>199047.87</v>
      </c>
      <c r="AA89" s="15">
        <v>0.024966835146253512</v>
      </c>
      <c r="AB89" s="11">
        <v>306</v>
      </c>
      <c r="AC89" s="15">
        <v>0.03268183274591477</v>
      </c>
      <c r="AD89" s="57"/>
      <c r="AE89" s="56"/>
      <c r="AF89" s="57"/>
      <c r="AG89" s="9"/>
      <c r="AH89" s="10">
        <v>179269.53</v>
      </c>
      <c r="AI89" s="15">
        <v>0.021824656671818557</v>
      </c>
      <c r="AJ89" s="11">
        <v>262</v>
      </c>
      <c r="AK89" s="15">
        <v>0.02854963495695761</v>
      </c>
      <c r="AL89" s="57"/>
      <c r="AM89" s="56"/>
      <c r="AN89" s="57"/>
      <c r="AO89" s="10">
        <v>198220.21</v>
      </c>
      <c r="AP89" s="15">
        <v>0.019398325756175776</v>
      </c>
      <c r="AQ89" s="11">
        <v>302</v>
      </c>
      <c r="AR89" s="15">
        <v>0.026916221033868093</v>
      </c>
      <c r="AS89" s="57"/>
      <c r="AT89" s="56"/>
      <c r="AU89" s="57"/>
      <c r="AV89" s="10">
        <v>215092.73</v>
      </c>
      <c r="AW89" s="15">
        <v>0.016018630945376863</v>
      </c>
      <c r="AX89" s="11">
        <v>364</v>
      </c>
      <c r="AY89" s="15">
        <v>0.026115655043765246</v>
      </c>
      <c r="AZ89" s="57"/>
      <c r="BA89" s="56"/>
      <c r="BB89" s="57"/>
      <c r="BC89" s="10">
        <v>178986.99</v>
      </c>
      <c r="BD89" s="15">
        <v>0.013674665644523949</v>
      </c>
      <c r="BE89" s="11">
        <v>332</v>
      </c>
      <c r="BF89" s="15">
        <v>0.02324604397143257</v>
      </c>
      <c r="BG89" s="57"/>
      <c r="BH89" s="56"/>
      <c r="BI89" s="57"/>
      <c r="BJ89" s="10">
        <v>146147.02</v>
      </c>
      <c r="BK89" s="15">
        <v>0.014343515478341336</v>
      </c>
      <c r="BL89" s="11">
        <v>237</v>
      </c>
      <c r="BM89" s="15">
        <v>0.01954639175257732</v>
      </c>
      <c r="BN89" s="57"/>
      <c r="BO89" s="56"/>
      <c r="BP89" s="57"/>
      <c r="BQ89" s="10">
        <v>118570.72</v>
      </c>
      <c r="BR89" s="15">
        <v>0.017284402560192088</v>
      </c>
      <c r="BS89" s="11">
        <v>163</v>
      </c>
      <c r="BT89" s="15">
        <v>0.019176470588235295</v>
      </c>
      <c r="BU89" s="57"/>
      <c r="BV89" s="56"/>
      <c r="BW89" s="57"/>
      <c r="BX89" s="10">
        <v>98344.53</v>
      </c>
      <c r="BY89" s="15">
        <v>0.019764284801825207</v>
      </c>
      <c r="BZ89" s="11">
        <v>128</v>
      </c>
      <c r="CA89" s="15">
        <v>0.020762368207623682</v>
      </c>
      <c r="CB89" s="57"/>
      <c r="CC89" s="56"/>
      <c r="CD89" s="57"/>
      <c r="CE89" s="10">
        <v>143752.91</v>
      </c>
      <c r="CF89" s="15">
        <v>0.008358357744995262</v>
      </c>
      <c r="CG89" s="11">
        <v>270</v>
      </c>
      <c r="CH89" s="15">
        <v>0.01422550052687039</v>
      </c>
      <c r="CI89" s="57"/>
      <c r="CJ89" s="56"/>
      <c r="CK89" s="57"/>
      <c r="CL89" s="10">
        <v>122274.05</v>
      </c>
      <c r="CM89" s="15">
        <v>0.008155943883169564</v>
      </c>
      <c r="CN89" s="11">
        <v>225</v>
      </c>
      <c r="CO89" s="15">
        <v>0.013431232091690544</v>
      </c>
      <c r="CP89" s="57"/>
      <c r="CQ89" s="56"/>
      <c r="CR89" s="57"/>
    </row>
    <row r="90" spans="1:96" ht="12.75">
      <c r="A90" s="9" t="s">
        <v>72</v>
      </c>
      <c r="B90" s="9"/>
      <c r="C90" s="9"/>
      <c r="D90" s="10">
        <v>186347.54</v>
      </c>
      <c r="E90" s="15">
        <v>0.020986953015600288</v>
      </c>
      <c r="F90" s="11">
        <v>202</v>
      </c>
      <c r="G90" s="15">
        <v>0.027315753887762</v>
      </c>
      <c r="H90" s="9"/>
      <c r="I90" s="9"/>
      <c r="J90" s="10">
        <v>127869.01</v>
      </c>
      <c r="K90" s="15">
        <v>0.021398762539157755</v>
      </c>
      <c r="L90" s="11">
        <v>187</v>
      </c>
      <c r="M90" s="15">
        <v>0.02705831283461149</v>
      </c>
      <c r="N90" s="57"/>
      <c r="O90" s="56"/>
      <c r="P90" s="57"/>
      <c r="Q90" s="9"/>
      <c r="R90" s="10">
        <v>157779.02</v>
      </c>
      <c r="S90" s="15">
        <v>0.02140310527453206</v>
      </c>
      <c r="T90" s="11">
        <v>200</v>
      </c>
      <c r="U90" s="15">
        <v>0.02164033758926639</v>
      </c>
      <c r="V90" s="57"/>
      <c r="W90" s="56"/>
      <c r="X90" s="57"/>
      <c r="Y90" s="9"/>
      <c r="Z90" s="10">
        <v>192181.94</v>
      </c>
      <c r="AA90" s="15">
        <v>0.024105632549934766</v>
      </c>
      <c r="AB90" s="11">
        <v>213</v>
      </c>
      <c r="AC90" s="15">
        <v>0.02274911887215636</v>
      </c>
      <c r="AD90" s="57"/>
      <c r="AE90" s="56"/>
      <c r="AF90" s="57"/>
      <c r="AG90" s="9"/>
      <c r="AH90" s="10">
        <v>201256.19</v>
      </c>
      <c r="AI90" s="15">
        <v>0.024501359767207995</v>
      </c>
      <c r="AJ90" s="11">
        <v>201</v>
      </c>
      <c r="AK90" s="15">
        <v>0.02190258254331481</v>
      </c>
      <c r="AL90" s="57"/>
      <c r="AM90" s="56"/>
      <c r="AN90" s="57"/>
      <c r="AO90" s="10">
        <v>263785.36</v>
      </c>
      <c r="AP90" s="15">
        <v>0.02581469539856759</v>
      </c>
      <c r="AQ90" s="11">
        <v>243</v>
      </c>
      <c r="AR90" s="15">
        <v>0.021657754010695186</v>
      </c>
      <c r="AS90" s="57"/>
      <c r="AT90" s="56"/>
      <c r="AU90" s="57"/>
      <c r="AV90" s="10">
        <v>285228.1</v>
      </c>
      <c r="AW90" s="15">
        <v>0.021241832158395365</v>
      </c>
      <c r="AX90" s="11">
        <v>275</v>
      </c>
      <c r="AY90" s="15">
        <v>0.019730233892954512</v>
      </c>
      <c r="AZ90" s="57"/>
      <c r="BA90" s="56"/>
      <c r="BB90" s="57"/>
      <c r="BC90" s="10">
        <v>303603.22</v>
      </c>
      <c r="BD90" s="15">
        <v>0.023195387117805846</v>
      </c>
      <c r="BE90" s="11">
        <v>304</v>
      </c>
      <c r="BF90" s="15">
        <v>0.021285534238902115</v>
      </c>
      <c r="BG90" s="57"/>
      <c r="BH90" s="56"/>
      <c r="BI90" s="57"/>
      <c r="BJ90" s="10">
        <v>268157.91</v>
      </c>
      <c r="BK90" s="15">
        <v>0.02631820431730091</v>
      </c>
      <c r="BL90" s="11">
        <v>269</v>
      </c>
      <c r="BM90" s="15">
        <v>0.022185567010309278</v>
      </c>
      <c r="BN90" s="57"/>
      <c r="BO90" s="56"/>
      <c r="BP90" s="57"/>
      <c r="BQ90" s="10">
        <v>222131.29</v>
      </c>
      <c r="BR90" s="15">
        <v>0.032380731411386976</v>
      </c>
      <c r="BS90" s="11">
        <v>227</v>
      </c>
      <c r="BT90" s="15">
        <v>0.026705882352941177</v>
      </c>
      <c r="BU90" s="57"/>
      <c r="BV90" s="56"/>
      <c r="BW90" s="57"/>
      <c r="BX90" s="10">
        <v>183348.03</v>
      </c>
      <c r="BY90" s="15">
        <v>0.036847424892605514</v>
      </c>
      <c r="BZ90" s="11">
        <v>187</v>
      </c>
      <c r="CA90" s="15">
        <v>0.030332522303325223</v>
      </c>
      <c r="CB90" s="57"/>
      <c r="CC90" s="56"/>
      <c r="CD90" s="57"/>
      <c r="CE90" s="10">
        <v>188789.11</v>
      </c>
      <c r="CF90" s="15">
        <v>0.010976938969369472</v>
      </c>
      <c r="CG90" s="11">
        <v>230</v>
      </c>
      <c r="CH90" s="15">
        <v>0.012118018967334035</v>
      </c>
      <c r="CI90" s="57"/>
      <c r="CJ90" s="56"/>
      <c r="CK90" s="57"/>
      <c r="CL90" s="10">
        <v>157874.61</v>
      </c>
      <c r="CM90" s="15">
        <v>0.010530578317617518</v>
      </c>
      <c r="CN90" s="11">
        <v>193</v>
      </c>
      <c r="CO90" s="15">
        <v>0.01152101241642789</v>
      </c>
      <c r="CP90" s="57"/>
      <c r="CQ90" s="56"/>
      <c r="CR90" s="57"/>
    </row>
    <row r="91" spans="1:96" ht="12.75">
      <c r="A91" s="9" t="s">
        <v>73</v>
      </c>
      <c r="B91" s="9"/>
      <c r="C91" s="9"/>
      <c r="D91" s="10">
        <v>71460.42</v>
      </c>
      <c r="E91" s="15">
        <v>0.008048061578999453</v>
      </c>
      <c r="F91" s="11">
        <v>99</v>
      </c>
      <c r="G91" s="15">
        <v>0.013387423935091278</v>
      </c>
      <c r="H91" s="9"/>
      <c r="I91" s="9"/>
      <c r="J91" s="10">
        <v>54070.79</v>
      </c>
      <c r="K91" s="15">
        <v>0.0090486975344117</v>
      </c>
      <c r="L91" s="11">
        <v>96</v>
      </c>
      <c r="M91" s="15">
        <v>0.013890898567501085</v>
      </c>
      <c r="N91" s="57"/>
      <c r="O91" s="56"/>
      <c r="P91" s="57"/>
      <c r="Q91" s="9"/>
      <c r="R91" s="10">
        <v>83491.46</v>
      </c>
      <c r="S91" s="15">
        <v>0.011325818273585307</v>
      </c>
      <c r="T91" s="11">
        <v>129</v>
      </c>
      <c r="U91" s="15">
        <v>0.013958017745076823</v>
      </c>
      <c r="V91" s="57"/>
      <c r="W91" s="56"/>
      <c r="X91" s="57"/>
      <c r="Y91" s="9"/>
      <c r="Z91" s="10">
        <v>85480.11</v>
      </c>
      <c r="AA91" s="15">
        <v>0.010721882201771945</v>
      </c>
      <c r="AB91" s="11">
        <v>112</v>
      </c>
      <c r="AC91" s="15">
        <v>0.011961977998504753</v>
      </c>
      <c r="AD91" s="57"/>
      <c r="AE91" s="56"/>
      <c r="AF91" s="57"/>
      <c r="AG91" s="9"/>
      <c r="AH91" s="10">
        <v>85496.94</v>
      </c>
      <c r="AI91" s="15">
        <v>0.010408580655011875</v>
      </c>
      <c r="AJ91" s="11">
        <v>100</v>
      </c>
      <c r="AK91" s="15">
        <v>0.010896807235480005</v>
      </c>
      <c r="AL91" s="57"/>
      <c r="AM91" s="56"/>
      <c r="AN91" s="57"/>
      <c r="AO91" s="10">
        <v>86738.33</v>
      </c>
      <c r="AP91" s="15">
        <v>0.008488430018748718</v>
      </c>
      <c r="AQ91" s="11">
        <v>123</v>
      </c>
      <c r="AR91" s="15">
        <v>0.010962566844919787</v>
      </c>
      <c r="AS91" s="57"/>
      <c r="AT91" s="56"/>
      <c r="AU91" s="57"/>
      <c r="AV91" s="10">
        <v>107757.17</v>
      </c>
      <c r="AW91" s="15">
        <v>0.008025014782918215</v>
      </c>
      <c r="AX91" s="11">
        <v>142</v>
      </c>
      <c r="AY91" s="15">
        <v>0.010187975319271058</v>
      </c>
      <c r="AZ91" s="57"/>
      <c r="BA91" s="56"/>
      <c r="BB91" s="57"/>
      <c r="BC91" s="10">
        <v>99405.1</v>
      </c>
      <c r="BD91" s="15">
        <v>0.007594582745150731</v>
      </c>
      <c r="BE91" s="11">
        <v>126</v>
      </c>
      <c r="BF91" s="15">
        <v>0.00882229379638706</v>
      </c>
      <c r="BG91" s="57"/>
      <c r="BH91" s="56"/>
      <c r="BI91" s="57"/>
      <c r="BJ91" s="10">
        <v>77287.08</v>
      </c>
      <c r="BK91" s="15">
        <v>0.007585296150792572</v>
      </c>
      <c r="BL91" s="11">
        <v>97</v>
      </c>
      <c r="BM91" s="15">
        <v>0.008</v>
      </c>
      <c r="BN91" s="57"/>
      <c r="BO91" s="56"/>
      <c r="BP91" s="57"/>
      <c r="BQ91" s="10">
        <v>64467.6</v>
      </c>
      <c r="BR91" s="15">
        <v>0.00939763164539643</v>
      </c>
      <c r="BS91" s="11">
        <v>81</v>
      </c>
      <c r="BT91" s="15">
        <v>0.009529411764705882</v>
      </c>
      <c r="BU91" s="57"/>
      <c r="BV91" s="56"/>
      <c r="BW91" s="57"/>
      <c r="BX91" s="10">
        <v>55671.2</v>
      </c>
      <c r="BY91" s="15">
        <v>0.011188232350689676</v>
      </c>
      <c r="BZ91" s="11">
        <v>64</v>
      </c>
      <c r="CA91" s="15">
        <v>0.010381184103811841</v>
      </c>
      <c r="CB91" s="57"/>
      <c r="CC91" s="56"/>
      <c r="CD91" s="57"/>
      <c r="CE91" s="10">
        <v>63697.79</v>
      </c>
      <c r="CF91" s="15">
        <v>0.0037036392264030125</v>
      </c>
      <c r="CG91" s="11">
        <v>70</v>
      </c>
      <c r="CH91" s="15">
        <v>0.0036880927291886197</v>
      </c>
      <c r="CI91" s="57"/>
      <c r="CJ91" s="56"/>
      <c r="CK91" s="57"/>
      <c r="CL91" s="10">
        <v>54972.78</v>
      </c>
      <c r="CM91" s="15">
        <v>0.0036668034532415187</v>
      </c>
      <c r="CN91" s="11">
        <v>58</v>
      </c>
      <c r="CO91" s="15">
        <v>0.0034622731614135627</v>
      </c>
      <c r="CP91" s="57"/>
      <c r="CQ91" s="56"/>
      <c r="CR91" s="57"/>
    </row>
    <row r="92" spans="1:96" ht="12.75">
      <c r="A92" s="9" t="s">
        <v>74</v>
      </c>
      <c r="B92" s="9"/>
      <c r="C92" s="9"/>
      <c r="D92" s="10">
        <v>1790092.24</v>
      </c>
      <c r="E92" s="15">
        <v>0.2016049245107862</v>
      </c>
      <c r="F92" s="11">
        <v>1481</v>
      </c>
      <c r="G92" s="15">
        <v>0.20027045300878973</v>
      </c>
      <c r="H92" s="9"/>
      <c r="I92" s="9"/>
      <c r="J92" s="10">
        <v>1333624</v>
      </c>
      <c r="K92" s="15">
        <v>0.22318076359957548</v>
      </c>
      <c r="L92" s="11">
        <v>1227</v>
      </c>
      <c r="M92" s="15">
        <v>0.17754304731587325</v>
      </c>
      <c r="N92" s="57"/>
      <c r="O92" s="56"/>
      <c r="P92" s="57"/>
      <c r="Q92" s="9"/>
      <c r="R92" s="10">
        <v>1635569.46</v>
      </c>
      <c r="S92" s="15">
        <v>0.2218689489653922</v>
      </c>
      <c r="T92" s="11">
        <v>1569</v>
      </c>
      <c r="U92" s="15">
        <v>0.16976844838779484</v>
      </c>
      <c r="V92" s="57"/>
      <c r="W92" s="56"/>
      <c r="X92" s="57"/>
      <c r="Y92" s="9"/>
      <c r="Z92" s="10">
        <v>1731552.640000006</v>
      </c>
      <c r="AA92" s="15">
        <v>0.21719091648627137</v>
      </c>
      <c r="AB92" s="11">
        <v>1666</v>
      </c>
      <c r="AC92" s="15">
        <v>0.1779344227277582</v>
      </c>
      <c r="AD92" s="57"/>
      <c r="AE92" s="56"/>
      <c r="AF92" s="57"/>
      <c r="AG92" s="9"/>
      <c r="AH92" s="10">
        <v>1930479.65</v>
      </c>
      <c r="AI92" s="15">
        <v>0.23502072869372975</v>
      </c>
      <c r="AJ92" s="11">
        <v>1756</v>
      </c>
      <c r="AK92" s="15">
        <v>0.19134793505502887</v>
      </c>
      <c r="AL92" s="57"/>
      <c r="AM92" s="56"/>
      <c r="AN92" s="57"/>
      <c r="AO92" s="10">
        <v>2313056.220000007</v>
      </c>
      <c r="AP92" s="15">
        <v>0.2263614696397947</v>
      </c>
      <c r="AQ92" s="11">
        <v>2057</v>
      </c>
      <c r="AR92" s="15">
        <v>0.18333333333333332</v>
      </c>
      <c r="AS92" s="57"/>
      <c r="AT92" s="56"/>
      <c r="AU92" s="57"/>
      <c r="AV92" s="10">
        <v>2537125.23</v>
      </c>
      <c r="AW92" s="15">
        <v>0.18894768187457786</v>
      </c>
      <c r="AX92" s="11">
        <v>2239</v>
      </c>
      <c r="AY92" s="15">
        <v>0.16063997704118238</v>
      </c>
      <c r="AZ92" s="57"/>
      <c r="BA92" s="56"/>
      <c r="BB92" s="57"/>
      <c r="BC92" s="10">
        <v>2423585.97</v>
      </c>
      <c r="BD92" s="15">
        <v>0.1851627752414253</v>
      </c>
      <c r="BE92" s="11">
        <v>2139</v>
      </c>
      <c r="BF92" s="15">
        <v>0.14976893992438034</v>
      </c>
      <c r="BG92" s="57"/>
      <c r="BH92" s="56"/>
      <c r="BI92" s="57"/>
      <c r="BJ92" s="10">
        <v>2091980.660000005</v>
      </c>
      <c r="BK92" s="15">
        <v>0.2053162423503455</v>
      </c>
      <c r="BL92" s="11">
        <v>1858</v>
      </c>
      <c r="BM92" s="15">
        <v>0.15323711340206186</v>
      </c>
      <c r="BN92" s="57"/>
      <c r="BO92" s="56"/>
      <c r="BP92" s="57"/>
      <c r="BQ92" s="10">
        <v>1638381.57</v>
      </c>
      <c r="BR92" s="15">
        <v>0.23883169979131055</v>
      </c>
      <c r="BS92" s="11">
        <v>1502</v>
      </c>
      <c r="BT92" s="15">
        <v>0.17670588235294118</v>
      </c>
      <c r="BU92" s="57"/>
      <c r="BV92" s="56"/>
      <c r="BW92" s="57"/>
      <c r="BX92" s="10">
        <v>1381931.82</v>
      </c>
      <c r="BY92" s="15">
        <v>0.277726621574018</v>
      </c>
      <c r="BZ92" s="11">
        <v>1289</v>
      </c>
      <c r="CA92" s="15">
        <v>0.20908353609083535</v>
      </c>
      <c r="CB92" s="57"/>
      <c r="CC92" s="56"/>
      <c r="CD92" s="57"/>
      <c r="CE92" s="10">
        <v>3043407.94</v>
      </c>
      <c r="CF92" s="15">
        <v>0.17695566876857724</v>
      </c>
      <c r="CG92" s="11">
        <v>2400</v>
      </c>
      <c r="CH92" s="15">
        <v>0.12644889357218125</v>
      </c>
      <c r="CI92" s="57"/>
      <c r="CJ92" s="56"/>
      <c r="CK92" s="57"/>
      <c r="CL92" s="10">
        <v>2807573.22</v>
      </c>
      <c r="CM92" s="15">
        <v>0.18727121274064032</v>
      </c>
      <c r="CN92" s="11">
        <v>2177</v>
      </c>
      <c r="CO92" s="15">
        <v>0.1299546322827125</v>
      </c>
      <c r="CP92" s="57"/>
      <c r="CQ92" s="56"/>
      <c r="CR92" s="57"/>
    </row>
    <row r="93" spans="1:96" ht="12.75">
      <c r="A93" s="9"/>
      <c r="B93" s="9"/>
      <c r="C93" s="9"/>
      <c r="D93" s="10"/>
      <c r="E93" s="9"/>
      <c r="F93" s="11"/>
      <c r="G93" s="9"/>
      <c r="H93" s="9"/>
      <c r="I93" s="9"/>
      <c r="J93" s="10"/>
      <c r="K93" s="9"/>
      <c r="L93" s="11"/>
      <c r="M93" s="9"/>
      <c r="N93" s="55"/>
      <c r="O93" s="56"/>
      <c r="P93" s="55"/>
      <c r="Q93" s="9"/>
      <c r="R93" s="10"/>
      <c r="S93" s="9"/>
      <c r="T93" s="11"/>
      <c r="U93" s="9"/>
      <c r="V93" s="55"/>
      <c r="W93" s="56"/>
      <c r="X93" s="55"/>
      <c r="Y93" s="9"/>
      <c r="Z93" s="10"/>
      <c r="AA93" s="9"/>
      <c r="AB93" s="11"/>
      <c r="AC93" s="9"/>
      <c r="AD93" s="55"/>
      <c r="AE93" s="56"/>
      <c r="AF93" s="55"/>
      <c r="AG93" s="9"/>
      <c r="AH93" s="10"/>
      <c r="AI93" s="9"/>
      <c r="AJ93" s="11"/>
      <c r="AK93" s="9"/>
      <c r="AL93" s="55"/>
      <c r="AM93" s="56"/>
      <c r="AN93" s="55"/>
      <c r="AO93" s="10"/>
      <c r="AP93" s="9"/>
      <c r="AQ93" s="11"/>
      <c r="AR93" s="9"/>
      <c r="AS93" s="55"/>
      <c r="AT93" s="56"/>
      <c r="AU93" s="55"/>
      <c r="AV93" s="10"/>
      <c r="AW93" s="9"/>
      <c r="AX93" s="11"/>
      <c r="AY93" s="9"/>
      <c r="AZ93" s="55"/>
      <c r="BA93" s="56"/>
      <c r="BB93" s="55"/>
      <c r="BC93" s="10"/>
      <c r="BD93" s="9"/>
      <c r="BE93" s="11"/>
      <c r="BF93" s="9"/>
      <c r="BG93" s="55"/>
      <c r="BH93" s="56"/>
      <c r="BI93" s="55"/>
      <c r="BJ93" s="10"/>
      <c r="BK93" s="9"/>
      <c r="BL93" s="11"/>
      <c r="BM93" s="9"/>
      <c r="BN93" s="55"/>
      <c r="BO93" s="56"/>
      <c r="BP93" s="55"/>
      <c r="BQ93" s="10"/>
      <c r="BR93" s="9"/>
      <c r="BS93" s="11"/>
      <c r="BT93" s="9"/>
      <c r="BU93" s="55"/>
      <c r="BV93" s="56"/>
      <c r="BW93" s="55"/>
      <c r="BX93" s="10"/>
      <c r="BY93" s="9"/>
      <c r="BZ93" s="11"/>
      <c r="CA93" s="9"/>
      <c r="CB93" s="55"/>
      <c r="CC93" s="56"/>
      <c r="CD93" s="55"/>
      <c r="CE93" s="10"/>
      <c r="CF93" s="9"/>
      <c r="CG93" s="11"/>
      <c r="CH93" s="9"/>
      <c r="CI93" s="55"/>
      <c r="CJ93" s="56"/>
      <c r="CK93" s="55"/>
      <c r="CL93" s="10"/>
      <c r="CM93" s="9"/>
      <c r="CN93" s="11"/>
      <c r="CO93" s="9"/>
      <c r="CP93" s="55"/>
      <c r="CQ93" s="56"/>
      <c r="CR93" s="55"/>
    </row>
    <row r="94" spans="1:96" s="1" customFormat="1" ht="13.5" thickBot="1">
      <c r="A94" s="9"/>
      <c r="B94" s="13"/>
      <c r="C94" s="13"/>
      <c r="D94" s="22">
        <f>SUM(D81:D93)</f>
        <v>8879208.9</v>
      </c>
      <c r="E94" s="13"/>
      <c r="F94" s="23">
        <f>SUM(F81:F93)</f>
        <v>7395</v>
      </c>
      <c r="G94" s="13"/>
      <c r="H94" s="13"/>
      <c r="I94" s="13"/>
      <c r="J94" s="22">
        <f>SUM(J81:J92)</f>
        <v>5975532.920000001</v>
      </c>
      <c r="K94" s="13"/>
      <c r="L94" s="23">
        <f>SUM(L81:L92)</f>
        <v>6911</v>
      </c>
      <c r="M94" s="13"/>
      <c r="N94" s="54"/>
      <c r="O94" s="32"/>
      <c r="P94" s="54"/>
      <c r="Q94" s="13"/>
      <c r="R94" s="22">
        <f>SUM(R81:R92)</f>
        <v>7371781.709999999</v>
      </c>
      <c r="S94" s="13"/>
      <c r="T94" s="23">
        <f>SUM(T81:T92)</f>
        <v>9242</v>
      </c>
      <c r="U94" s="13"/>
      <c r="V94" s="54"/>
      <c r="W94" s="32"/>
      <c r="X94" s="54"/>
      <c r="Y94" s="13"/>
      <c r="Z94" s="22">
        <f>SUM(Z81:Z92)</f>
        <v>7972491.060000007</v>
      </c>
      <c r="AA94" s="13"/>
      <c r="AB94" s="23">
        <f>SUM(AB81:AB92)</f>
        <v>9363</v>
      </c>
      <c r="AC94" s="13"/>
      <c r="AD94" s="54"/>
      <c r="AE94" s="32"/>
      <c r="AF94" s="54"/>
      <c r="AG94" s="13"/>
      <c r="AH94" s="22">
        <f>SUM(AH81:AH92)</f>
        <v>8214082.48</v>
      </c>
      <c r="AI94" s="13"/>
      <c r="AJ94" s="23">
        <f>SUM(AJ81:AJ92)</f>
        <v>9177</v>
      </c>
      <c r="AK94" s="13"/>
      <c r="AL94" s="54"/>
      <c r="AM94" s="32"/>
      <c r="AN94" s="54"/>
      <c r="AO94" s="22">
        <f>SUM(AO81:AO92)</f>
        <v>10218418.459999997</v>
      </c>
      <c r="AP94" s="13"/>
      <c r="AQ94" s="23">
        <f>SUM(AQ81:AQ92)</f>
        <v>11220</v>
      </c>
      <c r="AR94" s="13"/>
      <c r="AS94" s="54"/>
      <c r="AT94" s="32"/>
      <c r="AU94" s="54"/>
      <c r="AV94" s="22">
        <f>SUM(AV81:AV92)</f>
        <v>13427660.000000047</v>
      </c>
      <c r="AW94" s="13"/>
      <c r="AX94" s="23">
        <f>SUM(AX81:AX92)</f>
        <v>13938</v>
      </c>
      <c r="AY94" s="13"/>
      <c r="AZ94" s="54"/>
      <c r="BA94" s="32"/>
      <c r="BB94" s="54"/>
      <c r="BC94" s="22">
        <f>SUM(BC81:BC92)</f>
        <v>13088948.179999989</v>
      </c>
      <c r="BD94" s="13"/>
      <c r="BE94" s="23">
        <f>SUM(BE81:BE92)</f>
        <v>14282</v>
      </c>
      <c r="BF94" s="13"/>
      <c r="BG94" s="54"/>
      <c r="BH94" s="32"/>
      <c r="BI94" s="54"/>
      <c r="BJ94" s="22">
        <f>SUM(BJ81:BJ92)</f>
        <v>10189065.589999992</v>
      </c>
      <c r="BK94" s="13"/>
      <c r="BL94" s="23">
        <f>SUM(BL81:BL92)</f>
        <v>12125</v>
      </c>
      <c r="BM94" s="13"/>
      <c r="BN94" s="54"/>
      <c r="BO94" s="32"/>
      <c r="BP94" s="54"/>
      <c r="BQ94" s="22">
        <f>SUM(BQ81:BQ92)</f>
        <v>6859983.71</v>
      </c>
      <c r="BR94" s="13"/>
      <c r="BS94" s="23">
        <f>SUM(BS81:BS92)</f>
        <v>8500</v>
      </c>
      <c r="BT94" s="13"/>
      <c r="BU94" s="54"/>
      <c r="BV94" s="32"/>
      <c r="BW94" s="54"/>
      <c r="BX94" s="22">
        <f>SUM(BX81:BX92)</f>
        <v>4975870.919999999</v>
      </c>
      <c r="BY94" s="13"/>
      <c r="BZ94" s="23">
        <f>SUM(BZ81:BZ92)</f>
        <v>6165</v>
      </c>
      <c r="CA94" s="13"/>
      <c r="CB94" s="54"/>
      <c r="CC94" s="32"/>
      <c r="CD94" s="54"/>
      <c r="CE94" s="22">
        <f>SUM(CE81:CE92)</f>
        <v>17198702.71000005</v>
      </c>
      <c r="CF94" s="13"/>
      <c r="CG94" s="23">
        <f>SUM(CG81:CG92)</f>
        <v>18980</v>
      </c>
      <c r="CH94" s="13"/>
      <c r="CI94" s="54"/>
      <c r="CJ94" s="32"/>
      <c r="CK94" s="54"/>
      <c r="CL94" s="22">
        <f>SUM(CL81:CL92)</f>
        <v>14992017.080000049</v>
      </c>
      <c r="CM94" s="13"/>
      <c r="CN94" s="23">
        <f>SUM(CN81:CN92)</f>
        <v>16752</v>
      </c>
      <c r="CO94" s="13"/>
      <c r="CP94" s="54"/>
      <c r="CQ94" s="32"/>
      <c r="CR94" s="54"/>
    </row>
    <row r="95" spans="1:96" ht="13.5" thickTop="1">
      <c r="A95" s="13"/>
      <c r="B95" s="9"/>
      <c r="C95" s="9"/>
      <c r="D95" s="10"/>
      <c r="E95" s="9"/>
      <c r="F95" s="11"/>
      <c r="G95" s="9"/>
      <c r="H95" s="9"/>
      <c r="I95" s="9"/>
      <c r="J95" s="10"/>
      <c r="K95" s="9"/>
      <c r="L95" s="11"/>
      <c r="M95" s="9"/>
      <c r="N95" s="55"/>
      <c r="O95" s="56"/>
      <c r="P95" s="55"/>
      <c r="Q95" s="9"/>
      <c r="R95" s="10"/>
      <c r="S95" s="9"/>
      <c r="T95" s="11"/>
      <c r="U95" s="9"/>
      <c r="V95" s="55"/>
      <c r="W95" s="56"/>
      <c r="X95" s="55"/>
      <c r="Y95" s="9"/>
      <c r="Z95" s="10"/>
      <c r="AA95" s="9"/>
      <c r="AB95" s="11"/>
      <c r="AC95" s="9"/>
      <c r="AD95" s="55"/>
      <c r="AE95" s="56"/>
      <c r="AF95" s="55"/>
      <c r="AG95" s="9"/>
      <c r="AH95" s="10"/>
      <c r="AI95" s="9"/>
      <c r="AJ95" s="11"/>
      <c r="AK95" s="9"/>
      <c r="AL95" s="55"/>
      <c r="AM95" s="56"/>
      <c r="AN95" s="55"/>
      <c r="AO95" s="10"/>
      <c r="AP95" s="9"/>
      <c r="AQ95" s="11"/>
      <c r="AR95" s="9"/>
      <c r="AS95" s="55"/>
      <c r="AT95" s="56"/>
      <c r="AU95" s="55"/>
      <c r="AV95" s="10"/>
      <c r="AW95" s="9"/>
      <c r="AX95" s="11"/>
      <c r="AY95" s="9"/>
      <c r="AZ95" s="55"/>
      <c r="BA95" s="56"/>
      <c r="BB95" s="55"/>
      <c r="BC95" s="10"/>
      <c r="BD95" s="9"/>
      <c r="BE95" s="11"/>
      <c r="BF95" s="9"/>
      <c r="BG95" s="55"/>
      <c r="BH95" s="56"/>
      <c r="BI95" s="55"/>
      <c r="BJ95" s="10"/>
      <c r="BK95" s="9"/>
      <c r="BL95" s="11"/>
      <c r="BM95" s="9"/>
      <c r="BN95" s="55"/>
      <c r="BO95" s="56"/>
      <c r="BP95" s="55"/>
      <c r="BQ95" s="10"/>
      <c r="BR95" s="9"/>
      <c r="BS95" s="11"/>
      <c r="BT95" s="9"/>
      <c r="BU95" s="55"/>
      <c r="BV95" s="56"/>
      <c r="BW95" s="55"/>
      <c r="BX95" s="10"/>
      <c r="BY95" s="9"/>
      <c r="BZ95" s="11"/>
      <c r="CA95" s="9"/>
      <c r="CB95" s="55"/>
      <c r="CC95" s="56"/>
      <c r="CD95" s="55"/>
      <c r="CE95" s="10"/>
      <c r="CF95" s="9"/>
      <c r="CG95" s="11"/>
      <c r="CH95" s="9"/>
      <c r="CI95" s="55"/>
      <c r="CJ95" s="56"/>
      <c r="CK95" s="55"/>
      <c r="CL95" s="10"/>
      <c r="CM95" s="9"/>
      <c r="CN95" s="11"/>
      <c r="CO95" s="9"/>
      <c r="CP95" s="55"/>
      <c r="CQ95" s="56"/>
      <c r="CR95" s="55"/>
    </row>
    <row r="96" spans="1:96" ht="12.75">
      <c r="A96" s="9"/>
      <c r="B96" s="9"/>
      <c r="C96" s="9"/>
      <c r="D96" s="10"/>
      <c r="E96" s="9"/>
      <c r="F96" s="11"/>
      <c r="G96" s="9"/>
      <c r="H96" s="9"/>
      <c r="I96" s="9"/>
      <c r="J96" s="9"/>
      <c r="K96" s="9"/>
      <c r="L96" s="9"/>
      <c r="M96" s="10"/>
      <c r="N96" s="9"/>
      <c r="O96" s="11"/>
      <c r="P96" s="9"/>
      <c r="Q96" s="9"/>
      <c r="R96" s="9"/>
      <c r="S96" s="9"/>
      <c r="T96" s="9"/>
      <c r="U96" s="10"/>
      <c r="V96" s="9"/>
      <c r="W96" s="11"/>
      <c r="X96" s="9"/>
      <c r="Y96" s="9"/>
      <c r="Z96" s="9"/>
      <c r="AA96" s="9"/>
      <c r="AB96" s="9"/>
      <c r="AC96" s="10"/>
      <c r="AD96" s="9"/>
      <c r="AE96" s="11"/>
      <c r="AF96" s="9"/>
      <c r="AG96" s="9"/>
      <c r="AH96" s="9"/>
      <c r="AI96" s="9"/>
      <c r="AJ96" s="9"/>
      <c r="AK96" s="10"/>
      <c r="AL96" s="9"/>
      <c r="AM96" s="11"/>
      <c r="AN96" s="9"/>
      <c r="AO96" s="9"/>
      <c r="AP96" s="9"/>
      <c r="AQ96" s="9"/>
      <c r="AR96" s="10"/>
      <c r="AS96" s="9"/>
      <c r="AT96" s="11"/>
      <c r="AU96" s="9"/>
      <c r="AV96" s="9"/>
      <c r="AW96" s="9"/>
      <c r="AX96" s="9"/>
      <c r="AY96" s="10"/>
      <c r="AZ96" s="9"/>
      <c r="BA96" s="11"/>
      <c r="BB96" s="9"/>
      <c r="BC96" s="9"/>
      <c r="BD96" s="9"/>
      <c r="BE96" s="9"/>
      <c r="BF96" s="10"/>
      <c r="BG96" s="9"/>
      <c r="BH96" s="11"/>
      <c r="BI96" s="9"/>
      <c r="BJ96" s="9"/>
      <c r="BK96" s="9"/>
      <c r="BL96" s="9"/>
      <c r="BM96" s="10"/>
      <c r="BN96" s="9"/>
      <c r="BO96" s="11"/>
      <c r="BP96" s="9"/>
      <c r="BQ96" s="9"/>
      <c r="BR96" s="9"/>
      <c r="BS96" s="9"/>
      <c r="BT96" s="10"/>
      <c r="BU96" s="9"/>
      <c r="BV96" s="11"/>
      <c r="BW96" s="9"/>
      <c r="BX96" s="9"/>
      <c r="BY96" s="9"/>
      <c r="BZ96" s="9"/>
      <c r="CA96" s="10"/>
      <c r="CB96" s="9"/>
      <c r="CC96" s="11"/>
      <c r="CD96" s="9"/>
      <c r="CE96" s="9"/>
      <c r="CF96" s="9"/>
      <c r="CG96" s="9"/>
      <c r="CH96" s="10"/>
      <c r="CI96" s="9"/>
      <c r="CJ96" s="11"/>
      <c r="CK96" s="9"/>
      <c r="CL96" s="9"/>
      <c r="CM96" s="9"/>
      <c r="CN96" s="9"/>
      <c r="CO96" s="10"/>
      <c r="CP96" s="9"/>
      <c r="CQ96" s="11"/>
      <c r="CR96" s="9"/>
    </row>
    <row r="97" spans="1:96" ht="12.75">
      <c r="A97" s="20" t="s">
        <v>110</v>
      </c>
      <c r="B97" s="9"/>
      <c r="C97" s="9"/>
      <c r="D97" s="9"/>
      <c r="E97" s="11"/>
      <c r="F97" s="9"/>
      <c r="G97" s="11"/>
      <c r="H97" s="9"/>
      <c r="I97" s="9"/>
      <c r="J97" s="20" t="s">
        <v>110</v>
      </c>
      <c r="K97" s="9"/>
      <c r="L97" s="9"/>
      <c r="M97" s="9"/>
      <c r="N97" s="11"/>
      <c r="O97" s="9"/>
      <c r="P97" s="11"/>
      <c r="Q97" s="9"/>
      <c r="R97" s="20" t="s">
        <v>110</v>
      </c>
      <c r="S97" s="9"/>
      <c r="T97" s="9"/>
      <c r="U97" s="9"/>
      <c r="V97" s="11"/>
      <c r="W97" s="9"/>
      <c r="X97" s="11"/>
      <c r="Y97" s="9"/>
      <c r="Z97" s="20" t="s">
        <v>110</v>
      </c>
      <c r="AA97" s="9"/>
      <c r="AB97" s="9"/>
      <c r="AC97" s="9"/>
      <c r="AD97" s="11"/>
      <c r="AE97" s="9"/>
      <c r="AF97" s="11"/>
      <c r="AG97" s="9"/>
      <c r="AH97" s="20" t="s">
        <v>110</v>
      </c>
      <c r="AI97" s="9"/>
      <c r="AJ97" s="9"/>
      <c r="AK97" s="9"/>
      <c r="AL97" s="11"/>
      <c r="AM97" s="9"/>
      <c r="AN97" s="11"/>
      <c r="AO97" s="20" t="s">
        <v>110</v>
      </c>
      <c r="AP97" s="9"/>
      <c r="AQ97" s="9"/>
      <c r="AR97" s="9"/>
      <c r="AS97" s="11"/>
      <c r="AT97" s="9"/>
      <c r="AU97" s="11"/>
      <c r="AV97" s="20" t="s">
        <v>110</v>
      </c>
      <c r="AW97" s="9"/>
      <c r="AX97" s="9"/>
      <c r="AY97" s="9"/>
      <c r="AZ97" s="11"/>
      <c r="BA97" s="9"/>
      <c r="BB97" s="11"/>
      <c r="BC97" s="20" t="s">
        <v>110</v>
      </c>
      <c r="BD97" s="9"/>
      <c r="BE97" s="9"/>
      <c r="BF97" s="9"/>
      <c r="BG97" s="11"/>
      <c r="BH97" s="9"/>
      <c r="BI97" s="11"/>
      <c r="BJ97" s="20" t="s">
        <v>110</v>
      </c>
      <c r="BK97" s="9"/>
      <c r="BL97" s="9"/>
      <c r="BM97" s="9"/>
      <c r="BN97" s="11"/>
      <c r="BO97" s="9"/>
      <c r="BP97" s="11"/>
      <c r="BQ97" s="20" t="s">
        <v>110</v>
      </c>
      <c r="BR97" s="9"/>
      <c r="BS97" s="9"/>
      <c r="BT97" s="9"/>
      <c r="BU97" s="11"/>
      <c r="BV97" s="9"/>
      <c r="BW97" s="11"/>
      <c r="BX97" s="20" t="s">
        <v>110</v>
      </c>
      <c r="BY97" s="9"/>
      <c r="BZ97" s="9"/>
      <c r="CA97" s="9"/>
      <c r="CB97" s="11"/>
      <c r="CC97" s="9"/>
      <c r="CD97" s="11"/>
      <c r="CE97" s="20" t="s">
        <v>110</v>
      </c>
      <c r="CF97" s="9"/>
      <c r="CG97" s="9"/>
      <c r="CH97" s="9"/>
      <c r="CI97" s="11"/>
      <c r="CJ97" s="9"/>
      <c r="CK97" s="11"/>
      <c r="CL97" s="20" t="s">
        <v>110</v>
      </c>
      <c r="CM97" s="9"/>
      <c r="CN97" s="9"/>
      <c r="CO97" s="9"/>
      <c r="CP97" s="11"/>
      <c r="CQ97" s="9"/>
      <c r="CR97" s="11"/>
    </row>
    <row r="98" spans="1:96" ht="12.75">
      <c r="A98" s="20"/>
      <c r="B98" s="9"/>
      <c r="C98" s="9"/>
      <c r="D98" s="9"/>
      <c r="E98" s="11"/>
      <c r="F98" s="9"/>
      <c r="G98" s="11"/>
      <c r="H98" s="9"/>
      <c r="I98" s="9"/>
      <c r="J98" s="20"/>
      <c r="K98" s="9"/>
      <c r="L98" s="9"/>
      <c r="M98" s="9"/>
      <c r="N98" s="11"/>
      <c r="O98" s="9"/>
      <c r="P98" s="11"/>
      <c r="Q98" s="9"/>
      <c r="R98" s="20"/>
      <c r="S98" s="9"/>
      <c r="T98" s="9"/>
      <c r="U98" s="9"/>
      <c r="V98" s="11"/>
      <c r="W98" s="9"/>
      <c r="X98" s="11"/>
      <c r="Y98" s="9"/>
      <c r="Z98" s="20"/>
      <c r="AA98" s="9"/>
      <c r="AB98" s="9"/>
      <c r="AC98" s="9"/>
      <c r="AD98" s="11"/>
      <c r="AE98" s="9"/>
      <c r="AF98" s="11"/>
      <c r="AG98" s="9"/>
      <c r="AH98" s="20"/>
      <c r="AI98" s="9"/>
      <c r="AJ98" s="9"/>
      <c r="AK98" s="9"/>
      <c r="AL98" s="11"/>
      <c r="AM98" s="9"/>
      <c r="AN98" s="11"/>
      <c r="AO98" s="20"/>
      <c r="AP98" s="9"/>
      <c r="AQ98" s="9"/>
      <c r="AR98" s="9"/>
      <c r="AS98" s="11"/>
      <c r="AT98" s="9"/>
      <c r="AU98" s="11"/>
      <c r="AV98" s="20"/>
      <c r="AW98" s="9"/>
      <c r="AX98" s="9"/>
      <c r="AY98" s="9"/>
      <c r="AZ98" s="11"/>
      <c r="BA98" s="9"/>
      <c r="BB98" s="11"/>
      <c r="BC98" s="20"/>
      <c r="BD98" s="9"/>
      <c r="BE98" s="9"/>
      <c r="BF98" s="9"/>
      <c r="BG98" s="11"/>
      <c r="BH98" s="9"/>
      <c r="BI98" s="11"/>
      <c r="BJ98" s="20"/>
      <c r="BK98" s="9"/>
      <c r="BL98" s="9"/>
      <c r="BM98" s="9"/>
      <c r="BN98" s="11"/>
      <c r="BO98" s="9"/>
      <c r="BP98" s="11"/>
      <c r="BQ98" s="20"/>
      <c r="BR98" s="9"/>
      <c r="BS98" s="9"/>
      <c r="BT98" s="9"/>
      <c r="BU98" s="11"/>
      <c r="BV98" s="9"/>
      <c r="BW98" s="11"/>
      <c r="BX98" s="20"/>
      <c r="BY98" s="9"/>
      <c r="BZ98" s="9"/>
      <c r="CA98" s="9"/>
      <c r="CB98" s="11"/>
      <c r="CC98" s="9"/>
      <c r="CD98" s="11"/>
      <c r="CE98" s="20"/>
      <c r="CF98" s="9"/>
      <c r="CG98" s="9"/>
      <c r="CH98" s="9"/>
      <c r="CI98" s="11"/>
      <c r="CJ98" s="9"/>
      <c r="CK98" s="11"/>
      <c r="CL98" s="20"/>
      <c r="CM98" s="9"/>
      <c r="CN98" s="9"/>
      <c r="CO98" s="9"/>
      <c r="CP98" s="11"/>
      <c r="CQ98" s="9"/>
      <c r="CR98" s="11"/>
    </row>
    <row r="99" spans="1:96" s="30" customFormat="1" ht="12.75">
      <c r="A99" s="26"/>
      <c r="B99" s="27"/>
      <c r="C99" s="27"/>
      <c r="D99" s="28" t="s">
        <v>143</v>
      </c>
      <c r="E99" s="27" t="s">
        <v>96</v>
      </c>
      <c r="F99" s="29" t="s">
        <v>97</v>
      </c>
      <c r="G99" s="27" t="s">
        <v>96</v>
      </c>
      <c r="H99" s="26"/>
      <c r="I99" s="26"/>
      <c r="J99" s="28" t="s">
        <v>143</v>
      </c>
      <c r="K99" s="27" t="s">
        <v>96</v>
      </c>
      <c r="L99" s="29" t="s">
        <v>97</v>
      </c>
      <c r="M99" s="27" t="s">
        <v>96</v>
      </c>
      <c r="N99" s="65"/>
      <c r="O99" s="66"/>
      <c r="P99" s="65"/>
      <c r="Q99" s="26"/>
      <c r="R99" s="28" t="s">
        <v>143</v>
      </c>
      <c r="S99" s="27" t="s">
        <v>96</v>
      </c>
      <c r="T99" s="29" t="s">
        <v>97</v>
      </c>
      <c r="U99" s="27" t="s">
        <v>96</v>
      </c>
      <c r="V99" s="65"/>
      <c r="W99" s="66"/>
      <c r="X99" s="65"/>
      <c r="Y99" s="26"/>
      <c r="Z99" s="28" t="s">
        <v>143</v>
      </c>
      <c r="AA99" s="27" t="s">
        <v>96</v>
      </c>
      <c r="AB99" s="29" t="s">
        <v>97</v>
      </c>
      <c r="AC99" s="27" t="s">
        <v>96</v>
      </c>
      <c r="AD99" s="65"/>
      <c r="AE99" s="66"/>
      <c r="AF99" s="65"/>
      <c r="AG99" s="26"/>
      <c r="AH99" s="28" t="s">
        <v>143</v>
      </c>
      <c r="AI99" s="27" t="s">
        <v>96</v>
      </c>
      <c r="AJ99" s="29" t="s">
        <v>97</v>
      </c>
      <c r="AK99" s="27" t="s">
        <v>96</v>
      </c>
      <c r="AL99" s="65"/>
      <c r="AM99" s="66"/>
      <c r="AN99" s="65"/>
      <c r="AO99" s="94" t="s">
        <v>143</v>
      </c>
      <c r="AP99" s="45" t="s">
        <v>96</v>
      </c>
      <c r="AQ99" s="93" t="s">
        <v>97</v>
      </c>
      <c r="AR99" s="45" t="s">
        <v>96</v>
      </c>
      <c r="AS99" s="65"/>
      <c r="AT99" s="66"/>
      <c r="AU99" s="65"/>
      <c r="AV99" s="94" t="s">
        <v>143</v>
      </c>
      <c r="AW99" s="45" t="s">
        <v>96</v>
      </c>
      <c r="AX99" s="93" t="s">
        <v>97</v>
      </c>
      <c r="AY99" s="45" t="s">
        <v>96</v>
      </c>
      <c r="AZ99" s="65"/>
      <c r="BA99" s="66"/>
      <c r="BB99" s="65"/>
      <c r="BC99" s="94" t="s">
        <v>143</v>
      </c>
      <c r="BD99" s="45" t="s">
        <v>96</v>
      </c>
      <c r="BE99" s="93" t="s">
        <v>97</v>
      </c>
      <c r="BF99" s="45" t="s">
        <v>96</v>
      </c>
      <c r="BG99" s="65"/>
      <c r="BH99" s="66"/>
      <c r="BI99" s="65"/>
      <c r="BJ99" s="94" t="s">
        <v>143</v>
      </c>
      <c r="BK99" s="45" t="s">
        <v>96</v>
      </c>
      <c r="BL99" s="93" t="s">
        <v>97</v>
      </c>
      <c r="BM99" s="45" t="s">
        <v>96</v>
      </c>
      <c r="BN99" s="65"/>
      <c r="BO99" s="66"/>
      <c r="BP99" s="65"/>
      <c r="BQ99" s="94" t="s">
        <v>143</v>
      </c>
      <c r="BR99" s="45" t="s">
        <v>96</v>
      </c>
      <c r="BS99" s="93" t="s">
        <v>97</v>
      </c>
      <c r="BT99" s="45" t="s">
        <v>96</v>
      </c>
      <c r="BU99" s="65"/>
      <c r="BV99" s="66"/>
      <c r="BW99" s="65"/>
      <c r="BX99" s="94" t="s">
        <v>143</v>
      </c>
      <c r="BY99" s="45" t="s">
        <v>96</v>
      </c>
      <c r="BZ99" s="93" t="s">
        <v>97</v>
      </c>
      <c r="CA99" s="45" t="s">
        <v>96</v>
      </c>
      <c r="CB99" s="65"/>
      <c r="CC99" s="66"/>
      <c r="CD99" s="65"/>
      <c r="CE99" s="94" t="s">
        <v>143</v>
      </c>
      <c r="CF99" s="45" t="s">
        <v>96</v>
      </c>
      <c r="CG99" s="93" t="s">
        <v>97</v>
      </c>
      <c r="CH99" s="45" t="s">
        <v>96</v>
      </c>
      <c r="CI99" s="65"/>
      <c r="CJ99" s="66"/>
      <c r="CK99" s="65"/>
      <c r="CL99" s="94" t="s">
        <v>143</v>
      </c>
      <c r="CM99" s="45" t="s">
        <v>96</v>
      </c>
      <c r="CN99" s="93" t="s">
        <v>97</v>
      </c>
      <c r="CO99" s="45" t="s">
        <v>96</v>
      </c>
      <c r="CP99" s="65"/>
      <c r="CQ99" s="66"/>
      <c r="CR99" s="65"/>
    </row>
    <row r="100" spans="1:96" ht="12.75">
      <c r="A100" s="13"/>
      <c r="B100" s="9"/>
      <c r="C100" s="9"/>
      <c r="D100" s="11"/>
      <c r="E100" s="9"/>
      <c r="F100" s="11"/>
      <c r="G100" s="9"/>
      <c r="H100" s="9"/>
      <c r="I100" s="9"/>
      <c r="J100" s="11"/>
      <c r="K100" s="9"/>
      <c r="L100" s="11"/>
      <c r="M100" s="9"/>
      <c r="N100" s="55"/>
      <c r="O100" s="56"/>
      <c r="P100" s="55"/>
      <c r="Q100" s="9"/>
      <c r="R100" s="11"/>
      <c r="S100" s="9"/>
      <c r="T100" s="11"/>
      <c r="U100" s="9"/>
      <c r="V100" s="55"/>
      <c r="W100" s="56"/>
      <c r="X100" s="55"/>
      <c r="Y100" s="9"/>
      <c r="Z100" s="11"/>
      <c r="AA100" s="9"/>
      <c r="AB100" s="11"/>
      <c r="AC100" s="9"/>
      <c r="AD100" s="55"/>
      <c r="AE100" s="56"/>
      <c r="AF100" s="55"/>
      <c r="AG100" s="9"/>
      <c r="AH100" s="11"/>
      <c r="AI100" s="9"/>
      <c r="AJ100" s="11"/>
      <c r="AK100" s="9"/>
      <c r="AL100" s="55"/>
      <c r="AM100" s="56"/>
      <c r="AN100" s="55"/>
      <c r="AO100" s="11"/>
      <c r="AP100" s="9"/>
      <c r="AQ100" s="11"/>
      <c r="AR100" s="9"/>
      <c r="AS100" s="55"/>
      <c r="AT100" s="56"/>
      <c r="AU100" s="55"/>
      <c r="AV100" s="11"/>
      <c r="AW100" s="9"/>
      <c r="AX100" s="11"/>
      <c r="AY100" s="9"/>
      <c r="AZ100" s="55"/>
      <c r="BA100" s="56"/>
      <c r="BB100" s="55"/>
      <c r="BC100" s="11"/>
      <c r="BD100" s="9"/>
      <c r="BE100" s="11"/>
      <c r="BF100" s="9"/>
      <c r="BG100" s="55"/>
      <c r="BH100" s="56"/>
      <c r="BI100" s="55"/>
      <c r="BJ100" s="11"/>
      <c r="BK100" s="9"/>
      <c r="BL100" s="11"/>
      <c r="BM100" s="9"/>
      <c r="BN100" s="55"/>
      <c r="BO100" s="56"/>
      <c r="BP100" s="55"/>
      <c r="BQ100" s="11"/>
      <c r="BR100" s="9"/>
      <c r="BS100" s="11"/>
      <c r="BT100" s="9"/>
      <c r="BU100" s="55"/>
      <c r="BV100" s="56"/>
      <c r="BW100" s="55"/>
      <c r="BX100" s="11"/>
      <c r="BY100" s="9"/>
      <c r="BZ100" s="11"/>
      <c r="CA100" s="9"/>
      <c r="CB100" s="55"/>
      <c r="CC100" s="56"/>
      <c r="CD100" s="55"/>
      <c r="CE100" s="11"/>
      <c r="CF100" s="9"/>
      <c r="CG100" s="11"/>
      <c r="CH100" s="9"/>
      <c r="CI100" s="55"/>
      <c r="CJ100" s="56"/>
      <c r="CK100" s="55"/>
      <c r="CL100" s="11"/>
      <c r="CM100" s="9"/>
      <c r="CN100" s="11"/>
      <c r="CO100" s="9"/>
      <c r="CP100" s="55"/>
      <c r="CQ100" s="56"/>
      <c r="CR100" s="55"/>
    </row>
    <row r="101" spans="1:96" ht="12.75">
      <c r="A101" s="25">
        <v>1996</v>
      </c>
      <c r="B101" s="9"/>
      <c r="C101" s="9"/>
      <c r="D101" s="10">
        <v>0</v>
      </c>
      <c r="E101" s="15">
        <v>0</v>
      </c>
      <c r="F101" s="11">
        <v>0</v>
      </c>
      <c r="G101" s="15">
        <v>0</v>
      </c>
      <c r="H101" s="9"/>
      <c r="I101" s="9"/>
      <c r="J101" s="10">
        <v>0</v>
      </c>
      <c r="K101" s="15">
        <v>0</v>
      </c>
      <c r="L101" s="11">
        <v>0</v>
      </c>
      <c r="M101" s="15">
        <v>0</v>
      </c>
      <c r="N101" s="57"/>
      <c r="O101" s="56"/>
      <c r="P101" s="57"/>
      <c r="Q101" s="9"/>
      <c r="R101" s="10">
        <v>0</v>
      </c>
      <c r="S101" s="15">
        <v>0</v>
      </c>
      <c r="T101" s="11">
        <v>0</v>
      </c>
      <c r="U101" s="15">
        <v>0</v>
      </c>
      <c r="V101" s="57"/>
      <c r="W101" s="56"/>
      <c r="X101" s="57"/>
      <c r="Y101" s="9"/>
      <c r="Z101" s="10">
        <v>0</v>
      </c>
      <c r="AA101" s="15">
        <v>0</v>
      </c>
      <c r="AB101" s="11">
        <v>0</v>
      </c>
      <c r="AC101" s="15">
        <v>0</v>
      </c>
      <c r="AD101" s="57"/>
      <c r="AE101" s="56"/>
      <c r="AF101" s="57"/>
      <c r="AG101" s="9"/>
      <c r="AH101" s="10">
        <v>0</v>
      </c>
      <c r="AI101" s="15">
        <v>0</v>
      </c>
      <c r="AJ101" s="11">
        <v>0</v>
      </c>
      <c r="AK101" s="15">
        <v>0</v>
      </c>
      <c r="AL101" s="57"/>
      <c r="AM101" s="56"/>
      <c r="AN101" s="57"/>
      <c r="AO101" s="10">
        <v>0</v>
      </c>
      <c r="AP101" s="15">
        <v>0</v>
      </c>
      <c r="AQ101" s="11">
        <v>0</v>
      </c>
      <c r="AR101" s="15">
        <v>0</v>
      </c>
      <c r="AS101" s="57"/>
      <c r="AT101" s="56"/>
      <c r="AU101" s="57"/>
      <c r="AV101" s="10">
        <v>0</v>
      </c>
      <c r="AW101" s="15">
        <v>0</v>
      </c>
      <c r="AX101" s="11">
        <v>0</v>
      </c>
      <c r="AY101" s="15">
        <v>0</v>
      </c>
      <c r="AZ101" s="57"/>
      <c r="BA101" s="56"/>
      <c r="BB101" s="57"/>
      <c r="BC101" s="10">
        <v>0</v>
      </c>
      <c r="BD101" s="15">
        <v>0</v>
      </c>
      <c r="BE101" s="11">
        <v>0</v>
      </c>
      <c r="BF101" s="15">
        <v>0</v>
      </c>
      <c r="BG101" s="57"/>
      <c r="BH101" s="56"/>
      <c r="BI101" s="57"/>
      <c r="BJ101" s="10">
        <v>0</v>
      </c>
      <c r="BK101" s="15">
        <v>0</v>
      </c>
      <c r="BL101" s="11">
        <v>0</v>
      </c>
      <c r="BM101" s="15">
        <v>0</v>
      </c>
      <c r="BN101" s="57"/>
      <c r="BO101" s="56"/>
      <c r="BP101" s="57"/>
      <c r="BQ101" s="10">
        <v>0</v>
      </c>
      <c r="BR101" s="15">
        <v>0</v>
      </c>
      <c r="BS101" s="11">
        <v>0</v>
      </c>
      <c r="BT101" s="15">
        <v>0</v>
      </c>
      <c r="BU101" s="57"/>
      <c r="BV101" s="56"/>
      <c r="BW101" s="57"/>
      <c r="BX101" s="10">
        <v>0</v>
      </c>
      <c r="BY101" s="15">
        <v>0</v>
      </c>
      <c r="BZ101" s="11">
        <v>0</v>
      </c>
      <c r="CA101" s="15">
        <v>0</v>
      </c>
      <c r="CB101" s="57"/>
      <c r="CC101" s="56"/>
      <c r="CD101" s="57"/>
      <c r="CE101" s="10">
        <v>0</v>
      </c>
      <c r="CF101" s="15">
        <v>0</v>
      </c>
      <c r="CG101" s="11">
        <v>0</v>
      </c>
      <c r="CH101" s="15">
        <v>0</v>
      </c>
      <c r="CI101" s="57"/>
      <c r="CJ101" s="56"/>
      <c r="CK101" s="57"/>
      <c r="CL101" s="10">
        <v>0</v>
      </c>
      <c r="CM101" s="15">
        <v>0</v>
      </c>
      <c r="CN101" s="11">
        <v>0</v>
      </c>
      <c r="CO101" s="15">
        <v>0</v>
      </c>
      <c r="CP101" s="57"/>
      <c r="CQ101" s="56"/>
      <c r="CR101" s="57"/>
    </row>
    <row r="102" spans="1:96" ht="12.75">
      <c r="A102" s="25">
        <v>1997</v>
      </c>
      <c r="B102" s="9"/>
      <c r="C102" s="9"/>
      <c r="D102" s="10">
        <v>0</v>
      </c>
      <c r="E102" s="15">
        <v>0</v>
      </c>
      <c r="F102" s="11">
        <v>0</v>
      </c>
      <c r="G102" s="15">
        <v>0</v>
      </c>
      <c r="H102" s="9"/>
      <c r="I102" s="9"/>
      <c r="J102" s="10">
        <v>0</v>
      </c>
      <c r="K102" s="15">
        <v>0</v>
      </c>
      <c r="L102" s="11">
        <v>0</v>
      </c>
      <c r="M102" s="15">
        <v>0</v>
      </c>
      <c r="N102" s="57"/>
      <c r="O102" s="56"/>
      <c r="P102" s="57"/>
      <c r="Q102" s="9"/>
      <c r="R102" s="10">
        <v>0</v>
      </c>
      <c r="S102" s="15">
        <v>0</v>
      </c>
      <c r="T102" s="11">
        <v>0</v>
      </c>
      <c r="U102" s="15">
        <v>0</v>
      </c>
      <c r="V102" s="57"/>
      <c r="W102" s="56"/>
      <c r="X102" s="57"/>
      <c r="Y102" s="9"/>
      <c r="Z102" s="10">
        <v>0</v>
      </c>
      <c r="AA102" s="15">
        <v>0</v>
      </c>
      <c r="AB102" s="11">
        <v>0</v>
      </c>
      <c r="AC102" s="15">
        <v>0</v>
      </c>
      <c r="AD102" s="57"/>
      <c r="AE102" s="56"/>
      <c r="AF102" s="57"/>
      <c r="AG102" s="9"/>
      <c r="AH102" s="10">
        <v>0</v>
      </c>
      <c r="AI102" s="15">
        <v>0</v>
      </c>
      <c r="AJ102" s="11">
        <v>0</v>
      </c>
      <c r="AK102" s="15">
        <v>0</v>
      </c>
      <c r="AL102" s="57"/>
      <c r="AM102" s="56"/>
      <c r="AN102" s="57"/>
      <c r="AO102" s="10">
        <v>0</v>
      </c>
      <c r="AP102" s="15">
        <v>0</v>
      </c>
      <c r="AQ102" s="11">
        <v>0</v>
      </c>
      <c r="AR102" s="15">
        <v>0</v>
      </c>
      <c r="AS102" s="57"/>
      <c r="AT102" s="56"/>
      <c r="AU102" s="57"/>
      <c r="AV102" s="10">
        <v>0</v>
      </c>
      <c r="AW102" s="15">
        <v>0</v>
      </c>
      <c r="AX102" s="11">
        <v>0</v>
      </c>
      <c r="AY102" s="15">
        <v>0</v>
      </c>
      <c r="AZ102" s="57"/>
      <c r="BA102" s="56"/>
      <c r="BB102" s="57"/>
      <c r="BC102" s="10">
        <v>0</v>
      </c>
      <c r="BD102" s="15">
        <v>0</v>
      </c>
      <c r="BE102" s="11">
        <v>0</v>
      </c>
      <c r="BF102" s="15">
        <v>0</v>
      </c>
      <c r="BG102" s="57"/>
      <c r="BH102" s="56"/>
      <c r="BI102" s="57"/>
      <c r="BJ102" s="10">
        <v>0</v>
      </c>
      <c r="BK102" s="15">
        <v>0</v>
      </c>
      <c r="BL102" s="11">
        <v>0</v>
      </c>
      <c r="BM102" s="15">
        <v>0</v>
      </c>
      <c r="BN102" s="57"/>
      <c r="BO102" s="56"/>
      <c r="BP102" s="57"/>
      <c r="BQ102" s="10">
        <v>0</v>
      </c>
      <c r="BR102" s="15">
        <v>0</v>
      </c>
      <c r="BS102" s="11">
        <v>0</v>
      </c>
      <c r="BT102" s="15">
        <v>0</v>
      </c>
      <c r="BU102" s="57"/>
      <c r="BV102" s="56"/>
      <c r="BW102" s="57"/>
      <c r="BX102" s="10">
        <v>0</v>
      </c>
      <c r="BY102" s="15">
        <v>0</v>
      </c>
      <c r="BZ102" s="11">
        <v>0</v>
      </c>
      <c r="CA102" s="15">
        <v>0</v>
      </c>
      <c r="CB102" s="57"/>
      <c r="CC102" s="56"/>
      <c r="CD102" s="57"/>
      <c r="CE102" s="10">
        <v>0</v>
      </c>
      <c r="CF102" s="15">
        <v>0</v>
      </c>
      <c r="CG102" s="11">
        <v>0</v>
      </c>
      <c r="CH102" s="15">
        <v>0</v>
      </c>
      <c r="CI102" s="57"/>
      <c r="CJ102" s="56"/>
      <c r="CK102" s="57"/>
      <c r="CL102" s="10">
        <v>0</v>
      </c>
      <c r="CM102" s="15">
        <v>0</v>
      </c>
      <c r="CN102" s="11">
        <v>0</v>
      </c>
      <c r="CO102" s="15">
        <v>0</v>
      </c>
      <c r="CP102" s="57"/>
      <c r="CQ102" s="56"/>
      <c r="CR102" s="57"/>
    </row>
    <row r="103" spans="1:96" ht="12.75">
      <c r="A103" s="25">
        <v>1998</v>
      </c>
      <c r="B103" s="9"/>
      <c r="C103" s="9"/>
      <c r="D103" s="10">
        <v>0</v>
      </c>
      <c r="E103" s="15">
        <v>0</v>
      </c>
      <c r="F103" s="11">
        <v>0</v>
      </c>
      <c r="G103" s="15">
        <v>0</v>
      </c>
      <c r="H103" s="9"/>
      <c r="I103" s="9"/>
      <c r="J103" s="10">
        <v>0</v>
      </c>
      <c r="K103" s="15">
        <v>0</v>
      </c>
      <c r="L103" s="11">
        <v>0</v>
      </c>
      <c r="M103" s="15">
        <v>0</v>
      </c>
      <c r="N103" s="57"/>
      <c r="O103" s="56"/>
      <c r="P103" s="57"/>
      <c r="Q103" s="9"/>
      <c r="R103" s="10">
        <v>0</v>
      </c>
      <c r="S103" s="15">
        <v>0</v>
      </c>
      <c r="T103" s="11">
        <v>0</v>
      </c>
      <c r="U103" s="15">
        <v>0</v>
      </c>
      <c r="V103" s="57"/>
      <c r="W103" s="56"/>
      <c r="X103" s="57"/>
      <c r="Y103" s="9"/>
      <c r="Z103" s="10">
        <v>0</v>
      </c>
      <c r="AA103" s="15">
        <v>0</v>
      </c>
      <c r="AB103" s="11">
        <v>0</v>
      </c>
      <c r="AC103" s="15">
        <v>0</v>
      </c>
      <c r="AD103" s="57"/>
      <c r="AE103" s="56"/>
      <c r="AF103" s="57"/>
      <c r="AG103" s="9"/>
      <c r="AH103" s="10">
        <v>0</v>
      </c>
      <c r="AI103" s="15">
        <v>0</v>
      </c>
      <c r="AJ103" s="11">
        <v>0</v>
      </c>
      <c r="AK103" s="15">
        <v>0</v>
      </c>
      <c r="AL103" s="57"/>
      <c r="AM103" s="56"/>
      <c r="AN103" s="57"/>
      <c r="AO103" s="10">
        <v>0</v>
      </c>
      <c r="AP103" s="15">
        <v>0</v>
      </c>
      <c r="AQ103" s="11">
        <v>0</v>
      </c>
      <c r="AR103" s="15">
        <v>0</v>
      </c>
      <c r="AS103" s="57"/>
      <c r="AT103" s="56"/>
      <c r="AU103" s="57"/>
      <c r="AV103" s="10">
        <v>0</v>
      </c>
      <c r="AW103" s="15">
        <v>0</v>
      </c>
      <c r="AX103" s="11">
        <v>0</v>
      </c>
      <c r="AY103" s="15">
        <v>0</v>
      </c>
      <c r="AZ103" s="57"/>
      <c r="BA103" s="56"/>
      <c r="BB103" s="57"/>
      <c r="BC103" s="10">
        <v>0</v>
      </c>
      <c r="BD103" s="15">
        <v>0</v>
      </c>
      <c r="BE103" s="11">
        <v>0</v>
      </c>
      <c r="BF103" s="15">
        <v>0</v>
      </c>
      <c r="BG103" s="57"/>
      <c r="BH103" s="56"/>
      <c r="BI103" s="57"/>
      <c r="BJ103" s="10">
        <v>0</v>
      </c>
      <c r="BK103" s="15">
        <v>0</v>
      </c>
      <c r="BL103" s="11">
        <v>0</v>
      </c>
      <c r="BM103" s="15">
        <v>0</v>
      </c>
      <c r="BN103" s="57"/>
      <c r="BO103" s="56"/>
      <c r="BP103" s="57"/>
      <c r="BQ103" s="10">
        <v>0</v>
      </c>
      <c r="BR103" s="15">
        <v>0</v>
      </c>
      <c r="BS103" s="11">
        <v>0</v>
      </c>
      <c r="BT103" s="15">
        <v>0</v>
      </c>
      <c r="BU103" s="57"/>
      <c r="BV103" s="56"/>
      <c r="BW103" s="57"/>
      <c r="BX103" s="10">
        <v>0</v>
      </c>
      <c r="BY103" s="15">
        <v>0</v>
      </c>
      <c r="BZ103" s="11">
        <v>0</v>
      </c>
      <c r="CA103" s="15">
        <v>0</v>
      </c>
      <c r="CB103" s="57"/>
      <c r="CC103" s="56"/>
      <c r="CD103" s="57"/>
      <c r="CE103" s="10">
        <v>0</v>
      </c>
      <c r="CF103" s="15">
        <v>0</v>
      </c>
      <c r="CG103" s="11">
        <v>0</v>
      </c>
      <c r="CH103" s="15">
        <v>0</v>
      </c>
      <c r="CI103" s="57"/>
      <c r="CJ103" s="56"/>
      <c r="CK103" s="57"/>
      <c r="CL103" s="10">
        <v>0</v>
      </c>
      <c r="CM103" s="15">
        <v>0</v>
      </c>
      <c r="CN103" s="11">
        <v>0</v>
      </c>
      <c r="CO103" s="15">
        <v>0</v>
      </c>
      <c r="CP103" s="57"/>
      <c r="CQ103" s="56"/>
      <c r="CR103" s="57"/>
    </row>
    <row r="104" spans="1:96" ht="12.75">
      <c r="A104" s="25">
        <v>1999</v>
      </c>
      <c r="B104" s="9"/>
      <c r="C104" s="9"/>
      <c r="D104" s="10">
        <v>0</v>
      </c>
      <c r="E104" s="15">
        <v>0</v>
      </c>
      <c r="F104" s="11">
        <v>0</v>
      </c>
      <c r="G104" s="15">
        <v>0</v>
      </c>
      <c r="H104" s="9"/>
      <c r="I104" s="9"/>
      <c r="J104" s="10">
        <v>0</v>
      </c>
      <c r="K104" s="15">
        <v>0</v>
      </c>
      <c r="L104" s="11">
        <v>0</v>
      </c>
      <c r="M104" s="15">
        <v>0</v>
      </c>
      <c r="N104" s="57"/>
      <c r="O104" s="56"/>
      <c r="P104" s="57"/>
      <c r="Q104" s="9"/>
      <c r="R104" s="10">
        <v>0</v>
      </c>
      <c r="S104" s="15">
        <v>0</v>
      </c>
      <c r="T104" s="11">
        <v>0</v>
      </c>
      <c r="U104" s="15">
        <v>0</v>
      </c>
      <c r="V104" s="57"/>
      <c r="W104" s="56"/>
      <c r="X104" s="57"/>
      <c r="Y104" s="9"/>
      <c r="Z104" s="10">
        <v>0</v>
      </c>
      <c r="AA104" s="15">
        <v>0</v>
      </c>
      <c r="AB104" s="11">
        <v>0</v>
      </c>
      <c r="AC104" s="15">
        <v>0</v>
      </c>
      <c r="AD104" s="57"/>
      <c r="AE104" s="56"/>
      <c r="AF104" s="57"/>
      <c r="AG104" s="9"/>
      <c r="AH104" s="10">
        <v>0</v>
      </c>
      <c r="AI104" s="15">
        <v>0</v>
      </c>
      <c r="AJ104" s="11">
        <v>0</v>
      </c>
      <c r="AK104" s="15">
        <v>0</v>
      </c>
      <c r="AL104" s="57"/>
      <c r="AM104" s="56"/>
      <c r="AN104" s="57"/>
      <c r="AO104" s="10">
        <v>0</v>
      </c>
      <c r="AP104" s="15">
        <v>0</v>
      </c>
      <c r="AQ104" s="11">
        <v>0</v>
      </c>
      <c r="AR104" s="15">
        <v>0</v>
      </c>
      <c r="AS104" s="57"/>
      <c r="AT104" s="56"/>
      <c r="AU104" s="57"/>
      <c r="AV104" s="10">
        <v>0</v>
      </c>
      <c r="AW104" s="15">
        <v>0</v>
      </c>
      <c r="AX104" s="11">
        <v>0</v>
      </c>
      <c r="AY104" s="15">
        <v>0</v>
      </c>
      <c r="AZ104" s="57"/>
      <c r="BA104" s="56"/>
      <c r="BB104" s="57"/>
      <c r="BC104" s="10">
        <v>0</v>
      </c>
      <c r="BD104" s="15">
        <v>0</v>
      </c>
      <c r="BE104" s="11">
        <v>0</v>
      </c>
      <c r="BF104" s="15">
        <v>0</v>
      </c>
      <c r="BG104" s="57"/>
      <c r="BH104" s="56"/>
      <c r="BI104" s="57"/>
      <c r="BJ104" s="10">
        <v>0</v>
      </c>
      <c r="BK104" s="15">
        <v>0</v>
      </c>
      <c r="BL104" s="11">
        <v>0</v>
      </c>
      <c r="BM104" s="15">
        <v>0</v>
      </c>
      <c r="BN104" s="57"/>
      <c r="BO104" s="56"/>
      <c r="BP104" s="57"/>
      <c r="BQ104" s="10">
        <v>0</v>
      </c>
      <c r="BR104" s="15">
        <v>0</v>
      </c>
      <c r="BS104" s="11">
        <v>0</v>
      </c>
      <c r="BT104" s="15">
        <v>0</v>
      </c>
      <c r="BU104" s="57"/>
      <c r="BV104" s="56"/>
      <c r="BW104" s="57"/>
      <c r="BX104" s="10">
        <v>0</v>
      </c>
      <c r="BY104" s="15">
        <v>0</v>
      </c>
      <c r="BZ104" s="11">
        <v>0</v>
      </c>
      <c r="CA104" s="15">
        <v>0</v>
      </c>
      <c r="CB104" s="57"/>
      <c r="CC104" s="56"/>
      <c r="CD104" s="57"/>
      <c r="CE104" s="10">
        <v>0</v>
      </c>
      <c r="CF104" s="15">
        <v>0</v>
      </c>
      <c r="CG104" s="11">
        <v>0</v>
      </c>
      <c r="CH104" s="15">
        <v>0</v>
      </c>
      <c r="CI104" s="57"/>
      <c r="CJ104" s="56"/>
      <c r="CK104" s="57"/>
      <c r="CL104" s="10">
        <v>0</v>
      </c>
      <c r="CM104" s="15">
        <v>0</v>
      </c>
      <c r="CN104" s="11">
        <v>0</v>
      </c>
      <c r="CO104" s="15">
        <v>0</v>
      </c>
      <c r="CP104" s="57"/>
      <c r="CQ104" s="56"/>
      <c r="CR104" s="57"/>
    </row>
    <row r="105" spans="1:96" ht="12.75">
      <c r="A105" s="25">
        <v>2000</v>
      </c>
      <c r="B105" s="9"/>
      <c r="C105" s="9"/>
      <c r="D105" s="10">
        <v>0</v>
      </c>
      <c r="E105" s="15">
        <v>0</v>
      </c>
      <c r="F105" s="11">
        <v>0</v>
      </c>
      <c r="G105" s="15">
        <v>0</v>
      </c>
      <c r="H105" s="9"/>
      <c r="I105" s="9"/>
      <c r="J105" s="10">
        <v>0</v>
      </c>
      <c r="K105" s="15">
        <v>0</v>
      </c>
      <c r="L105" s="11">
        <v>0</v>
      </c>
      <c r="M105" s="15">
        <v>0</v>
      </c>
      <c r="N105" s="57"/>
      <c r="O105" s="56"/>
      <c r="P105" s="57"/>
      <c r="Q105" s="9"/>
      <c r="R105" s="10">
        <v>0</v>
      </c>
      <c r="S105" s="15">
        <v>0</v>
      </c>
      <c r="T105" s="11">
        <v>0</v>
      </c>
      <c r="U105" s="15">
        <v>0</v>
      </c>
      <c r="V105" s="57"/>
      <c r="W105" s="56"/>
      <c r="X105" s="57"/>
      <c r="Y105" s="9"/>
      <c r="Z105" s="10">
        <v>0</v>
      </c>
      <c r="AA105" s="15">
        <v>0</v>
      </c>
      <c r="AB105" s="11">
        <v>0</v>
      </c>
      <c r="AC105" s="15">
        <v>0</v>
      </c>
      <c r="AD105" s="57"/>
      <c r="AE105" s="56"/>
      <c r="AF105" s="57"/>
      <c r="AG105" s="9"/>
      <c r="AH105" s="10">
        <v>0</v>
      </c>
      <c r="AI105" s="15">
        <v>0</v>
      </c>
      <c r="AJ105" s="11">
        <v>0</v>
      </c>
      <c r="AK105" s="15">
        <v>0</v>
      </c>
      <c r="AL105" s="57"/>
      <c r="AM105" s="56"/>
      <c r="AN105" s="57"/>
      <c r="AO105" s="10">
        <v>0</v>
      </c>
      <c r="AP105" s="15">
        <v>0</v>
      </c>
      <c r="AQ105" s="11">
        <v>0</v>
      </c>
      <c r="AR105" s="15">
        <v>0</v>
      </c>
      <c r="AS105" s="57"/>
      <c r="AT105" s="56"/>
      <c r="AU105" s="57"/>
      <c r="AV105" s="10">
        <v>0</v>
      </c>
      <c r="AW105" s="15">
        <v>0</v>
      </c>
      <c r="AX105" s="11">
        <v>0</v>
      </c>
      <c r="AY105" s="15">
        <v>0</v>
      </c>
      <c r="AZ105" s="57"/>
      <c r="BA105" s="56"/>
      <c r="BB105" s="57"/>
      <c r="BC105" s="10">
        <v>0</v>
      </c>
      <c r="BD105" s="15">
        <v>0</v>
      </c>
      <c r="BE105" s="11">
        <v>0</v>
      </c>
      <c r="BF105" s="15">
        <v>0</v>
      </c>
      <c r="BG105" s="57"/>
      <c r="BH105" s="56"/>
      <c r="BI105" s="57"/>
      <c r="BJ105" s="10">
        <v>0</v>
      </c>
      <c r="BK105" s="15">
        <v>0</v>
      </c>
      <c r="BL105" s="11">
        <v>0</v>
      </c>
      <c r="BM105" s="15">
        <v>0</v>
      </c>
      <c r="BN105" s="57"/>
      <c r="BO105" s="56"/>
      <c r="BP105" s="57"/>
      <c r="BQ105" s="10">
        <v>0</v>
      </c>
      <c r="BR105" s="15">
        <v>0</v>
      </c>
      <c r="BS105" s="11">
        <v>0</v>
      </c>
      <c r="BT105" s="15">
        <v>0</v>
      </c>
      <c r="BU105" s="57"/>
      <c r="BV105" s="56"/>
      <c r="BW105" s="57"/>
      <c r="BX105" s="10">
        <v>0</v>
      </c>
      <c r="BY105" s="15">
        <v>0</v>
      </c>
      <c r="BZ105" s="11">
        <v>0</v>
      </c>
      <c r="CA105" s="15">
        <v>0</v>
      </c>
      <c r="CB105" s="57"/>
      <c r="CC105" s="56"/>
      <c r="CD105" s="57"/>
      <c r="CE105" s="10">
        <v>0</v>
      </c>
      <c r="CF105" s="15">
        <v>0</v>
      </c>
      <c r="CG105" s="11">
        <v>0</v>
      </c>
      <c r="CH105" s="15">
        <v>0</v>
      </c>
      <c r="CI105" s="57"/>
      <c r="CJ105" s="56"/>
      <c r="CK105" s="57"/>
      <c r="CL105" s="10">
        <v>0</v>
      </c>
      <c r="CM105" s="15">
        <v>0</v>
      </c>
      <c r="CN105" s="11">
        <v>0</v>
      </c>
      <c r="CO105" s="15">
        <v>0</v>
      </c>
      <c r="CP105" s="57"/>
      <c r="CQ105" s="56"/>
      <c r="CR105" s="57"/>
    </row>
    <row r="106" spans="1:96" ht="12.75">
      <c r="A106" s="25">
        <v>2001</v>
      </c>
      <c r="B106" s="9"/>
      <c r="C106" s="9"/>
      <c r="D106" s="10">
        <v>8879208.900000004</v>
      </c>
      <c r="E106" s="15">
        <v>1</v>
      </c>
      <c r="F106" s="11">
        <v>7395</v>
      </c>
      <c r="G106" s="15">
        <v>1</v>
      </c>
      <c r="H106" s="9"/>
      <c r="I106" s="9"/>
      <c r="J106" s="10">
        <v>5975532.919999984</v>
      </c>
      <c r="K106" s="15">
        <v>1</v>
      </c>
      <c r="L106" s="11">
        <v>6911</v>
      </c>
      <c r="M106" s="15">
        <v>1</v>
      </c>
      <c r="N106" s="57"/>
      <c r="O106" s="56"/>
      <c r="P106" s="57"/>
      <c r="Q106" s="9"/>
      <c r="R106" s="10">
        <v>3958879.5200000075</v>
      </c>
      <c r="S106" s="15">
        <v>0.5370315719780053</v>
      </c>
      <c r="T106" s="11">
        <v>5425</v>
      </c>
      <c r="U106" s="15">
        <v>0.586994157108851</v>
      </c>
      <c r="V106" s="57"/>
      <c r="W106" s="56"/>
      <c r="X106" s="57"/>
      <c r="Y106" s="9"/>
      <c r="Z106" s="10">
        <v>2622145.45</v>
      </c>
      <c r="AA106" s="15">
        <v>0.32889913958711997</v>
      </c>
      <c r="AB106" s="11">
        <v>3379</v>
      </c>
      <c r="AC106" s="15">
        <v>0.36088860407988893</v>
      </c>
      <c r="AD106" s="57"/>
      <c r="AE106" s="56"/>
      <c r="AF106" s="57"/>
      <c r="AG106" s="9"/>
      <c r="AH106" s="10">
        <v>1977796.03</v>
      </c>
      <c r="AI106" s="15">
        <v>0.2407811261715011</v>
      </c>
      <c r="AJ106" s="11">
        <v>2117</v>
      </c>
      <c r="AK106" s="15">
        <v>0.23068540917511168</v>
      </c>
      <c r="AL106" s="57"/>
      <c r="AM106" s="56"/>
      <c r="AN106" s="57"/>
      <c r="AO106" s="10">
        <v>1581056.37</v>
      </c>
      <c r="AP106" s="15">
        <v>0.1547261326387293</v>
      </c>
      <c r="AQ106" s="11">
        <v>2004</v>
      </c>
      <c r="AR106" s="15">
        <v>0.1786096256684492</v>
      </c>
      <c r="AS106" s="57"/>
      <c r="AT106" s="56"/>
      <c r="AU106" s="57"/>
      <c r="AV106" s="10">
        <v>1232724.59</v>
      </c>
      <c r="AW106" s="15">
        <v>0.09180487069228709</v>
      </c>
      <c r="AX106" s="11">
        <v>1599</v>
      </c>
      <c r="AY106" s="15">
        <v>0.11472234179939733</v>
      </c>
      <c r="AZ106" s="57"/>
      <c r="BA106" s="56"/>
      <c r="BB106" s="57"/>
      <c r="BC106" s="10">
        <v>971432.6000000008</v>
      </c>
      <c r="BD106" s="15">
        <v>0.07421777415883998</v>
      </c>
      <c r="BE106" s="11">
        <v>1490</v>
      </c>
      <c r="BF106" s="15">
        <v>0.10432712505251365</v>
      </c>
      <c r="BG106" s="57"/>
      <c r="BH106" s="56"/>
      <c r="BI106" s="57"/>
      <c r="BJ106" s="10">
        <v>798570.8200000011</v>
      </c>
      <c r="BK106" s="15">
        <v>0.07837527523463551</v>
      </c>
      <c r="BL106" s="11">
        <v>984</v>
      </c>
      <c r="BM106" s="15">
        <v>0.08115463917525773</v>
      </c>
      <c r="BN106" s="57"/>
      <c r="BO106" s="56"/>
      <c r="BP106" s="57"/>
      <c r="BQ106" s="10">
        <v>681099.9100000007</v>
      </c>
      <c r="BR106" s="15">
        <v>0.09928593693409829</v>
      </c>
      <c r="BS106" s="11">
        <v>921</v>
      </c>
      <c r="BT106" s="15">
        <v>0.10835294117647058</v>
      </c>
      <c r="BU106" s="57"/>
      <c r="BV106" s="56"/>
      <c r="BW106" s="57"/>
      <c r="BX106" s="10">
        <v>566696.46</v>
      </c>
      <c r="BY106" s="15">
        <v>0.11388889887039103</v>
      </c>
      <c r="BZ106" s="11">
        <v>817</v>
      </c>
      <c r="CA106" s="15">
        <v>0.13252230332522302</v>
      </c>
      <c r="CB106" s="57"/>
      <c r="CC106" s="56"/>
      <c r="CD106" s="57"/>
      <c r="CE106" s="10">
        <v>479711.28</v>
      </c>
      <c r="CF106" s="15">
        <v>0.02789229444154974</v>
      </c>
      <c r="CG106" s="11">
        <v>778</v>
      </c>
      <c r="CH106" s="15">
        <v>0.040990516332982084</v>
      </c>
      <c r="CI106" s="57"/>
      <c r="CJ106" s="56"/>
      <c r="CK106" s="57"/>
      <c r="CL106" s="10">
        <v>420078.75</v>
      </c>
      <c r="CM106" s="15">
        <v>0.028020162180871725</v>
      </c>
      <c r="CN106" s="11">
        <v>486</v>
      </c>
      <c r="CO106" s="15">
        <v>0.029011461318051577</v>
      </c>
      <c r="CP106" s="57"/>
      <c r="CQ106" s="56"/>
      <c r="CR106" s="57"/>
    </row>
    <row r="107" spans="1:96" ht="12.75">
      <c r="A107" s="25">
        <v>2002</v>
      </c>
      <c r="B107" s="9"/>
      <c r="C107" s="9"/>
      <c r="D107" s="10">
        <v>0</v>
      </c>
      <c r="E107" s="15">
        <v>0</v>
      </c>
      <c r="F107" s="11">
        <v>0</v>
      </c>
      <c r="G107" s="15">
        <v>0</v>
      </c>
      <c r="H107" s="9"/>
      <c r="I107" s="9"/>
      <c r="J107" s="10">
        <v>0</v>
      </c>
      <c r="K107" s="15">
        <v>0</v>
      </c>
      <c r="L107" s="11">
        <v>0</v>
      </c>
      <c r="M107" s="15">
        <v>0</v>
      </c>
      <c r="N107" s="57"/>
      <c r="O107" s="56"/>
      <c r="P107" s="57"/>
      <c r="Q107" s="9"/>
      <c r="R107" s="10">
        <v>3412902.1899999906</v>
      </c>
      <c r="S107" s="15">
        <v>0.4629684280219946</v>
      </c>
      <c r="T107" s="11">
        <v>3817</v>
      </c>
      <c r="U107" s="15">
        <v>0.4130058428911491</v>
      </c>
      <c r="V107" s="57"/>
      <c r="W107" s="56"/>
      <c r="X107" s="57"/>
      <c r="Y107" s="9"/>
      <c r="Z107" s="10">
        <v>5350345.609999983</v>
      </c>
      <c r="AA107" s="15">
        <v>0.67110086041288</v>
      </c>
      <c r="AB107" s="11">
        <v>5984</v>
      </c>
      <c r="AC107" s="15">
        <v>0.6391113959201111</v>
      </c>
      <c r="AD107" s="57"/>
      <c r="AE107" s="56"/>
      <c r="AF107" s="57"/>
      <c r="AG107" s="9"/>
      <c r="AH107" s="10">
        <v>6236286.450000012</v>
      </c>
      <c r="AI107" s="15">
        <v>0.759218873828499</v>
      </c>
      <c r="AJ107" s="11">
        <v>7060</v>
      </c>
      <c r="AK107" s="15">
        <v>0.7693145908248883</v>
      </c>
      <c r="AL107" s="57"/>
      <c r="AM107" s="56"/>
      <c r="AN107" s="57"/>
      <c r="AO107" s="10">
        <v>7858363.79000001</v>
      </c>
      <c r="AP107" s="15">
        <v>0.7690391444391877</v>
      </c>
      <c r="AQ107" s="11">
        <v>8369</v>
      </c>
      <c r="AR107" s="15">
        <v>0.7459001782531194</v>
      </c>
      <c r="AS107" s="57"/>
      <c r="AT107" s="56"/>
      <c r="AU107" s="57"/>
      <c r="AV107" s="10">
        <v>5248520.910000022</v>
      </c>
      <c r="AW107" s="15">
        <v>0.3908738313302542</v>
      </c>
      <c r="AX107" s="11">
        <v>5882</v>
      </c>
      <c r="AY107" s="15">
        <v>0.4220117663940307</v>
      </c>
      <c r="AZ107" s="57"/>
      <c r="BA107" s="56"/>
      <c r="BB107" s="57"/>
      <c r="BC107" s="10">
        <v>3657783.5500000287</v>
      </c>
      <c r="BD107" s="15">
        <v>0.2794558813816027</v>
      </c>
      <c r="BE107" s="11">
        <v>4315</v>
      </c>
      <c r="BF107" s="15">
        <v>0.3021285534238902</v>
      </c>
      <c r="BG107" s="57"/>
      <c r="BH107" s="56"/>
      <c r="BI107" s="57"/>
      <c r="BJ107" s="10">
        <v>2761005.3499999936</v>
      </c>
      <c r="BK107" s="15">
        <v>0.2709772869368685</v>
      </c>
      <c r="BL107" s="11">
        <v>3237</v>
      </c>
      <c r="BM107" s="15">
        <v>0.2669690721649485</v>
      </c>
      <c r="BN107" s="57"/>
      <c r="BO107" s="56"/>
      <c r="BP107" s="57"/>
      <c r="BQ107" s="10">
        <v>2179835.56</v>
      </c>
      <c r="BR107" s="15">
        <v>0.317761040280955</v>
      </c>
      <c r="BS107" s="11">
        <v>2647</v>
      </c>
      <c r="BT107" s="15">
        <v>0.31141176470588233</v>
      </c>
      <c r="BU107" s="57"/>
      <c r="BV107" s="56"/>
      <c r="BW107" s="57"/>
      <c r="BX107" s="10">
        <v>1741016.53</v>
      </c>
      <c r="BY107" s="15">
        <v>0.34989181954100934</v>
      </c>
      <c r="BZ107" s="11">
        <v>2216</v>
      </c>
      <c r="CA107" s="15">
        <v>0.359448499594485</v>
      </c>
      <c r="CB107" s="57"/>
      <c r="CC107" s="56"/>
      <c r="CD107" s="57"/>
      <c r="CE107" s="10">
        <v>1424683.71</v>
      </c>
      <c r="CF107" s="15">
        <v>0.0828366961172968</v>
      </c>
      <c r="CG107" s="11">
        <v>1775</v>
      </c>
      <c r="CH107" s="15">
        <v>0.09351949420442571</v>
      </c>
      <c r="CI107" s="57"/>
      <c r="CJ107" s="56"/>
      <c r="CK107" s="57"/>
      <c r="CL107" s="10">
        <v>1179471.15</v>
      </c>
      <c r="CM107" s="15">
        <v>0.07867327949975882</v>
      </c>
      <c r="CN107" s="11">
        <v>1408</v>
      </c>
      <c r="CO107" s="15">
        <v>0.08404966571155682</v>
      </c>
      <c r="CP107" s="57"/>
      <c r="CQ107" s="56"/>
      <c r="CR107" s="57"/>
    </row>
    <row r="108" spans="1:96" ht="12.75">
      <c r="A108" s="25">
        <v>2003</v>
      </c>
      <c r="B108" s="9"/>
      <c r="C108" s="9"/>
      <c r="D108" s="10"/>
      <c r="E108" s="15"/>
      <c r="F108" s="11"/>
      <c r="G108" s="15"/>
      <c r="H108" s="9"/>
      <c r="I108" s="9"/>
      <c r="J108" s="10"/>
      <c r="K108" s="15"/>
      <c r="L108" s="11"/>
      <c r="M108" s="15"/>
      <c r="N108" s="57"/>
      <c r="O108" s="56"/>
      <c r="P108" s="57"/>
      <c r="Q108" s="9"/>
      <c r="R108" s="10"/>
      <c r="S108" s="15"/>
      <c r="T108" s="11"/>
      <c r="U108" s="15"/>
      <c r="V108" s="57"/>
      <c r="W108" s="56"/>
      <c r="X108" s="57"/>
      <c r="Y108" s="9"/>
      <c r="Z108" s="10"/>
      <c r="AA108" s="15"/>
      <c r="AB108" s="11"/>
      <c r="AC108" s="15"/>
      <c r="AD108" s="57"/>
      <c r="AE108" s="56"/>
      <c r="AF108" s="57"/>
      <c r="AG108" s="9"/>
      <c r="AH108" s="10"/>
      <c r="AI108" s="15"/>
      <c r="AJ108" s="11"/>
      <c r="AK108" s="15"/>
      <c r="AL108" s="57"/>
      <c r="AM108" s="56"/>
      <c r="AN108" s="57"/>
      <c r="AO108" s="10">
        <v>778998.3</v>
      </c>
      <c r="AP108" s="15">
        <v>0.07623472292208307</v>
      </c>
      <c r="AQ108" s="11">
        <v>847</v>
      </c>
      <c r="AR108" s="15">
        <v>0.07549019607843137</v>
      </c>
      <c r="AS108" s="57"/>
      <c r="AT108" s="56"/>
      <c r="AU108" s="57"/>
      <c r="AV108" s="10">
        <v>6946414.50000003</v>
      </c>
      <c r="AW108" s="15">
        <v>0.5173212979774586</v>
      </c>
      <c r="AX108" s="11">
        <v>6457</v>
      </c>
      <c r="AY108" s="15">
        <v>0.46326589180657196</v>
      </c>
      <c r="AZ108" s="57"/>
      <c r="BA108" s="56"/>
      <c r="BB108" s="57"/>
      <c r="BC108" s="10">
        <v>8459732.029999986</v>
      </c>
      <c r="BD108" s="15">
        <v>0.6463263444595574</v>
      </c>
      <c r="BE108" s="11">
        <v>8477</v>
      </c>
      <c r="BF108" s="15">
        <v>0.5935443215235962</v>
      </c>
      <c r="BG108" s="57"/>
      <c r="BH108" s="56"/>
      <c r="BI108" s="57"/>
      <c r="BJ108" s="10">
        <v>6629489.41999997</v>
      </c>
      <c r="BK108" s="15">
        <v>0.650647437828496</v>
      </c>
      <c r="BL108" s="11">
        <v>7904</v>
      </c>
      <c r="BM108" s="15">
        <v>0.6518762886597939</v>
      </c>
      <c r="BN108" s="57"/>
      <c r="BO108" s="56"/>
      <c r="BP108" s="57"/>
      <c r="BQ108" s="10">
        <v>3999048.239999988</v>
      </c>
      <c r="BR108" s="15">
        <v>0.5829530227849467</v>
      </c>
      <c r="BS108" s="11">
        <v>4932</v>
      </c>
      <c r="BT108" s="15">
        <v>0.5802352941176471</v>
      </c>
      <c r="BU108" s="57"/>
      <c r="BV108" s="56"/>
      <c r="BW108" s="57"/>
      <c r="BX108" s="10">
        <v>2668157.9300000067</v>
      </c>
      <c r="BY108" s="15">
        <v>0.5362192815885997</v>
      </c>
      <c r="BZ108" s="11">
        <v>3132</v>
      </c>
      <c r="CA108" s="15">
        <v>0.5080291970802919</v>
      </c>
      <c r="CB108" s="57"/>
      <c r="CC108" s="56"/>
      <c r="CD108" s="57"/>
      <c r="CE108" s="10">
        <v>3460762.3600000083</v>
      </c>
      <c r="CF108" s="15">
        <v>0.20122229091080113</v>
      </c>
      <c r="CG108" s="11">
        <v>4411</v>
      </c>
      <c r="CH108" s="15">
        <v>0.23240252897787145</v>
      </c>
      <c r="CI108" s="57"/>
      <c r="CJ108" s="56"/>
      <c r="CK108" s="57"/>
      <c r="CL108" s="10">
        <v>2399050.69</v>
      </c>
      <c r="CM108" s="15">
        <v>0.16002187545533353</v>
      </c>
      <c r="CN108" s="11">
        <v>2887</v>
      </c>
      <c r="CO108" s="15">
        <v>0.17233763132760269</v>
      </c>
      <c r="CP108" s="57"/>
      <c r="CQ108" s="56"/>
      <c r="CR108" s="57"/>
    </row>
    <row r="109" spans="1:96" ht="12.75">
      <c r="A109" s="25">
        <v>2004</v>
      </c>
      <c r="B109" s="9"/>
      <c r="C109" s="9"/>
      <c r="D109" s="10"/>
      <c r="E109" s="15"/>
      <c r="F109" s="11"/>
      <c r="G109" s="15"/>
      <c r="H109" s="9"/>
      <c r="I109" s="9"/>
      <c r="J109" s="10"/>
      <c r="K109" s="15"/>
      <c r="L109" s="11"/>
      <c r="M109" s="15"/>
      <c r="N109" s="57"/>
      <c r="O109" s="56"/>
      <c r="P109" s="57"/>
      <c r="Q109" s="9"/>
      <c r="R109" s="10"/>
      <c r="S109" s="15"/>
      <c r="T109" s="11"/>
      <c r="U109" s="15"/>
      <c r="V109" s="57"/>
      <c r="W109" s="56"/>
      <c r="X109" s="57"/>
      <c r="Y109" s="9"/>
      <c r="Z109" s="10"/>
      <c r="AA109" s="15"/>
      <c r="AB109" s="11"/>
      <c r="AC109" s="15"/>
      <c r="AD109" s="57"/>
      <c r="AE109" s="56"/>
      <c r="AF109" s="57"/>
      <c r="AG109" s="9"/>
      <c r="AH109" s="10"/>
      <c r="AI109" s="15"/>
      <c r="AJ109" s="11"/>
      <c r="AK109" s="15"/>
      <c r="AL109" s="57"/>
      <c r="AM109" s="56"/>
      <c r="AN109" s="57"/>
      <c r="AO109" s="10"/>
      <c r="AP109" s="15"/>
      <c r="AQ109" s="11"/>
      <c r="AR109" s="15"/>
      <c r="AS109" s="57"/>
      <c r="AT109" s="56"/>
      <c r="AU109" s="57"/>
      <c r="AV109" s="10"/>
      <c r="AW109" s="15"/>
      <c r="AX109" s="11"/>
      <c r="AY109" s="15"/>
      <c r="AZ109" s="57"/>
      <c r="BA109" s="56"/>
      <c r="BB109" s="57"/>
      <c r="BC109" s="10"/>
      <c r="BD109" s="15"/>
      <c r="BE109" s="11"/>
      <c r="BF109" s="15"/>
      <c r="BG109" s="57"/>
      <c r="BH109" s="56"/>
      <c r="BI109" s="57"/>
      <c r="BJ109" s="10"/>
      <c r="BK109" s="15"/>
      <c r="BL109" s="11"/>
      <c r="BM109" s="15"/>
      <c r="BN109" s="57"/>
      <c r="BO109" s="56"/>
      <c r="BP109" s="57"/>
      <c r="BQ109" s="10"/>
      <c r="BR109" s="15"/>
      <c r="BS109" s="11"/>
      <c r="BT109" s="15"/>
      <c r="BU109" s="57"/>
      <c r="BV109" s="56"/>
      <c r="BW109" s="57"/>
      <c r="BX109" s="10"/>
      <c r="BY109" s="15"/>
      <c r="BZ109" s="11"/>
      <c r="CA109" s="15"/>
      <c r="CB109" s="57"/>
      <c r="CC109" s="56"/>
      <c r="CD109" s="57"/>
      <c r="CE109" s="10">
        <v>11833545.360000012</v>
      </c>
      <c r="CF109" s="15">
        <v>0.6880487185303522</v>
      </c>
      <c r="CG109" s="11">
        <v>12016</v>
      </c>
      <c r="CH109" s="15">
        <v>0.6330874604847208</v>
      </c>
      <c r="CI109" s="57"/>
      <c r="CJ109" s="56"/>
      <c r="CK109" s="57"/>
      <c r="CL109" s="10">
        <v>10993416.490000032</v>
      </c>
      <c r="CM109" s="15">
        <v>0.7332846828640359</v>
      </c>
      <c r="CN109" s="11">
        <v>11971</v>
      </c>
      <c r="CO109" s="15">
        <v>0.7146012416427889</v>
      </c>
      <c r="CP109" s="57"/>
      <c r="CQ109" s="56"/>
      <c r="CR109" s="57"/>
    </row>
    <row r="110" spans="1:96" ht="12.75">
      <c r="A110" s="9"/>
      <c r="B110" s="9"/>
      <c r="C110" s="9"/>
      <c r="D110" s="10"/>
      <c r="E110" s="9"/>
      <c r="F110" s="11"/>
      <c r="G110" s="9"/>
      <c r="H110" s="9"/>
      <c r="I110" s="9"/>
      <c r="J110" s="10"/>
      <c r="K110" s="9"/>
      <c r="L110" s="11"/>
      <c r="M110" s="9"/>
      <c r="N110" s="55"/>
      <c r="O110" s="56"/>
      <c r="P110" s="55"/>
      <c r="Q110" s="9"/>
      <c r="R110" s="10"/>
      <c r="S110" s="9"/>
      <c r="T110" s="11"/>
      <c r="U110" s="9"/>
      <c r="V110" s="55"/>
      <c r="W110" s="56"/>
      <c r="X110" s="55"/>
      <c r="Y110" s="9"/>
      <c r="Z110" s="10"/>
      <c r="AA110" s="9"/>
      <c r="AB110" s="11"/>
      <c r="AC110" s="9"/>
      <c r="AD110" s="55"/>
      <c r="AE110" s="56"/>
      <c r="AF110" s="55"/>
      <c r="AG110" s="9"/>
      <c r="AH110" s="10"/>
      <c r="AI110" s="9"/>
      <c r="AJ110" s="11"/>
      <c r="AK110" s="9"/>
      <c r="AL110" s="55"/>
      <c r="AM110" s="56"/>
      <c r="AN110" s="55"/>
      <c r="AO110" s="10"/>
      <c r="AP110" s="9"/>
      <c r="AQ110" s="11"/>
      <c r="AR110" s="9"/>
      <c r="AS110" s="55"/>
      <c r="AT110" s="56"/>
      <c r="AU110" s="55"/>
      <c r="AV110" s="10"/>
      <c r="AW110" s="9"/>
      <c r="AX110" s="11"/>
      <c r="AY110" s="9"/>
      <c r="AZ110" s="55"/>
      <c r="BA110" s="56"/>
      <c r="BB110" s="55"/>
      <c r="BC110" s="10"/>
      <c r="BD110" s="9"/>
      <c r="BE110" s="11"/>
      <c r="BF110" s="9"/>
      <c r="BG110" s="55"/>
      <c r="BH110" s="56"/>
      <c r="BI110" s="55"/>
      <c r="BJ110" s="10"/>
      <c r="BK110" s="9"/>
      <c r="BL110" s="11"/>
      <c r="BM110" s="9"/>
      <c r="BN110" s="55"/>
      <c r="BO110" s="56"/>
      <c r="BP110" s="55"/>
      <c r="BQ110" s="10"/>
      <c r="BR110" s="9"/>
      <c r="BS110" s="11"/>
      <c r="BT110" s="9"/>
      <c r="BU110" s="55"/>
      <c r="BV110" s="56"/>
      <c r="BW110" s="55"/>
      <c r="BX110" s="10"/>
      <c r="BY110" s="9"/>
      <c r="BZ110" s="11"/>
      <c r="CA110" s="9"/>
      <c r="CB110" s="55"/>
      <c r="CC110" s="56"/>
      <c r="CD110" s="55"/>
      <c r="CE110" s="10"/>
      <c r="CF110" s="9"/>
      <c r="CG110" s="11"/>
      <c r="CH110" s="9"/>
      <c r="CI110" s="55"/>
      <c r="CJ110" s="56"/>
      <c r="CK110" s="55"/>
      <c r="CL110" s="10"/>
      <c r="CM110" s="9"/>
      <c r="CN110" s="11"/>
      <c r="CO110" s="9"/>
      <c r="CP110" s="55"/>
      <c r="CQ110" s="56"/>
      <c r="CR110" s="55"/>
    </row>
    <row r="111" spans="1:96" ht="13.5" thickBot="1">
      <c r="A111" s="9"/>
      <c r="B111" s="13"/>
      <c r="C111" s="13"/>
      <c r="D111" s="22">
        <f>SUM(D101:D110)</f>
        <v>8879208.900000004</v>
      </c>
      <c r="E111" s="13"/>
      <c r="F111" s="23">
        <f>SUM(F101:F110)</f>
        <v>7395</v>
      </c>
      <c r="G111" s="13"/>
      <c r="H111" s="9"/>
      <c r="I111" s="9"/>
      <c r="J111" s="22">
        <f>SUM(J101:J106)</f>
        <v>5975532.919999984</v>
      </c>
      <c r="K111" s="13"/>
      <c r="L111" s="23">
        <f>SUM(L101:L106)</f>
        <v>6911</v>
      </c>
      <c r="M111" s="13"/>
      <c r="N111" s="54"/>
      <c r="O111" s="32"/>
      <c r="P111" s="54"/>
      <c r="Q111" s="9"/>
      <c r="R111" s="22">
        <f>SUM(R101:R107)</f>
        <v>7371781.709999998</v>
      </c>
      <c r="S111" s="13"/>
      <c r="T111" s="23">
        <f>SUM(T101:T107)</f>
        <v>9242</v>
      </c>
      <c r="U111" s="13"/>
      <c r="V111" s="54"/>
      <c r="W111" s="32"/>
      <c r="X111" s="54"/>
      <c r="Y111" s="9"/>
      <c r="Z111" s="22">
        <f>SUM(Z101:Z107)</f>
        <v>7972491.059999983</v>
      </c>
      <c r="AA111" s="13"/>
      <c r="AB111" s="23">
        <f>SUM(AB101:AB107)</f>
        <v>9363</v>
      </c>
      <c r="AC111" s="13"/>
      <c r="AD111" s="54"/>
      <c r="AE111" s="32"/>
      <c r="AF111" s="54"/>
      <c r="AG111" s="9"/>
      <c r="AH111" s="22">
        <f>SUM(AH101:AH107)</f>
        <v>8214082.480000013</v>
      </c>
      <c r="AI111" s="13"/>
      <c r="AJ111" s="23">
        <f>SUM(AJ101:AJ107)</f>
        <v>9177</v>
      </c>
      <c r="AK111" s="13"/>
      <c r="AL111" s="54"/>
      <c r="AM111" s="32"/>
      <c r="AN111" s="54"/>
      <c r="AO111" s="22">
        <f>SUM(AO101:AO108)</f>
        <v>10218418.460000012</v>
      </c>
      <c r="AP111" s="13"/>
      <c r="AQ111" s="23">
        <f>SUM(AQ101:AQ108)</f>
        <v>11220</v>
      </c>
      <c r="AR111" s="13"/>
      <c r="AS111" s="54"/>
      <c r="AT111" s="32"/>
      <c r="AU111" s="54"/>
      <c r="AV111" s="22">
        <f>SUM(AV101:AV108)</f>
        <v>13427660.000000052</v>
      </c>
      <c r="AW111" s="13"/>
      <c r="AX111" s="23">
        <f>SUM(AX101:AX108)</f>
        <v>13938</v>
      </c>
      <c r="AY111" s="13"/>
      <c r="AZ111" s="54"/>
      <c r="BA111" s="32"/>
      <c r="BB111" s="54"/>
      <c r="BC111" s="22">
        <f>SUM(BC101:BC108)</f>
        <v>13088948.180000015</v>
      </c>
      <c r="BD111" s="13"/>
      <c r="BE111" s="23">
        <f>SUM(BE101:BE108)</f>
        <v>14282</v>
      </c>
      <c r="BF111" s="13"/>
      <c r="BG111" s="54"/>
      <c r="BH111" s="32"/>
      <c r="BI111" s="54"/>
      <c r="BJ111" s="22">
        <f>SUM(BJ101:BJ108)</f>
        <v>10189065.589999964</v>
      </c>
      <c r="BK111" s="13"/>
      <c r="BL111" s="23">
        <f>SUM(BL101:BL108)</f>
        <v>12125</v>
      </c>
      <c r="BM111" s="13"/>
      <c r="BN111" s="54"/>
      <c r="BO111" s="32"/>
      <c r="BP111" s="54"/>
      <c r="BQ111" s="22">
        <f>SUM(BQ101:BQ108)</f>
        <v>6859983.709999989</v>
      </c>
      <c r="BR111" s="13"/>
      <c r="BS111" s="23">
        <f>SUM(BS101:BS108)</f>
        <v>8500</v>
      </c>
      <c r="BT111" s="13"/>
      <c r="BU111" s="54"/>
      <c r="BV111" s="32"/>
      <c r="BW111" s="54"/>
      <c r="BX111" s="22">
        <f>SUM(BX101:BX108)</f>
        <v>4975870.920000007</v>
      </c>
      <c r="BY111" s="13"/>
      <c r="BZ111" s="23">
        <f>SUM(BZ101:BZ108)</f>
        <v>6165</v>
      </c>
      <c r="CA111" s="13"/>
      <c r="CB111" s="54"/>
      <c r="CC111" s="32"/>
      <c r="CD111" s="54"/>
      <c r="CE111" s="22">
        <f>SUM(CE101:CE109)</f>
        <v>17198702.71000002</v>
      </c>
      <c r="CF111" s="13"/>
      <c r="CG111" s="23">
        <f>SUM(CG101:CG109)</f>
        <v>18980</v>
      </c>
      <c r="CH111" s="13"/>
      <c r="CI111" s="54"/>
      <c r="CJ111" s="32"/>
      <c r="CK111" s="54"/>
      <c r="CL111" s="22">
        <f>SUM(CL101:CL109)</f>
        <v>14992017.080000032</v>
      </c>
      <c r="CM111" s="13"/>
      <c r="CN111" s="23">
        <f>SUM(CN101:CN109)</f>
        <v>16752</v>
      </c>
      <c r="CO111" s="13"/>
      <c r="CP111" s="54"/>
      <c r="CQ111" s="32"/>
      <c r="CR111" s="54"/>
    </row>
    <row r="112" spans="1:96" ht="13.5" thickTop="1">
      <c r="A112" s="9"/>
      <c r="B112" s="9"/>
      <c r="C112" s="9"/>
      <c r="D112" s="11"/>
      <c r="E112" s="9"/>
      <c r="F112" s="11"/>
      <c r="G112" s="9"/>
      <c r="H112" s="9"/>
      <c r="I112" s="9"/>
      <c r="J112" s="9"/>
      <c r="K112" s="9"/>
      <c r="L112" s="9"/>
      <c r="M112" s="11"/>
      <c r="N112" s="9"/>
      <c r="O112" s="11"/>
      <c r="P112" s="9"/>
      <c r="Q112" s="9"/>
      <c r="R112" s="9"/>
      <c r="S112" s="9"/>
      <c r="T112" s="9"/>
      <c r="U112" s="11"/>
      <c r="V112" s="9"/>
      <c r="W112" s="11"/>
      <c r="X112" s="9"/>
      <c r="Y112" s="9"/>
      <c r="Z112" s="9"/>
      <c r="AA112" s="9"/>
      <c r="AB112" s="9"/>
      <c r="AC112" s="11"/>
      <c r="AD112" s="9"/>
      <c r="AE112" s="11"/>
      <c r="AF112" s="9"/>
      <c r="AG112" s="9"/>
      <c r="AH112" s="9"/>
      <c r="AI112" s="9"/>
      <c r="AJ112" s="9"/>
      <c r="AK112" s="11"/>
      <c r="AL112" s="9"/>
      <c r="AM112" s="11"/>
      <c r="AN112" s="9"/>
      <c r="AO112" s="9"/>
      <c r="AP112" s="9"/>
      <c r="AQ112" s="9"/>
      <c r="AR112" s="11"/>
      <c r="AS112" s="9"/>
      <c r="AT112" s="11"/>
      <c r="AU112" s="9"/>
      <c r="AV112" s="9"/>
      <c r="AW112" s="9"/>
      <c r="AX112" s="9"/>
      <c r="AY112" s="11"/>
      <c r="AZ112" s="9"/>
      <c r="BA112" s="11"/>
      <c r="BB112" s="9"/>
      <c r="BC112" s="9"/>
      <c r="BD112" s="9"/>
      <c r="BE112" s="9"/>
      <c r="BF112" s="11"/>
      <c r="BG112" s="9"/>
      <c r="BH112" s="11"/>
      <c r="BI112" s="9"/>
      <c r="BJ112" s="9"/>
      <c r="BK112" s="9"/>
      <c r="BL112" s="9"/>
      <c r="BM112" s="11"/>
      <c r="BN112" s="9"/>
      <c r="BO112" s="11"/>
      <c r="BP112" s="9"/>
      <c r="BQ112" s="9"/>
      <c r="BR112" s="9"/>
      <c r="BS112" s="9"/>
      <c r="BT112" s="11"/>
      <c r="BU112" s="9"/>
      <c r="BV112" s="11"/>
      <c r="BW112" s="9"/>
      <c r="BX112" s="9"/>
      <c r="BY112" s="9"/>
      <c r="BZ112" s="9"/>
      <c r="CA112" s="11"/>
      <c r="CB112" s="9"/>
      <c r="CC112" s="11"/>
      <c r="CD112" s="9"/>
      <c r="CE112" s="9"/>
      <c r="CF112" s="9"/>
      <c r="CG112" s="9"/>
      <c r="CH112" s="11"/>
      <c r="CI112" s="9"/>
      <c r="CJ112" s="11"/>
      <c r="CK112" s="9"/>
      <c r="CL112" s="9"/>
      <c r="CM112" s="9"/>
      <c r="CN112" s="9"/>
      <c r="CO112" s="11"/>
      <c r="CP112" s="9"/>
      <c r="CQ112" s="11"/>
      <c r="CR112" s="9"/>
    </row>
    <row r="113" spans="1:96" ht="12.75">
      <c r="A113" s="9"/>
      <c r="B113" s="9"/>
      <c r="C113" s="9"/>
      <c r="D113" s="10"/>
      <c r="E113" s="9"/>
      <c r="F113" s="11"/>
      <c r="G113" s="9"/>
      <c r="H113" s="9"/>
      <c r="I113" s="9"/>
      <c r="J113" s="9"/>
      <c r="K113" s="9"/>
      <c r="L113" s="9"/>
      <c r="M113" s="10"/>
      <c r="N113" s="9"/>
      <c r="O113" s="11"/>
      <c r="P113" s="9"/>
      <c r="Q113" s="9"/>
      <c r="R113" s="9"/>
      <c r="S113" s="9"/>
      <c r="T113" s="9"/>
      <c r="U113" s="10"/>
      <c r="V113" s="9"/>
      <c r="W113" s="11"/>
      <c r="X113" s="9"/>
      <c r="Y113" s="9"/>
      <c r="Z113" s="9"/>
      <c r="AA113" s="9"/>
      <c r="AB113" s="9"/>
      <c r="AC113" s="10"/>
      <c r="AD113" s="9"/>
      <c r="AE113" s="11"/>
      <c r="AF113" s="9"/>
      <c r="AG113" s="9"/>
      <c r="AH113" s="9"/>
      <c r="AI113" s="9"/>
      <c r="AJ113" s="9"/>
      <c r="AK113" s="10"/>
      <c r="AL113" s="9"/>
      <c r="AM113" s="11"/>
      <c r="AN113" s="9"/>
      <c r="AO113" s="9"/>
      <c r="AP113" s="9"/>
      <c r="AQ113" s="9"/>
      <c r="AR113" s="10"/>
      <c r="AS113" s="9"/>
      <c r="AT113" s="11"/>
      <c r="AU113" s="9"/>
      <c r="AV113" s="9"/>
      <c r="AW113" s="9"/>
      <c r="AX113" s="9"/>
      <c r="AY113" s="10"/>
      <c r="AZ113" s="9"/>
      <c r="BA113" s="11"/>
      <c r="BB113" s="9"/>
      <c r="BC113" s="9"/>
      <c r="BD113" s="9"/>
      <c r="BE113" s="9"/>
      <c r="BF113" s="10"/>
      <c r="BG113" s="9"/>
      <c r="BH113" s="11"/>
      <c r="BI113" s="9"/>
      <c r="BJ113" s="9"/>
      <c r="BK113" s="9"/>
      <c r="BL113" s="9"/>
      <c r="BM113" s="10"/>
      <c r="BN113" s="9"/>
      <c r="BO113" s="11"/>
      <c r="BP113" s="9"/>
      <c r="BQ113" s="9"/>
      <c r="BR113" s="9"/>
      <c r="BS113" s="9"/>
      <c r="BT113" s="10"/>
      <c r="BU113" s="9"/>
      <c r="BV113" s="11"/>
      <c r="BW113" s="9"/>
      <c r="BX113" s="9"/>
      <c r="BY113" s="9"/>
      <c r="BZ113" s="9"/>
      <c r="CA113" s="10"/>
      <c r="CB113" s="9"/>
      <c r="CC113" s="11"/>
      <c r="CD113" s="9"/>
      <c r="CE113" s="9"/>
      <c r="CF113" s="9"/>
      <c r="CG113" s="9"/>
      <c r="CH113" s="10"/>
      <c r="CI113" s="9"/>
      <c r="CJ113" s="11"/>
      <c r="CK113" s="9"/>
      <c r="CL113" s="9"/>
      <c r="CM113" s="9"/>
      <c r="CN113" s="9"/>
      <c r="CO113" s="10"/>
      <c r="CP113" s="9"/>
      <c r="CQ113" s="11"/>
      <c r="CR113" s="9"/>
    </row>
    <row r="114" spans="1:96" ht="12.75">
      <c r="A114" s="13"/>
      <c r="B114" s="9"/>
      <c r="C114" s="9"/>
      <c r="D114" s="10"/>
      <c r="E114" s="9"/>
      <c r="F114" s="11"/>
      <c r="G114" s="9"/>
      <c r="H114" s="9"/>
      <c r="I114" s="9"/>
      <c r="J114" s="70"/>
      <c r="K114" s="55"/>
      <c r="L114" s="55"/>
      <c r="M114" s="64"/>
      <c r="N114" s="55"/>
      <c r="O114" s="56"/>
      <c r="P114" s="55"/>
      <c r="Q114" s="9"/>
      <c r="R114" s="70"/>
      <c r="S114" s="55"/>
      <c r="T114" s="55"/>
      <c r="U114" s="64"/>
      <c r="V114" s="55"/>
      <c r="W114" s="56"/>
      <c r="X114" s="55"/>
      <c r="Y114" s="9"/>
      <c r="Z114" s="70"/>
      <c r="AA114" s="55"/>
      <c r="AB114" s="55"/>
      <c r="AC114" s="64"/>
      <c r="AD114" s="55"/>
      <c r="AE114" s="56"/>
      <c r="AF114" s="55"/>
      <c r="AG114" s="9"/>
      <c r="AH114" s="70"/>
      <c r="AI114" s="55"/>
      <c r="AJ114" s="55"/>
      <c r="AK114" s="64"/>
      <c r="AL114" s="55"/>
      <c r="AM114" s="56"/>
      <c r="AN114" s="55"/>
      <c r="AO114" s="70"/>
      <c r="AP114" s="55"/>
      <c r="AQ114" s="55"/>
      <c r="AR114" s="64"/>
      <c r="AS114" s="55"/>
      <c r="AT114" s="56"/>
      <c r="AU114" s="55"/>
      <c r="AV114" s="70"/>
      <c r="AW114" s="55"/>
      <c r="AX114" s="55"/>
      <c r="AY114" s="64"/>
      <c r="AZ114" s="55"/>
      <c r="BA114" s="56"/>
      <c r="BB114" s="55"/>
      <c r="BC114" s="70"/>
      <c r="BD114" s="55"/>
      <c r="BE114" s="55"/>
      <c r="BF114" s="64"/>
      <c r="BG114" s="55"/>
      <c r="BH114" s="56"/>
      <c r="BI114" s="55"/>
      <c r="BJ114" s="70"/>
      <c r="BK114" s="55"/>
      <c r="BL114" s="55"/>
      <c r="BM114" s="64"/>
      <c r="BN114" s="55"/>
      <c r="BO114" s="56"/>
      <c r="BP114" s="55"/>
      <c r="BQ114" s="70"/>
      <c r="BR114" s="55"/>
      <c r="BS114" s="55"/>
      <c r="BT114" s="64"/>
      <c r="BU114" s="55"/>
      <c r="BV114" s="56"/>
      <c r="BW114" s="55"/>
      <c r="BX114" s="70"/>
      <c r="BY114" s="55"/>
      <c r="BZ114" s="55"/>
      <c r="CA114" s="64"/>
      <c r="CB114" s="55"/>
      <c r="CC114" s="56"/>
      <c r="CD114" s="55"/>
      <c r="CE114" s="70"/>
      <c r="CF114" s="55"/>
      <c r="CG114" s="55"/>
      <c r="CH114" s="64"/>
      <c r="CI114" s="55"/>
      <c r="CJ114" s="56"/>
      <c r="CK114" s="55"/>
      <c r="CL114" s="70"/>
      <c r="CM114" s="55"/>
      <c r="CN114" s="55"/>
      <c r="CO114" s="64"/>
      <c r="CP114" s="55"/>
      <c r="CQ114" s="56"/>
      <c r="CR114" s="55"/>
    </row>
    <row r="115" spans="1:96" ht="12.75">
      <c r="A115" s="9"/>
      <c r="B115" s="9"/>
      <c r="C115" s="9"/>
      <c r="D115" s="10"/>
      <c r="E115" s="9"/>
      <c r="F115" s="11"/>
      <c r="G115" s="9"/>
      <c r="H115" s="9"/>
      <c r="I115" s="9"/>
      <c r="J115" s="70"/>
      <c r="K115" s="55"/>
      <c r="L115" s="55"/>
      <c r="M115" s="64"/>
      <c r="N115" s="55"/>
      <c r="O115" s="56"/>
      <c r="P115" s="55"/>
      <c r="Q115" s="9"/>
      <c r="R115" s="70"/>
      <c r="S115" s="55"/>
      <c r="T115" s="55"/>
      <c r="U115" s="64"/>
      <c r="V115" s="55"/>
      <c r="W115" s="56"/>
      <c r="X115" s="55"/>
      <c r="Y115" s="9"/>
      <c r="Z115" s="70"/>
      <c r="AA115" s="55"/>
      <c r="AB115" s="55"/>
      <c r="AC115" s="64"/>
      <c r="AD115" s="55"/>
      <c r="AE115" s="56"/>
      <c r="AF115" s="55"/>
      <c r="AG115" s="9"/>
      <c r="AH115" s="70"/>
      <c r="AI115" s="55"/>
      <c r="AJ115" s="55"/>
      <c r="AK115" s="64"/>
      <c r="AL115" s="55"/>
      <c r="AM115" s="56"/>
      <c r="AN115" s="55"/>
      <c r="AO115" s="70"/>
      <c r="AP115" s="55"/>
      <c r="AQ115" s="55"/>
      <c r="AR115" s="64"/>
      <c r="AS115" s="55"/>
      <c r="AT115" s="56"/>
      <c r="AU115" s="55"/>
      <c r="AV115" s="70"/>
      <c r="AW115" s="55"/>
      <c r="AX115" s="55"/>
      <c r="AY115" s="64"/>
      <c r="AZ115" s="55"/>
      <c r="BA115" s="56"/>
      <c r="BB115" s="55"/>
      <c r="BC115" s="70"/>
      <c r="BD115" s="55"/>
      <c r="BE115" s="55"/>
      <c r="BF115" s="64"/>
      <c r="BG115" s="55"/>
      <c r="BH115" s="56"/>
      <c r="BI115" s="55"/>
      <c r="BJ115" s="70"/>
      <c r="BK115" s="55"/>
      <c r="BL115" s="55"/>
      <c r="BM115" s="64"/>
      <c r="BN115" s="55"/>
      <c r="BO115" s="56"/>
      <c r="BP115" s="55"/>
      <c r="BQ115" s="70"/>
      <c r="BR115" s="55"/>
      <c r="BS115" s="55"/>
      <c r="BT115" s="64"/>
      <c r="BU115" s="55"/>
      <c r="BV115" s="56"/>
      <c r="BW115" s="55"/>
      <c r="BX115" s="70"/>
      <c r="BY115" s="55"/>
      <c r="BZ115" s="55"/>
      <c r="CA115" s="64"/>
      <c r="CB115" s="55"/>
      <c r="CC115" s="56"/>
      <c r="CD115" s="55"/>
      <c r="CE115" s="70"/>
      <c r="CF115" s="55"/>
      <c r="CG115" s="55"/>
      <c r="CH115" s="64"/>
      <c r="CI115" s="55"/>
      <c r="CJ115" s="56"/>
      <c r="CK115" s="55"/>
      <c r="CL115" s="70"/>
      <c r="CM115" s="55"/>
      <c r="CN115" s="55"/>
      <c r="CO115" s="64"/>
      <c r="CP115" s="55"/>
      <c r="CQ115" s="56"/>
      <c r="CR115" s="55"/>
    </row>
    <row r="116" spans="1:96" ht="12.75">
      <c r="A116" s="20" t="s">
        <v>111</v>
      </c>
      <c r="B116" s="9"/>
      <c r="C116" s="9"/>
      <c r="D116" s="10"/>
      <c r="E116" s="9"/>
      <c r="F116" s="11"/>
      <c r="G116" s="9"/>
      <c r="H116" s="9"/>
      <c r="I116" s="9"/>
      <c r="J116" s="20" t="s">
        <v>111</v>
      </c>
      <c r="K116" s="9"/>
      <c r="L116" s="9"/>
      <c r="M116" s="10"/>
      <c r="N116" s="9"/>
      <c r="O116" s="11"/>
      <c r="P116" s="9"/>
      <c r="Q116" s="9"/>
      <c r="R116" s="20" t="s">
        <v>111</v>
      </c>
      <c r="S116" s="9"/>
      <c r="T116" s="9"/>
      <c r="U116" s="10"/>
      <c r="V116" s="9"/>
      <c r="W116" s="11"/>
      <c r="X116" s="9"/>
      <c r="Y116" s="9"/>
      <c r="Z116" s="20" t="s">
        <v>111</v>
      </c>
      <c r="AA116" s="9"/>
      <c r="AB116" s="9"/>
      <c r="AC116" s="10"/>
      <c r="AD116" s="9"/>
      <c r="AE116" s="11"/>
      <c r="AF116" s="9"/>
      <c r="AG116" s="9"/>
      <c r="AH116" s="20" t="s">
        <v>111</v>
      </c>
      <c r="AI116" s="9"/>
      <c r="AJ116" s="9"/>
      <c r="AK116" s="10"/>
      <c r="AL116" s="9"/>
      <c r="AM116" s="11"/>
      <c r="AN116" s="9"/>
      <c r="AO116" s="20" t="s">
        <v>111</v>
      </c>
      <c r="AP116" s="9"/>
      <c r="AQ116" s="9"/>
      <c r="AR116" s="10"/>
      <c r="AS116" s="9"/>
      <c r="AT116" s="11"/>
      <c r="AU116" s="9"/>
      <c r="AV116" s="20" t="s">
        <v>111</v>
      </c>
      <c r="AW116" s="9"/>
      <c r="AX116" s="9"/>
      <c r="AY116" s="10"/>
      <c r="AZ116" s="9"/>
      <c r="BA116" s="11"/>
      <c r="BB116" s="9"/>
      <c r="BC116" s="20" t="s">
        <v>111</v>
      </c>
      <c r="BD116" s="9"/>
      <c r="BE116" s="9"/>
      <c r="BF116" s="10"/>
      <c r="BG116" s="9"/>
      <c r="BH116" s="11"/>
      <c r="BI116" s="9"/>
      <c r="BJ116" s="20" t="s">
        <v>111</v>
      </c>
      <c r="BK116" s="9"/>
      <c r="BL116" s="9"/>
      <c r="BM116" s="10"/>
      <c r="BN116" s="9"/>
      <c r="BO116" s="11"/>
      <c r="BP116" s="9"/>
      <c r="BQ116" s="20" t="s">
        <v>111</v>
      </c>
      <c r="BR116" s="9"/>
      <c r="BS116" s="9"/>
      <c r="BT116" s="10"/>
      <c r="BU116" s="9"/>
      <c r="BV116" s="11"/>
      <c r="BW116" s="9"/>
      <c r="BX116" s="20" t="s">
        <v>111</v>
      </c>
      <c r="BY116" s="9"/>
      <c r="BZ116" s="9"/>
      <c r="CA116" s="10"/>
      <c r="CB116" s="9"/>
      <c r="CC116" s="11"/>
      <c r="CD116" s="9"/>
      <c r="CE116" s="20" t="s">
        <v>111</v>
      </c>
      <c r="CF116" s="9"/>
      <c r="CG116" s="9"/>
      <c r="CH116" s="10"/>
      <c r="CI116" s="9"/>
      <c r="CJ116" s="11"/>
      <c r="CK116" s="9"/>
      <c r="CL116" s="20" t="s">
        <v>111</v>
      </c>
      <c r="CM116" s="9"/>
      <c r="CN116" s="9"/>
      <c r="CO116" s="10"/>
      <c r="CP116" s="9"/>
      <c r="CQ116" s="11"/>
      <c r="CR116" s="9"/>
    </row>
    <row r="117" spans="1:96" s="1" customFormat="1" ht="12.75">
      <c r="A117" s="20"/>
      <c r="B117" s="9"/>
      <c r="C117" s="9"/>
      <c r="D117" s="10"/>
      <c r="E117" s="9"/>
      <c r="F117" s="11"/>
      <c r="G117" s="9"/>
      <c r="H117" s="13"/>
      <c r="I117" s="13"/>
      <c r="J117" s="20"/>
      <c r="K117" s="9"/>
      <c r="L117" s="9"/>
      <c r="M117" s="10"/>
      <c r="N117" s="9"/>
      <c r="O117" s="11"/>
      <c r="P117" s="9"/>
      <c r="Q117" s="13"/>
      <c r="R117" s="20"/>
      <c r="S117" s="9"/>
      <c r="T117" s="9"/>
      <c r="U117" s="10"/>
      <c r="V117" s="9"/>
      <c r="W117" s="11"/>
      <c r="X117" s="9"/>
      <c r="Y117" s="13"/>
      <c r="Z117" s="20"/>
      <c r="AA117" s="9"/>
      <c r="AB117" s="9"/>
      <c r="AC117" s="10"/>
      <c r="AD117" s="9"/>
      <c r="AE117" s="11"/>
      <c r="AF117" s="9"/>
      <c r="AG117" s="13"/>
      <c r="AH117" s="20"/>
      <c r="AI117" s="9"/>
      <c r="AJ117" s="9"/>
      <c r="AK117" s="10"/>
      <c r="AL117" s="9"/>
      <c r="AM117" s="11"/>
      <c r="AN117" s="9"/>
      <c r="AO117" s="20"/>
      <c r="AP117" s="9"/>
      <c r="AQ117" s="9"/>
      <c r="AR117" s="10"/>
      <c r="AS117" s="9"/>
      <c r="AT117" s="11"/>
      <c r="AU117" s="9"/>
      <c r="AV117" s="20"/>
      <c r="AW117" s="9"/>
      <c r="AX117" s="9"/>
      <c r="AY117" s="10"/>
      <c r="AZ117" s="9"/>
      <c r="BA117" s="11"/>
      <c r="BB117" s="9"/>
      <c r="BC117" s="20"/>
      <c r="BD117" s="9"/>
      <c r="BE117" s="9"/>
      <c r="BF117" s="10"/>
      <c r="BG117" s="9"/>
      <c r="BH117" s="11"/>
      <c r="BI117" s="9"/>
      <c r="BJ117" s="20"/>
      <c r="BK117" s="9"/>
      <c r="BL117" s="9"/>
      <c r="BM117" s="10"/>
      <c r="BN117" s="9"/>
      <c r="BO117" s="11"/>
      <c r="BP117" s="9"/>
      <c r="BQ117" s="20"/>
      <c r="BR117" s="9"/>
      <c r="BS117" s="9"/>
      <c r="BT117" s="10"/>
      <c r="BU117" s="9"/>
      <c r="BV117" s="11"/>
      <c r="BW117" s="9"/>
      <c r="BX117" s="20"/>
      <c r="BY117" s="9"/>
      <c r="BZ117" s="9"/>
      <c r="CA117" s="10"/>
      <c r="CB117" s="9"/>
      <c r="CC117" s="11"/>
      <c r="CD117" s="9"/>
      <c r="CE117" s="20"/>
      <c r="CF117" s="9"/>
      <c r="CG117" s="9"/>
      <c r="CH117" s="10"/>
      <c r="CI117" s="9"/>
      <c r="CJ117" s="11"/>
      <c r="CK117" s="9"/>
      <c r="CL117" s="20"/>
      <c r="CM117" s="9"/>
      <c r="CN117" s="9"/>
      <c r="CO117" s="10"/>
      <c r="CP117" s="9"/>
      <c r="CQ117" s="11"/>
      <c r="CR117" s="9"/>
    </row>
    <row r="118" spans="1:96" s="30" customFormat="1" ht="12.75">
      <c r="A118" s="26"/>
      <c r="B118" s="27"/>
      <c r="C118" s="27"/>
      <c r="D118" s="28" t="s">
        <v>143</v>
      </c>
      <c r="E118" s="27" t="s">
        <v>96</v>
      </c>
      <c r="F118" s="29" t="s">
        <v>97</v>
      </c>
      <c r="G118" s="27" t="s">
        <v>96</v>
      </c>
      <c r="H118" s="26"/>
      <c r="I118" s="26"/>
      <c r="J118" s="28" t="s">
        <v>143</v>
      </c>
      <c r="K118" s="27" t="s">
        <v>96</v>
      </c>
      <c r="L118" s="29" t="s">
        <v>97</v>
      </c>
      <c r="M118" s="27" t="s">
        <v>96</v>
      </c>
      <c r="N118" s="65"/>
      <c r="O118" s="66"/>
      <c r="P118" s="65"/>
      <c r="Q118" s="26"/>
      <c r="R118" s="28" t="s">
        <v>143</v>
      </c>
      <c r="S118" s="27" t="s">
        <v>96</v>
      </c>
      <c r="T118" s="29" t="s">
        <v>97</v>
      </c>
      <c r="U118" s="27" t="s">
        <v>96</v>
      </c>
      <c r="V118" s="65"/>
      <c r="W118" s="66"/>
      <c r="X118" s="65"/>
      <c r="Y118" s="26"/>
      <c r="Z118" s="28" t="s">
        <v>143</v>
      </c>
      <c r="AA118" s="27" t="s">
        <v>96</v>
      </c>
      <c r="AB118" s="29" t="s">
        <v>97</v>
      </c>
      <c r="AC118" s="27" t="s">
        <v>96</v>
      </c>
      <c r="AD118" s="65"/>
      <c r="AE118" s="66"/>
      <c r="AF118" s="65"/>
      <c r="AG118" s="26"/>
      <c r="AH118" s="28" t="s">
        <v>143</v>
      </c>
      <c r="AI118" s="27" t="s">
        <v>96</v>
      </c>
      <c r="AJ118" s="29" t="s">
        <v>97</v>
      </c>
      <c r="AK118" s="27" t="s">
        <v>96</v>
      </c>
      <c r="AL118" s="65"/>
      <c r="AM118" s="66"/>
      <c r="AN118" s="65"/>
      <c r="AO118" s="94" t="s">
        <v>143</v>
      </c>
      <c r="AP118" s="45" t="s">
        <v>96</v>
      </c>
      <c r="AQ118" s="93" t="s">
        <v>97</v>
      </c>
      <c r="AR118" s="45" t="s">
        <v>96</v>
      </c>
      <c r="AS118" s="65"/>
      <c r="AT118" s="66"/>
      <c r="AU118" s="65"/>
      <c r="AV118" s="94" t="s">
        <v>143</v>
      </c>
      <c r="AW118" s="45" t="s">
        <v>96</v>
      </c>
      <c r="AX118" s="93" t="s">
        <v>97</v>
      </c>
      <c r="AY118" s="45" t="s">
        <v>96</v>
      </c>
      <c r="AZ118" s="65"/>
      <c r="BA118" s="66"/>
      <c r="BB118" s="65"/>
      <c r="BC118" s="94" t="s">
        <v>143</v>
      </c>
      <c r="BD118" s="45" t="s">
        <v>96</v>
      </c>
      <c r="BE118" s="93" t="s">
        <v>97</v>
      </c>
      <c r="BF118" s="45" t="s">
        <v>96</v>
      </c>
      <c r="BG118" s="65"/>
      <c r="BH118" s="66"/>
      <c r="BI118" s="65"/>
      <c r="BJ118" s="94" t="s">
        <v>143</v>
      </c>
      <c r="BK118" s="45" t="s">
        <v>96</v>
      </c>
      <c r="BL118" s="93" t="s">
        <v>97</v>
      </c>
      <c r="BM118" s="45" t="s">
        <v>96</v>
      </c>
      <c r="BN118" s="65"/>
      <c r="BO118" s="66"/>
      <c r="BP118" s="65"/>
      <c r="BQ118" s="94" t="s">
        <v>143</v>
      </c>
      <c r="BR118" s="45" t="s">
        <v>96</v>
      </c>
      <c r="BS118" s="93" t="s">
        <v>97</v>
      </c>
      <c r="BT118" s="45" t="s">
        <v>96</v>
      </c>
      <c r="BU118" s="65"/>
      <c r="BV118" s="66"/>
      <c r="BW118" s="65"/>
      <c r="BX118" s="94" t="s">
        <v>143</v>
      </c>
      <c r="BY118" s="45" t="s">
        <v>96</v>
      </c>
      <c r="BZ118" s="93" t="s">
        <v>97</v>
      </c>
      <c r="CA118" s="45" t="s">
        <v>96</v>
      </c>
      <c r="CB118" s="65"/>
      <c r="CC118" s="66"/>
      <c r="CD118" s="65"/>
      <c r="CE118" s="94" t="s">
        <v>143</v>
      </c>
      <c r="CF118" s="45" t="s">
        <v>96</v>
      </c>
      <c r="CG118" s="93" t="s">
        <v>97</v>
      </c>
      <c r="CH118" s="45" t="s">
        <v>96</v>
      </c>
      <c r="CI118" s="65"/>
      <c r="CJ118" s="66"/>
      <c r="CK118" s="65"/>
      <c r="CL118" s="94" t="s">
        <v>143</v>
      </c>
      <c r="CM118" s="45" t="s">
        <v>96</v>
      </c>
      <c r="CN118" s="93" t="s">
        <v>97</v>
      </c>
      <c r="CO118" s="45" t="s">
        <v>96</v>
      </c>
      <c r="CP118" s="65"/>
      <c r="CQ118" s="66"/>
      <c r="CR118" s="65"/>
    </row>
    <row r="119" spans="1:96" ht="12.75">
      <c r="A119" s="13"/>
      <c r="B119" s="9"/>
      <c r="C119" s="9"/>
      <c r="D119" s="10"/>
      <c r="E119" s="9"/>
      <c r="F119" s="11"/>
      <c r="G119" s="9"/>
      <c r="H119" s="9"/>
      <c r="I119" s="9"/>
      <c r="J119" s="10"/>
      <c r="K119" s="9"/>
      <c r="L119" s="11"/>
      <c r="M119" s="9"/>
      <c r="N119" s="55"/>
      <c r="O119" s="56"/>
      <c r="P119" s="55"/>
      <c r="Q119" s="9"/>
      <c r="R119" s="10"/>
      <c r="S119" s="9"/>
      <c r="T119" s="11"/>
      <c r="U119" s="9"/>
      <c r="V119" s="55"/>
      <c r="W119" s="56"/>
      <c r="X119" s="55"/>
      <c r="Y119" s="9"/>
      <c r="Z119" s="10"/>
      <c r="AA119" s="9"/>
      <c r="AB119" s="11"/>
      <c r="AC119" s="9"/>
      <c r="AD119" s="55"/>
      <c r="AE119" s="56"/>
      <c r="AF119" s="55"/>
      <c r="AG119" s="9"/>
      <c r="AH119" s="10"/>
      <c r="AI119" s="9"/>
      <c r="AJ119" s="11"/>
      <c r="AK119" s="9"/>
      <c r="AL119" s="55"/>
      <c r="AM119" s="56"/>
      <c r="AN119" s="55"/>
      <c r="AO119" s="10"/>
      <c r="AP119" s="9"/>
      <c r="AQ119" s="11"/>
      <c r="AR119" s="9"/>
      <c r="AS119" s="55"/>
      <c r="AT119" s="56"/>
      <c r="AU119" s="55"/>
      <c r="AV119" s="10"/>
      <c r="AW119" s="9"/>
      <c r="AX119" s="11"/>
      <c r="AY119" s="9"/>
      <c r="AZ119" s="55"/>
      <c r="BA119" s="56"/>
      <c r="BB119" s="55"/>
      <c r="BC119" s="10"/>
      <c r="BD119" s="9"/>
      <c r="BE119" s="11"/>
      <c r="BF119" s="9"/>
      <c r="BG119" s="55"/>
      <c r="BH119" s="56"/>
      <c r="BI119" s="55"/>
      <c r="BJ119" s="10"/>
      <c r="BK119" s="9"/>
      <c r="BL119" s="11"/>
      <c r="BM119" s="9"/>
      <c r="BN119" s="55"/>
      <c r="BO119" s="56"/>
      <c r="BP119" s="55"/>
      <c r="BQ119" s="10"/>
      <c r="BR119" s="9"/>
      <c r="BS119" s="11"/>
      <c r="BT119" s="9"/>
      <c r="BU119" s="55"/>
      <c r="BV119" s="56"/>
      <c r="BW119" s="55"/>
      <c r="BX119" s="10"/>
      <c r="BY119" s="9"/>
      <c r="BZ119" s="11"/>
      <c r="CA119" s="9"/>
      <c r="CB119" s="55"/>
      <c r="CC119" s="56"/>
      <c r="CD119" s="55"/>
      <c r="CE119" s="10"/>
      <c r="CF119" s="9"/>
      <c r="CG119" s="11"/>
      <c r="CH119" s="9"/>
      <c r="CI119" s="55"/>
      <c r="CJ119" s="56"/>
      <c r="CK119" s="55"/>
      <c r="CL119" s="10"/>
      <c r="CM119" s="9"/>
      <c r="CN119" s="11"/>
      <c r="CO119" s="9"/>
      <c r="CP119" s="55"/>
      <c r="CQ119" s="56"/>
      <c r="CR119" s="55"/>
    </row>
    <row r="120" spans="1:96" ht="12.75">
      <c r="A120" s="9" t="s">
        <v>87</v>
      </c>
      <c r="B120" s="9"/>
      <c r="C120" s="9"/>
      <c r="D120" s="10">
        <v>1575646.04</v>
      </c>
      <c r="E120" s="15">
        <v>0.17745342605916206</v>
      </c>
      <c r="F120" s="11">
        <v>1073</v>
      </c>
      <c r="G120" s="15">
        <v>0.1450980392156863</v>
      </c>
      <c r="H120" s="9"/>
      <c r="I120" s="9"/>
      <c r="J120" s="10">
        <v>1239641.01</v>
      </c>
      <c r="K120" s="15">
        <v>0.20745279569140077</v>
      </c>
      <c r="L120" s="11">
        <v>892</v>
      </c>
      <c r="M120" s="15">
        <v>0.12906959918969757</v>
      </c>
      <c r="N120" s="57"/>
      <c r="O120" s="56"/>
      <c r="P120" s="57"/>
      <c r="Q120" s="9"/>
      <c r="R120" s="10">
        <v>1361041.15</v>
      </c>
      <c r="S120" s="15">
        <v>0.18462852042318595</v>
      </c>
      <c r="T120" s="11">
        <v>1054</v>
      </c>
      <c r="U120" s="15">
        <v>0.11404457909543389</v>
      </c>
      <c r="V120" s="57"/>
      <c r="W120" s="56"/>
      <c r="X120" s="57"/>
      <c r="Y120" s="9"/>
      <c r="Z120" s="10">
        <v>1408745.03</v>
      </c>
      <c r="AA120" s="15">
        <v>0.17670073498959843</v>
      </c>
      <c r="AB120" s="11">
        <v>1143</v>
      </c>
      <c r="AC120" s="15">
        <v>0.12207625760974047</v>
      </c>
      <c r="AD120" s="57"/>
      <c r="AE120" s="56"/>
      <c r="AF120" s="57"/>
      <c r="AG120" s="9"/>
      <c r="AH120" s="10">
        <v>1389991.44</v>
      </c>
      <c r="AI120" s="15">
        <v>0.16922053599831882</v>
      </c>
      <c r="AJ120" s="11">
        <v>1170</v>
      </c>
      <c r="AK120" s="15">
        <v>0.12749264465511606</v>
      </c>
      <c r="AL120" s="57"/>
      <c r="AM120" s="56"/>
      <c r="AN120" s="57"/>
      <c r="AO120" s="10">
        <v>1732205.47</v>
      </c>
      <c r="AP120" s="15">
        <v>0.16951796178447</v>
      </c>
      <c r="AQ120" s="11">
        <v>1471</v>
      </c>
      <c r="AR120" s="15">
        <v>0.13110516934046346</v>
      </c>
      <c r="AS120" s="57"/>
      <c r="AT120" s="56"/>
      <c r="AU120" s="57"/>
      <c r="AV120" s="10">
        <v>1637921.04</v>
      </c>
      <c r="AW120" s="15">
        <v>0.12198112254853039</v>
      </c>
      <c r="AX120" s="11">
        <v>1461</v>
      </c>
      <c r="AY120" s="15">
        <v>0.10482135170038744</v>
      </c>
      <c r="AZ120" s="57"/>
      <c r="BA120" s="56"/>
      <c r="BB120" s="57"/>
      <c r="BC120" s="10">
        <v>1515103.44</v>
      </c>
      <c r="BD120" s="15">
        <v>0.11575440739501831</v>
      </c>
      <c r="BE120" s="11">
        <v>1429</v>
      </c>
      <c r="BF120" s="15">
        <v>0.10005601456378659</v>
      </c>
      <c r="BG120" s="57"/>
      <c r="BH120" s="56"/>
      <c r="BI120" s="57"/>
      <c r="BJ120" s="10">
        <f>3590.47+238707.57+950164.26</f>
        <v>1192462.3</v>
      </c>
      <c r="BK120" s="15">
        <f>+BJ120/BJ123</f>
        <v>0.11703352868493999</v>
      </c>
      <c r="BL120" s="11">
        <f>4+159+1095</f>
        <v>1258</v>
      </c>
      <c r="BM120" s="15">
        <f>+BL120/BL123</f>
        <v>0.10375257731958763</v>
      </c>
      <c r="BN120" s="57"/>
      <c r="BO120" s="56"/>
      <c r="BP120" s="57"/>
      <c r="BQ120" s="10">
        <v>934645.830000001</v>
      </c>
      <c r="BR120" s="15">
        <v>0.13624607134817848</v>
      </c>
      <c r="BS120" s="11">
        <v>1117</v>
      </c>
      <c r="BT120" s="15">
        <v>0.13141176470588237</v>
      </c>
      <c r="BU120" s="57"/>
      <c r="BV120" s="56"/>
      <c r="BW120" s="57"/>
      <c r="BX120" s="10">
        <v>769337.03</v>
      </c>
      <c r="BY120" s="15">
        <v>0.1546135425072481</v>
      </c>
      <c r="BZ120" s="11">
        <v>989</v>
      </c>
      <c r="CA120" s="15">
        <v>0.16042173560421735</v>
      </c>
      <c r="CB120" s="57"/>
      <c r="CC120" s="56"/>
      <c r="CD120" s="57"/>
      <c r="CE120" s="10">
        <v>1038341.69</v>
      </c>
      <c r="CF120" s="15">
        <v>0.06037325648964579</v>
      </c>
      <c r="CG120" s="11">
        <v>1102</v>
      </c>
      <c r="CH120" s="15">
        <v>0.058061116965226554</v>
      </c>
      <c r="CI120" s="57"/>
      <c r="CJ120" s="56"/>
      <c r="CK120" s="57"/>
      <c r="CL120" s="10">
        <v>896348.45</v>
      </c>
      <c r="CM120" s="15">
        <v>0.05978838239157055</v>
      </c>
      <c r="CN120" s="11">
        <v>938</v>
      </c>
      <c r="CO120" s="15">
        <v>0.05599331423113658</v>
      </c>
      <c r="CP120" s="57"/>
      <c r="CQ120" s="56"/>
      <c r="CR120" s="57"/>
    </row>
    <row r="121" spans="1:96" ht="12.75">
      <c r="A121" s="9" t="s">
        <v>88</v>
      </c>
      <c r="B121" s="9"/>
      <c r="C121" s="9"/>
      <c r="D121" s="10">
        <v>7303562.859999984</v>
      </c>
      <c r="E121" s="15">
        <v>0.8225465739408381</v>
      </c>
      <c r="F121" s="11">
        <v>6322</v>
      </c>
      <c r="G121" s="15">
        <v>0.8549019607843137</v>
      </c>
      <c r="H121" s="9"/>
      <c r="I121" s="9"/>
      <c r="J121" s="10">
        <v>4735891.91</v>
      </c>
      <c r="K121" s="15">
        <v>0.7925472043085992</v>
      </c>
      <c r="L121" s="11">
        <v>6019</v>
      </c>
      <c r="M121" s="15">
        <v>0.8709304008103024</v>
      </c>
      <c r="N121" s="57"/>
      <c r="O121" s="56"/>
      <c r="P121" s="57"/>
      <c r="Q121" s="9"/>
      <c r="R121" s="10">
        <v>6010740.559999978</v>
      </c>
      <c r="S121" s="15">
        <v>0.8153714795768141</v>
      </c>
      <c r="T121" s="11">
        <v>8188</v>
      </c>
      <c r="U121" s="15">
        <v>0.8859554209045661</v>
      </c>
      <c r="V121" s="57"/>
      <c r="W121" s="56"/>
      <c r="X121" s="57"/>
      <c r="Y121" s="9"/>
      <c r="Z121" s="10">
        <v>6563746.029999987</v>
      </c>
      <c r="AA121" s="15">
        <v>0.8232992650104016</v>
      </c>
      <c r="AB121" s="11">
        <v>8220</v>
      </c>
      <c r="AC121" s="15">
        <v>0.8779237423902595</v>
      </c>
      <c r="AD121" s="57"/>
      <c r="AE121" s="56"/>
      <c r="AF121" s="57"/>
      <c r="AG121" s="9"/>
      <c r="AH121" s="10">
        <v>6824091.040000002</v>
      </c>
      <c r="AI121" s="15">
        <v>0.8307794640016811</v>
      </c>
      <c r="AJ121" s="11">
        <v>8007</v>
      </c>
      <c r="AK121" s="15">
        <v>0.872507355344884</v>
      </c>
      <c r="AL121" s="57"/>
      <c r="AM121" s="56"/>
      <c r="AN121" s="57"/>
      <c r="AO121" s="10">
        <v>8486212.989999989</v>
      </c>
      <c r="AP121" s="15">
        <v>0.83048203821553</v>
      </c>
      <c r="AQ121" s="11">
        <v>9749</v>
      </c>
      <c r="AR121" s="15">
        <v>0.8688948306595365</v>
      </c>
      <c r="AS121" s="57"/>
      <c r="AT121" s="56"/>
      <c r="AU121" s="57"/>
      <c r="AV121" s="10">
        <v>11789738.960000005</v>
      </c>
      <c r="AW121" s="15">
        <v>0.8780188774514696</v>
      </c>
      <c r="AX121" s="11">
        <v>12477</v>
      </c>
      <c r="AY121" s="15">
        <v>0.8951786482996126</v>
      </c>
      <c r="AZ121" s="57"/>
      <c r="BA121" s="56"/>
      <c r="BB121" s="57"/>
      <c r="BC121" s="10">
        <v>11573844.739999976</v>
      </c>
      <c r="BD121" s="15">
        <v>0.8842455926049817</v>
      </c>
      <c r="BE121" s="11">
        <v>12853</v>
      </c>
      <c r="BF121" s="15">
        <v>0.8999439854362135</v>
      </c>
      <c r="BG121" s="57"/>
      <c r="BH121" s="56"/>
      <c r="BI121" s="57"/>
      <c r="BJ121" s="10">
        <f>2367308.31+6362960.97+266334.01</f>
        <v>8996603.29</v>
      </c>
      <c r="BK121" s="15">
        <f>+BJ121/BJ123</f>
        <v>0.8829664713150599</v>
      </c>
      <c r="BL121" s="11">
        <f>1880+8742+245</f>
        <v>10867</v>
      </c>
      <c r="BM121" s="15">
        <f>+BL121/BL123</f>
        <v>0.8962474226804124</v>
      </c>
      <c r="BN121" s="57"/>
      <c r="BO121" s="56"/>
      <c r="BP121" s="57"/>
      <c r="BQ121" s="10">
        <v>5925337.879999991</v>
      </c>
      <c r="BR121" s="15">
        <v>0.8637539286518215</v>
      </c>
      <c r="BS121" s="11">
        <v>7383</v>
      </c>
      <c r="BT121" s="15">
        <v>0.8685882352941177</v>
      </c>
      <c r="BU121" s="57"/>
      <c r="BV121" s="56"/>
      <c r="BW121" s="57"/>
      <c r="BX121" s="10">
        <v>4206533.89</v>
      </c>
      <c r="BY121" s="15">
        <v>0.845386457492752</v>
      </c>
      <c r="BZ121" s="11">
        <v>5176</v>
      </c>
      <c r="CA121" s="15">
        <v>0.8395782643957826</v>
      </c>
      <c r="CB121" s="57"/>
      <c r="CC121" s="56"/>
      <c r="CD121" s="57"/>
      <c r="CE121" s="10">
        <v>16160361.02000006</v>
      </c>
      <c r="CF121" s="15">
        <v>0.9396267435103541</v>
      </c>
      <c r="CG121" s="11">
        <v>17878</v>
      </c>
      <c r="CH121" s="15">
        <v>0.9419388830347735</v>
      </c>
      <c r="CI121" s="57"/>
      <c r="CJ121" s="56"/>
      <c r="CK121" s="57"/>
      <c r="CL121" s="10">
        <v>14095668.630000053</v>
      </c>
      <c r="CM121" s="15">
        <v>0.9402116176084294</v>
      </c>
      <c r="CN121" s="11">
        <v>15814</v>
      </c>
      <c r="CO121" s="15">
        <v>0.9440066857688634</v>
      </c>
      <c r="CP121" s="57"/>
      <c r="CQ121" s="56"/>
      <c r="CR121" s="57"/>
    </row>
    <row r="122" spans="1:96" ht="12.75">
      <c r="A122" s="9"/>
      <c r="B122" s="9"/>
      <c r="C122" s="9"/>
      <c r="D122" s="10"/>
      <c r="E122" s="9"/>
      <c r="F122" s="11"/>
      <c r="G122" s="9"/>
      <c r="H122" s="9"/>
      <c r="I122" s="9"/>
      <c r="J122" s="10"/>
      <c r="K122" s="9"/>
      <c r="L122" s="11"/>
      <c r="M122" s="9"/>
      <c r="N122" s="55"/>
      <c r="O122" s="56"/>
      <c r="P122" s="55"/>
      <c r="Q122" s="9"/>
      <c r="R122" s="10"/>
      <c r="S122" s="9"/>
      <c r="T122" s="11"/>
      <c r="U122" s="9"/>
      <c r="V122" s="55"/>
      <c r="W122" s="56"/>
      <c r="X122" s="55"/>
      <c r="Y122" s="9"/>
      <c r="Z122" s="10"/>
      <c r="AA122" s="9"/>
      <c r="AB122" s="11"/>
      <c r="AC122" s="9"/>
      <c r="AD122" s="55"/>
      <c r="AE122" s="56"/>
      <c r="AF122" s="55"/>
      <c r="AG122" s="9"/>
      <c r="AH122" s="10"/>
      <c r="AI122" s="9"/>
      <c r="AJ122" s="11"/>
      <c r="AK122" s="9"/>
      <c r="AL122" s="55"/>
      <c r="AM122" s="56"/>
      <c r="AN122" s="55"/>
      <c r="AO122" s="10"/>
      <c r="AP122" s="9"/>
      <c r="AQ122" s="11"/>
      <c r="AR122" s="9"/>
      <c r="AS122" s="55"/>
      <c r="AT122" s="56"/>
      <c r="AU122" s="55"/>
      <c r="AV122" s="10"/>
      <c r="AW122" s="9"/>
      <c r="AX122" s="11"/>
      <c r="AY122" s="9"/>
      <c r="AZ122" s="55"/>
      <c r="BA122" s="56"/>
      <c r="BB122" s="55"/>
      <c r="BC122" s="10"/>
      <c r="BD122" s="9"/>
      <c r="BE122" s="11"/>
      <c r="BF122" s="9"/>
      <c r="BG122" s="55"/>
      <c r="BH122" s="56"/>
      <c r="BI122" s="55"/>
      <c r="BJ122" s="10"/>
      <c r="BK122" s="9"/>
      <c r="BL122" s="11"/>
      <c r="BM122" s="9"/>
      <c r="BN122" s="55"/>
      <c r="BO122" s="56"/>
      <c r="BP122" s="55"/>
      <c r="BQ122" s="10"/>
      <c r="BR122" s="9"/>
      <c r="BS122" s="11"/>
      <c r="BT122" s="9"/>
      <c r="BU122" s="55"/>
      <c r="BV122" s="56"/>
      <c r="BW122" s="55"/>
      <c r="BX122" s="10"/>
      <c r="BY122" s="9"/>
      <c r="BZ122" s="11"/>
      <c r="CA122" s="9"/>
      <c r="CB122" s="55"/>
      <c r="CC122" s="56"/>
      <c r="CD122" s="55"/>
      <c r="CE122" s="10"/>
      <c r="CF122" s="9"/>
      <c r="CG122" s="11"/>
      <c r="CH122" s="9"/>
      <c r="CI122" s="55"/>
      <c r="CJ122" s="56"/>
      <c r="CK122" s="55"/>
      <c r="CL122" s="10"/>
      <c r="CM122" s="9"/>
      <c r="CN122" s="11"/>
      <c r="CO122" s="9"/>
      <c r="CP122" s="55"/>
      <c r="CQ122" s="56"/>
      <c r="CR122" s="55"/>
    </row>
    <row r="123" spans="1:96" ht="13.5" thickBot="1">
      <c r="A123" s="9"/>
      <c r="B123" s="9"/>
      <c r="C123" s="9"/>
      <c r="D123" s="22">
        <f>SUM(D120:D122)</f>
        <v>8879208.899999984</v>
      </c>
      <c r="E123" s="9"/>
      <c r="F123" s="23">
        <f>SUM(F120:F122)</f>
        <v>7395</v>
      </c>
      <c r="G123" s="9"/>
      <c r="H123" s="9"/>
      <c r="I123" s="9"/>
      <c r="J123" s="22">
        <f>SUM(J120:J121)</f>
        <v>5975532.92</v>
      </c>
      <c r="K123" s="9"/>
      <c r="L123" s="23">
        <f>SUM(L120:L121)</f>
        <v>6911</v>
      </c>
      <c r="M123" s="9"/>
      <c r="N123" s="55"/>
      <c r="O123" s="32"/>
      <c r="P123" s="55"/>
      <c r="Q123" s="9"/>
      <c r="R123" s="22">
        <f>SUM(R120:R121)</f>
        <v>7371781.709999979</v>
      </c>
      <c r="S123" s="9"/>
      <c r="T123" s="23">
        <f>SUM(T120:T121)</f>
        <v>9242</v>
      </c>
      <c r="U123" s="9"/>
      <c r="V123" s="55"/>
      <c r="W123" s="32"/>
      <c r="X123" s="55"/>
      <c r="Y123" s="9"/>
      <c r="Z123" s="22">
        <f>SUM(Z120:Z121)</f>
        <v>7972491.0599999875</v>
      </c>
      <c r="AA123" s="9"/>
      <c r="AB123" s="23">
        <f>SUM(AB120:AB121)</f>
        <v>9363</v>
      </c>
      <c r="AC123" s="9"/>
      <c r="AD123" s="55"/>
      <c r="AE123" s="32"/>
      <c r="AF123" s="55"/>
      <c r="AG123" s="9"/>
      <c r="AH123" s="22">
        <f>SUM(AH120:AH121)</f>
        <v>8214082.480000002</v>
      </c>
      <c r="AI123" s="9"/>
      <c r="AJ123" s="23">
        <f>SUM(AJ120:AJ121)</f>
        <v>9177</v>
      </c>
      <c r="AK123" s="9"/>
      <c r="AL123" s="55"/>
      <c r="AM123" s="32"/>
      <c r="AN123" s="55"/>
      <c r="AO123" s="22">
        <f>SUM(AO120:AO121)</f>
        <v>10218418.45999999</v>
      </c>
      <c r="AP123" s="9"/>
      <c r="AQ123" s="23">
        <f>SUM(AQ120:AQ121)</f>
        <v>11220</v>
      </c>
      <c r="AR123" s="9"/>
      <c r="AS123" s="55"/>
      <c r="AT123" s="32"/>
      <c r="AU123" s="55"/>
      <c r="AV123" s="22">
        <f>SUM(AV120:AV121)</f>
        <v>13427660.000000004</v>
      </c>
      <c r="AW123" s="9"/>
      <c r="AX123" s="23">
        <f>SUM(AX120:AX121)</f>
        <v>13938</v>
      </c>
      <c r="AY123" s="9"/>
      <c r="AZ123" s="55"/>
      <c r="BA123" s="32"/>
      <c r="BB123" s="55"/>
      <c r="BC123" s="22">
        <f>SUM(BC120:BC121)</f>
        <v>13088948.179999975</v>
      </c>
      <c r="BD123" s="9"/>
      <c r="BE123" s="23">
        <f>SUM(BE120:BE121)</f>
        <v>14282</v>
      </c>
      <c r="BF123" s="9"/>
      <c r="BG123" s="55"/>
      <c r="BH123" s="32"/>
      <c r="BI123" s="55"/>
      <c r="BJ123" s="22">
        <f>SUM(BJ120:BJ121)</f>
        <v>10189065.59</v>
      </c>
      <c r="BK123" s="9"/>
      <c r="BL123" s="23">
        <f>SUM(BL120:BL121)</f>
        <v>12125</v>
      </c>
      <c r="BM123" s="9"/>
      <c r="BN123" s="55"/>
      <c r="BO123" s="32"/>
      <c r="BP123" s="55"/>
      <c r="BQ123" s="22">
        <f>SUM(BQ120:BQ121)</f>
        <v>6859983.709999992</v>
      </c>
      <c r="BR123" s="9"/>
      <c r="BS123" s="23">
        <f>SUM(BS120:BS121)</f>
        <v>8500</v>
      </c>
      <c r="BT123" s="9"/>
      <c r="BU123" s="55"/>
      <c r="BV123" s="32"/>
      <c r="BW123" s="55"/>
      <c r="BX123" s="22">
        <f>SUM(BX120:BX121)</f>
        <v>4975870.92</v>
      </c>
      <c r="BY123" s="9"/>
      <c r="BZ123" s="23">
        <f>SUM(BZ120:BZ121)</f>
        <v>6165</v>
      </c>
      <c r="CA123" s="9"/>
      <c r="CB123" s="55"/>
      <c r="CC123" s="32"/>
      <c r="CD123" s="55"/>
      <c r="CE123" s="22">
        <f>SUM(CE120:CE121)</f>
        <v>17198702.71000006</v>
      </c>
      <c r="CF123" s="9"/>
      <c r="CG123" s="23">
        <f>SUM(CG120:CG121)</f>
        <v>18980</v>
      </c>
      <c r="CH123" s="9"/>
      <c r="CI123" s="55"/>
      <c r="CJ123" s="32"/>
      <c r="CK123" s="55"/>
      <c r="CL123" s="22">
        <f>SUM(CL120:CL121)</f>
        <v>14992017.080000052</v>
      </c>
      <c r="CM123" s="9"/>
      <c r="CN123" s="23">
        <f>SUM(CN120:CN121)</f>
        <v>16752</v>
      </c>
      <c r="CO123" s="9"/>
      <c r="CP123" s="55"/>
      <c r="CQ123" s="32"/>
      <c r="CR123" s="55"/>
    </row>
    <row r="124" spans="1:96" ht="13.5" thickTop="1">
      <c r="A124" s="9"/>
      <c r="B124" s="9"/>
      <c r="C124" s="9"/>
      <c r="D124" s="10"/>
      <c r="E124" s="9"/>
      <c r="F124" s="11"/>
      <c r="G124" s="9"/>
      <c r="H124" s="9"/>
      <c r="I124" s="9"/>
      <c r="J124" s="9"/>
      <c r="K124" s="9"/>
      <c r="L124" s="9"/>
      <c r="M124" s="10"/>
      <c r="N124" s="9"/>
      <c r="O124" s="11"/>
      <c r="P124" s="9"/>
      <c r="Q124" s="9"/>
      <c r="R124" s="9"/>
      <c r="S124" s="9"/>
      <c r="T124" s="9"/>
      <c r="U124" s="10"/>
      <c r="V124" s="9"/>
      <c r="W124" s="11"/>
      <c r="X124" s="9"/>
      <c r="Y124" s="9"/>
      <c r="Z124" s="9"/>
      <c r="AA124" s="9"/>
      <c r="AB124" s="9"/>
      <c r="AC124" s="10"/>
      <c r="AD124" s="9"/>
      <c r="AE124" s="11"/>
      <c r="AF124" s="9"/>
      <c r="AG124" s="9"/>
      <c r="AH124" s="9"/>
      <c r="AI124" s="9"/>
      <c r="AJ124" s="9"/>
      <c r="AK124" s="10"/>
      <c r="AL124" s="9"/>
      <c r="AM124" s="11"/>
      <c r="AN124" s="9"/>
      <c r="AO124" s="9"/>
      <c r="AP124" s="9"/>
      <c r="AQ124" s="9"/>
      <c r="AR124" s="10"/>
      <c r="AS124" s="9"/>
      <c r="AT124" s="11"/>
      <c r="AU124" s="9"/>
      <c r="AV124" s="9"/>
      <c r="AW124" s="9"/>
      <c r="AX124" s="9"/>
      <c r="AY124" s="10"/>
      <c r="AZ124" s="9"/>
      <c r="BA124" s="11"/>
      <c r="BB124" s="9"/>
      <c r="BC124" s="9"/>
      <c r="BD124" s="9"/>
      <c r="BE124" s="9"/>
      <c r="BF124" s="10"/>
      <c r="BG124" s="9"/>
      <c r="BH124" s="11"/>
      <c r="BI124" s="9"/>
      <c r="BJ124" s="9"/>
      <c r="BK124" s="9"/>
      <c r="BL124" s="9"/>
      <c r="BM124" s="10"/>
      <c r="BN124" s="9"/>
      <c r="BO124" s="11"/>
      <c r="BP124" s="9"/>
      <c r="BQ124" s="9"/>
      <c r="BR124" s="9"/>
      <c r="BS124" s="9"/>
      <c r="BT124" s="10"/>
      <c r="BU124" s="9"/>
      <c r="BV124" s="11"/>
      <c r="BW124" s="9"/>
      <c r="BX124" s="9"/>
      <c r="BY124" s="9"/>
      <c r="BZ124" s="9"/>
      <c r="CA124" s="10"/>
      <c r="CB124" s="9"/>
      <c r="CC124" s="11"/>
      <c r="CD124" s="9"/>
      <c r="CE124" s="9"/>
      <c r="CF124" s="9"/>
      <c r="CG124" s="9"/>
      <c r="CH124" s="10"/>
      <c r="CI124" s="9"/>
      <c r="CJ124" s="11"/>
      <c r="CK124" s="9"/>
      <c r="CL124" s="9"/>
      <c r="CM124" s="9"/>
      <c r="CN124" s="9"/>
      <c r="CO124" s="10"/>
      <c r="CP124" s="9"/>
      <c r="CQ124" s="11"/>
      <c r="CR124" s="9"/>
    </row>
    <row r="125" spans="1:96" ht="12.75">
      <c r="A125" s="9"/>
      <c r="B125" s="9"/>
      <c r="C125" s="9"/>
      <c r="D125" s="10"/>
      <c r="E125" s="9"/>
      <c r="F125" s="11"/>
      <c r="G125" s="9"/>
      <c r="H125" s="9"/>
      <c r="I125" s="9"/>
      <c r="J125" s="9"/>
      <c r="K125" s="9"/>
      <c r="L125" s="9"/>
      <c r="M125" s="10"/>
      <c r="N125" s="9"/>
      <c r="O125" s="11"/>
      <c r="P125" s="9"/>
      <c r="Q125" s="9"/>
      <c r="R125" s="9"/>
      <c r="S125" s="9"/>
      <c r="T125" s="9"/>
      <c r="U125" s="10"/>
      <c r="V125" s="9"/>
      <c r="W125" s="11"/>
      <c r="X125" s="9"/>
      <c r="Y125" s="9"/>
      <c r="Z125" s="9"/>
      <c r="AA125" s="9"/>
      <c r="AB125" s="9"/>
      <c r="AC125" s="10"/>
      <c r="AD125" s="9"/>
      <c r="AE125" s="11"/>
      <c r="AF125" s="9"/>
      <c r="AG125" s="9"/>
      <c r="AH125" s="9"/>
      <c r="AI125" s="9"/>
      <c r="AJ125" s="9"/>
      <c r="AK125" s="10"/>
      <c r="AL125" s="9"/>
      <c r="AM125" s="11"/>
      <c r="AN125" s="9"/>
      <c r="AO125" s="9"/>
      <c r="AP125" s="9"/>
      <c r="AQ125" s="9"/>
      <c r="AR125" s="10"/>
      <c r="AS125" s="9"/>
      <c r="AT125" s="11"/>
      <c r="AU125" s="9"/>
      <c r="AV125" s="9"/>
      <c r="AW125" s="9"/>
      <c r="AX125" s="9"/>
      <c r="AY125" s="10"/>
      <c r="AZ125" s="9"/>
      <c r="BA125" s="11"/>
      <c r="BB125" s="9"/>
      <c r="BC125" s="9"/>
      <c r="BD125" s="9"/>
      <c r="BE125" s="9"/>
      <c r="BF125" s="10"/>
      <c r="BG125" s="9"/>
      <c r="BH125" s="11"/>
      <c r="BI125" s="9"/>
      <c r="BJ125" s="9"/>
      <c r="BK125" s="9"/>
      <c r="BL125" s="9"/>
      <c r="BM125" s="10"/>
      <c r="BN125" s="9"/>
      <c r="BO125" s="11"/>
      <c r="BP125" s="9"/>
      <c r="BQ125" s="9"/>
      <c r="BR125" s="9"/>
      <c r="BS125" s="9"/>
      <c r="BT125" s="10"/>
      <c r="BU125" s="9"/>
      <c r="BV125" s="11"/>
      <c r="BW125" s="9"/>
      <c r="BX125" s="9"/>
      <c r="BY125" s="9"/>
      <c r="BZ125" s="9"/>
      <c r="CA125" s="10"/>
      <c r="CB125" s="9"/>
      <c r="CC125" s="11"/>
      <c r="CD125" s="9"/>
      <c r="CE125" s="9"/>
      <c r="CF125" s="9"/>
      <c r="CG125" s="9"/>
      <c r="CH125" s="10"/>
      <c r="CI125" s="9"/>
      <c r="CJ125" s="11"/>
      <c r="CK125" s="9"/>
      <c r="CL125" s="9"/>
      <c r="CM125" s="9"/>
      <c r="CN125" s="9"/>
      <c r="CO125" s="10"/>
      <c r="CP125" s="9"/>
      <c r="CQ125" s="11"/>
      <c r="CR125" s="9"/>
    </row>
    <row r="126" spans="1:96" ht="12.75">
      <c r="A126" s="20" t="s">
        <v>112</v>
      </c>
      <c r="B126" s="9"/>
      <c r="C126" s="9"/>
      <c r="D126" s="10"/>
      <c r="E126" s="9"/>
      <c r="F126" s="11"/>
      <c r="G126" s="9"/>
      <c r="H126" s="9"/>
      <c r="I126" s="9"/>
      <c r="J126" s="20" t="s">
        <v>112</v>
      </c>
      <c r="K126" s="9"/>
      <c r="L126" s="9"/>
      <c r="M126" s="10"/>
      <c r="N126" s="9"/>
      <c r="O126" s="11"/>
      <c r="P126" s="9"/>
      <c r="Q126" s="9"/>
      <c r="R126" s="20" t="s">
        <v>112</v>
      </c>
      <c r="S126" s="9"/>
      <c r="T126" s="9"/>
      <c r="U126" s="10"/>
      <c r="V126" s="9"/>
      <c r="W126" s="11"/>
      <c r="X126" s="9"/>
      <c r="Y126" s="9"/>
      <c r="Z126" s="20" t="s">
        <v>112</v>
      </c>
      <c r="AA126" s="9"/>
      <c r="AB126" s="9"/>
      <c r="AC126" s="10"/>
      <c r="AD126" s="9"/>
      <c r="AE126" s="11"/>
      <c r="AF126" s="9"/>
      <c r="AG126" s="9"/>
      <c r="AH126" s="20" t="s">
        <v>112</v>
      </c>
      <c r="AI126" s="9"/>
      <c r="AJ126" s="9"/>
      <c r="AK126" s="10"/>
      <c r="AL126" s="9"/>
      <c r="AM126" s="11"/>
      <c r="AN126" s="9"/>
      <c r="AO126" s="20" t="s">
        <v>112</v>
      </c>
      <c r="AP126" s="9"/>
      <c r="AQ126" s="9"/>
      <c r="AR126" s="10"/>
      <c r="AS126" s="9"/>
      <c r="AT126" s="11"/>
      <c r="AU126" s="9"/>
      <c r="AV126" s="20" t="s">
        <v>112</v>
      </c>
      <c r="AW126" s="9"/>
      <c r="AX126" s="9"/>
      <c r="AY126" s="10"/>
      <c r="AZ126" s="9"/>
      <c r="BA126" s="11"/>
      <c r="BB126" s="9"/>
      <c r="BC126" s="20" t="s">
        <v>112</v>
      </c>
      <c r="BD126" s="9"/>
      <c r="BE126" s="9"/>
      <c r="BF126" s="10"/>
      <c r="BG126" s="9"/>
      <c r="BH126" s="11"/>
      <c r="BI126" s="9"/>
      <c r="BJ126" s="20" t="s">
        <v>112</v>
      </c>
      <c r="BK126" s="9"/>
      <c r="BL126" s="9"/>
      <c r="BM126" s="10"/>
      <c r="BN126" s="9"/>
      <c r="BO126" s="11"/>
      <c r="BP126" s="9"/>
      <c r="BQ126" s="20" t="s">
        <v>112</v>
      </c>
      <c r="BR126" s="9"/>
      <c r="BS126" s="9"/>
      <c r="BT126" s="10"/>
      <c r="BU126" s="9"/>
      <c r="BV126" s="11"/>
      <c r="BW126" s="9"/>
      <c r="BX126" s="20" t="s">
        <v>112</v>
      </c>
      <c r="BY126" s="9"/>
      <c r="BZ126" s="9"/>
      <c r="CA126" s="10"/>
      <c r="CB126" s="9"/>
      <c r="CC126" s="11"/>
      <c r="CD126" s="9"/>
      <c r="CE126" s="20" t="s">
        <v>112</v>
      </c>
      <c r="CF126" s="9"/>
      <c r="CG126" s="9"/>
      <c r="CH126" s="10"/>
      <c r="CI126" s="9"/>
      <c r="CJ126" s="11"/>
      <c r="CK126" s="9"/>
      <c r="CL126" s="20" t="s">
        <v>112</v>
      </c>
      <c r="CM126" s="9"/>
      <c r="CN126" s="9"/>
      <c r="CO126" s="10"/>
      <c r="CP126" s="9"/>
      <c r="CQ126" s="11"/>
      <c r="CR126" s="9"/>
    </row>
    <row r="127" spans="1:96" ht="12.75">
      <c r="A127" s="20"/>
      <c r="B127" s="9"/>
      <c r="C127" s="9"/>
      <c r="D127" s="10"/>
      <c r="E127" s="9"/>
      <c r="F127" s="11"/>
      <c r="G127" s="9"/>
      <c r="H127" s="9"/>
      <c r="I127" s="9"/>
      <c r="J127" s="20"/>
      <c r="K127" s="9"/>
      <c r="L127" s="9"/>
      <c r="M127" s="10"/>
      <c r="N127" s="9"/>
      <c r="O127" s="11"/>
      <c r="P127" s="9"/>
      <c r="Q127" s="9"/>
      <c r="R127" s="20"/>
      <c r="S127" s="9"/>
      <c r="T127" s="9"/>
      <c r="U127" s="10"/>
      <c r="V127" s="9"/>
      <c r="W127" s="11"/>
      <c r="X127" s="9"/>
      <c r="Y127" s="9"/>
      <c r="Z127" s="20"/>
      <c r="AA127" s="9"/>
      <c r="AB127" s="9"/>
      <c r="AC127" s="10"/>
      <c r="AD127" s="9"/>
      <c r="AE127" s="11"/>
      <c r="AF127" s="9"/>
      <c r="AG127" s="9"/>
      <c r="AH127" s="20"/>
      <c r="AI127" s="9"/>
      <c r="AJ127" s="9"/>
      <c r="AK127" s="10"/>
      <c r="AL127" s="9"/>
      <c r="AM127" s="11"/>
      <c r="AN127" s="9"/>
      <c r="AO127" s="20"/>
      <c r="AP127" s="9"/>
      <c r="AQ127" s="9"/>
      <c r="AR127" s="10"/>
      <c r="AS127" s="9"/>
      <c r="AT127" s="11"/>
      <c r="AU127" s="9"/>
      <c r="AV127" s="20"/>
      <c r="AW127" s="9"/>
      <c r="AX127" s="9"/>
      <c r="AY127" s="10"/>
      <c r="AZ127" s="9"/>
      <c r="BA127" s="11"/>
      <c r="BB127" s="9"/>
      <c r="BC127" s="20"/>
      <c r="BD127" s="9"/>
      <c r="BE127" s="9"/>
      <c r="BF127" s="10"/>
      <c r="BG127" s="9"/>
      <c r="BH127" s="11"/>
      <c r="BI127" s="9"/>
      <c r="BJ127" s="20"/>
      <c r="BK127" s="9"/>
      <c r="BL127" s="9"/>
      <c r="BM127" s="10"/>
      <c r="BN127" s="9"/>
      <c r="BO127" s="11"/>
      <c r="BP127" s="9"/>
      <c r="BQ127" s="20"/>
      <c r="BR127" s="9"/>
      <c r="BS127" s="9"/>
      <c r="BT127" s="10"/>
      <c r="BU127" s="9"/>
      <c r="BV127" s="11"/>
      <c r="BW127" s="9"/>
      <c r="BX127" s="20"/>
      <c r="BY127" s="9"/>
      <c r="BZ127" s="9"/>
      <c r="CA127" s="10"/>
      <c r="CB127" s="9"/>
      <c r="CC127" s="11"/>
      <c r="CD127" s="9"/>
      <c r="CE127" s="20"/>
      <c r="CF127" s="9"/>
      <c r="CG127" s="9"/>
      <c r="CH127" s="10"/>
      <c r="CI127" s="9"/>
      <c r="CJ127" s="11"/>
      <c r="CK127" s="9"/>
      <c r="CL127" s="20"/>
      <c r="CM127" s="9"/>
      <c r="CN127" s="9"/>
      <c r="CO127" s="10"/>
      <c r="CP127" s="9"/>
      <c r="CQ127" s="11"/>
      <c r="CR127" s="9"/>
    </row>
    <row r="128" spans="1:96" s="30" customFormat="1" ht="12.75">
      <c r="A128" s="26"/>
      <c r="B128" s="27"/>
      <c r="C128" s="27"/>
      <c r="D128" s="28" t="s">
        <v>143</v>
      </c>
      <c r="E128" s="27" t="s">
        <v>96</v>
      </c>
      <c r="F128" s="29" t="s">
        <v>97</v>
      </c>
      <c r="G128" s="27" t="s">
        <v>96</v>
      </c>
      <c r="H128" s="26"/>
      <c r="I128" s="26"/>
      <c r="J128" s="28" t="s">
        <v>143</v>
      </c>
      <c r="K128" s="27" t="s">
        <v>96</v>
      </c>
      <c r="L128" s="29" t="s">
        <v>97</v>
      </c>
      <c r="M128" s="27" t="s">
        <v>96</v>
      </c>
      <c r="N128" s="65"/>
      <c r="O128" s="66"/>
      <c r="P128" s="65"/>
      <c r="Q128" s="26"/>
      <c r="R128" s="28" t="s">
        <v>143</v>
      </c>
      <c r="S128" s="27" t="s">
        <v>96</v>
      </c>
      <c r="T128" s="29" t="s">
        <v>97</v>
      </c>
      <c r="U128" s="27" t="s">
        <v>96</v>
      </c>
      <c r="V128" s="65"/>
      <c r="W128" s="66"/>
      <c r="X128" s="65"/>
      <c r="Y128" s="26"/>
      <c r="Z128" s="28" t="s">
        <v>143</v>
      </c>
      <c r="AA128" s="27" t="s">
        <v>96</v>
      </c>
      <c r="AB128" s="29" t="s">
        <v>97</v>
      </c>
      <c r="AC128" s="27" t="s">
        <v>96</v>
      </c>
      <c r="AD128" s="65"/>
      <c r="AE128" s="66"/>
      <c r="AF128" s="65"/>
      <c r="AG128" s="26"/>
      <c r="AH128" s="28" t="s">
        <v>143</v>
      </c>
      <c r="AI128" s="27" t="s">
        <v>96</v>
      </c>
      <c r="AJ128" s="29" t="s">
        <v>97</v>
      </c>
      <c r="AK128" s="27" t="s">
        <v>96</v>
      </c>
      <c r="AL128" s="65"/>
      <c r="AM128" s="66"/>
      <c r="AN128" s="65"/>
      <c r="AO128" s="94" t="s">
        <v>143</v>
      </c>
      <c r="AP128" s="45" t="s">
        <v>96</v>
      </c>
      <c r="AQ128" s="93" t="s">
        <v>97</v>
      </c>
      <c r="AR128" s="45" t="s">
        <v>96</v>
      </c>
      <c r="AS128" s="65"/>
      <c r="AT128" s="66"/>
      <c r="AU128" s="65"/>
      <c r="AV128" s="94" t="s">
        <v>143</v>
      </c>
      <c r="AW128" s="45" t="s">
        <v>96</v>
      </c>
      <c r="AX128" s="93" t="s">
        <v>97</v>
      </c>
      <c r="AY128" s="45" t="s">
        <v>96</v>
      </c>
      <c r="AZ128" s="65"/>
      <c r="BA128" s="66"/>
      <c r="BB128" s="65"/>
      <c r="BC128" s="94" t="s">
        <v>143</v>
      </c>
      <c r="BD128" s="45" t="s">
        <v>96</v>
      </c>
      <c r="BE128" s="93" t="s">
        <v>97</v>
      </c>
      <c r="BF128" s="45" t="s">
        <v>96</v>
      </c>
      <c r="BG128" s="65"/>
      <c r="BH128" s="66"/>
      <c r="BI128" s="65"/>
      <c r="BJ128" s="94" t="s">
        <v>143</v>
      </c>
      <c r="BK128" s="45" t="s">
        <v>96</v>
      </c>
      <c r="BL128" s="93" t="s">
        <v>97</v>
      </c>
      <c r="BM128" s="45" t="s">
        <v>96</v>
      </c>
      <c r="BN128" s="65"/>
      <c r="BO128" s="66"/>
      <c r="BP128" s="65"/>
      <c r="BQ128" s="94" t="s">
        <v>143</v>
      </c>
      <c r="BR128" s="45" t="s">
        <v>96</v>
      </c>
      <c r="BS128" s="93" t="s">
        <v>97</v>
      </c>
      <c r="BT128" s="45" t="s">
        <v>96</v>
      </c>
      <c r="BU128" s="65"/>
      <c r="BV128" s="66"/>
      <c r="BW128" s="65"/>
      <c r="BX128" s="94" t="s">
        <v>143</v>
      </c>
      <c r="BY128" s="45" t="s">
        <v>96</v>
      </c>
      <c r="BZ128" s="93" t="s">
        <v>97</v>
      </c>
      <c r="CA128" s="45" t="s">
        <v>96</v>
      </c>
      <c r="CB128" s="65"/>
      <c r="CC128" s="66"/>
      <c r="CD128" s="65"/>
      <c r="CE128" s="94" t="s">
        <v>143</v>
      </c>
      <c r="CF128" s="45" t="s">
        <v>96</v>
      </c>
      <c r="CG128" s="93" t="s">
        <v>97</v>
      </c>
      <c r="CH128" s="45" t="s">
        <v>96</v>
      </c>
      <c r="CI128" s="65"/>
      <c r="CJ128" s="66"/>
      <c r="CK128" s="65"/>
      <c r="CL128" s="94" t="s">
        <v>143</v>
      </c>
      <c r="CM128" s="45" t="s">
        <v>96</v>
      </c>
      <c r="CN128" s="93" t="s">
        <v>97</v>
      </c>
      <c r="CO128" s="45" t="s">
        <v>96</v>
      </c>
      <c r="CP128" s="65"/>
      <c r="CQ128" s="66"/>
      <c r="CR128" s="65"/>
    </row>
    <row r="129" spans="1:96" ht="12.75">
      <c r="A129" s="13"/>
      <c r="B129" s="9"/>
      <c r="C129" s="9"/>
      <c r="D129" s="10"/>
      <c r="E129" s="9"/>
      <c r="F129" s="11"/>
      <c r="G129" s="9"/>
      <c r="H129" s="9"/>
      <c r="I129" s="9"/>
      <c r="J129" s="10"/>
      <c r="K129" s="9"/>
      <c r="L129" s="11"/>
      <c r="M129" s="9"/>
      <c r="N129" s="55"/>
      <c r="O129" s="56"/>
      <c r="P129" s="55"/>
      <c r="Q129" s="9"/>
      <c r="R129" s="10"/>
      <c r="S129" s="9"/>
      <c r="T129" s="11"/>
      <c r="U129" s="9"/>
      <c r="V129" s="55"/>
      <c r="W129" s="56"/>
      <c r="X129" s="55"/>
      <c r="Y129" s="9"/>
      <c r="Z129" s="10"/>
      <c r="AA129" s="9"/>
      <c r="AB129" s="11"/>
      <c r="AC129" s="9"/>
      <c r="AD129" s="55"/>
      <c r="AE129" s="56"/>
      <c r="AF129" s="55"/>
      <c r="AG129" s="9"/>
      <c r="AH129" s="10"/>
      <c r="AI129" s="9"/>
      <c r="AJ129" s="11"/>
      <c r="AK129" s="9"/>
      <c r="AL129" s="55"/>
      <c r="AM129" s="56"/>
      <c r="AN129" s="55"/>
      <c r="AO129" s="10"/>
      <c r="AP129" s="9"/>
      <c r="AQ129" s="11"/>
      <c r="AR129" s="9"/>
      <c r="AS129" s="55"/>
      <c r="AT129" s="56"/>
      <c r="AU129" s="55"/>
      <c r="AV129" s="10"/>
      <c r="AW129" s="9"/>
      <c r="AX129" s="11"/>
      <c r="AY129" s="9"/>
      <c r="AZ129" s="55"/>
      <c r="BA129" s="56"/>
      <c r="BB129" s="55"/>
      <c r="BC129" s="10"/>
      <c r="BD129" s="9"/>
      <c r="BE129" s="11"/>
      <c r="BF129" s="9"/>
      <c r="BG129" s="55"/>
      <c r="BH129" s="56"/>
      <c r="BI129" s="55"/>
      <c r="BJ129" s="10"/>
      <c r="BK129" s="9"/>
      <c r="BL129" s="11"/>
      <c r="BM129" s="9"/>
      <c r="BN129" s="55"/>
      <c r="BO129" s="56"/>
      <c r="BP129" s="55"/>
      <c r="BQ129" s="10"/>
      <c r="BR129" s="9"/>
      <c r="BS129" s="11"/>
      <c r="BT129" s="9"/>
      <c r="BU129" s="55"/>
      <c r="BV129" s="56"/>
      <c r="BW129" s="55"/>
      <c r="BX129" s="10"/>
      <c r="BY129" s="9"/>
      <c r="BZ129" s="11"/>
      <c r="CA129" s="9"/>
      <c r="CB129" s="55"/>
      <c r="CC129" s="56"/>
      <c r="CD129" s="55"/>
      <c r="CE129" s="10"/>
      <c r="CF129" s="9"/>
      <c r="CG129" s="11"/>
      <c r="CH129" s="9"/>
      <c r="CI129" s="55"/>
      <c r="CJ129" s="56"/>
      <c r="CK129" s="55"/>
      <c r="CL129" s="10"/>
      <c r="CM129" s="9"/>
      <c r="CN129" s="11"/>
      <c r="CO129" s="9"/>
      <c r="CP129" s="55"/>
      <c r="CQ129" s="56"/>
      <c r="CR129" s="55"/>
    </row>
    <row r="130" spans="1:96" ht="12.75">
      <c r="A130" s="9" t="s">
        <v>89</v>
      </c>
      <c r="B130" s="9"/>
      <c r="C130" s="9"/>
      <c r="D130" s="10">
        <v>297733.5</v>
      </c>
      <c r="E130" s="15">
        <v>0.033531534549209666</v>
      </c>
      <c r="F130" s="11">
        <v>240</v>
      </c>
      <c r="G130" s="15">
        <v>0.032454361054766734</v>
      </c>
      <c r="H130" s="9"/>
      <c r="I130" s="9"/>
      <c r="J130" s="10">
        <v>205875.13</v>
      </c>
      <c r="K130" s="15">
        <v>0.03445301578223095</v>
      </c>
      <c r="L130" s="11">
        <v>218</v>
      </c>
      <c r="M130" s="15">
        <v>0.03154391549703371</v>
      </c>
      <c r="N130" s="57"/>
      <c r="O130" s="56"/>
      <c r="P130" s="57"/>
      <c r="Q130" s="9"/>
      <c r="R130" s="10">
        <v>231611.21</v>
      </c>
      <c r="S130" s="15">
        <v>0.03141862023475459</v>
      </c>
      <c r="T130" s="11">
        <v>264</v>
      </c>
      <c r="U130" s="15">
        <v>0.02856524561783164</v>
      </c>
      <c r="V130" s="57"/>
      <c r="W130" s="56"/>
      <c r="X130" s="57"/>
      <c r="Y130" s="9"/>
      <c r="Z130" s="10">
        <v>180571.79</v>
      </c>
      <c r="AA130" s="15">
        <v>0.022649356222671044</v>
      </c>
      <c r="AB130" s="11">
        <v>220</v>
      </c>
      <c r="AC130" s="15">
        <v>0.023496742497062906</v>
      </c>
      <c r="AD130" s="57"/>
      <c r="AE130" s="56"/>
      <c r="AF130" s="57"/>
      <c r="AG130" s="9"/>
      <c r="AH130" s="10">
        <v>165138.8</v>
      </c>
      <c r="AI130" s="15">
        <v>0.02010435132616301</v>
      </c>
      <c r="AJ130" s="11">
        <v>179</v>
      </c>
      <c r="AK130" s="15">
        <v>0.01950528495150921</v>
      </c>
      <c r="AL130" s="57"/>
      <c r="AM130" s="56"/>
      <c r="AN130" s="57"/>
      <c r="AO130" s="10">
        <v>155056.62</v>
      </c>
      <c r="AP130" s="15">
        <v>0.01517422883071086</v>
      </c>
      <c r="AQ130" s="11">
        <v>177</v>
      </c>
      <c r="AR130" s="15">
        <v>0.015775401069518715</v>
      </c>
      <c r="AS130" s="57"/>
      <c r="AT130" s="56"/>
      <c r="AU130" s="57"/>
      <c r="AV130" s="10">
        <v>109422.51</v>
      </c>
      <c r="AW130" s="15">
        <v>0.008149037881507315</v>
      </c>
      <c r="AX130" s="11">
        <v>125</v>
      </c>
      <c r="AY130" s="15">
        <v>0.008968288133161141</v>
      </c>
      <c r="AZ130" s="57"/>
      <c r="BA130" s="56"/>
      <c r="BB130" s="57"/>
      <c r="BC130" s="10">
        <v>67974.73</v>
      </c>
      <c r="BD130" s="15">
        <v>0.005193292009809147</v>
      </c>
      <c r="BE130" s="11">
        <v>87</v>
      </c>
      <c r="BF130" s="15">
        <v>0.006091583811791066</v>
      </c>
      <c r="BG130" s="57"/>
      <c r="BH130" s="56"/>
      <c r="BI130" s="57"/>
      <c r="BJ130" s="10">
        <v>49362.93</v>
      </c>
      <c r="BK130" s="15">
        <v>0.004844696460531853</v>
      </c>
      <c r="BL130" s="11">
        <v>60</v>
      </c>
      <c r="BM130" s="15">
        <v>0.004948453608247422</v>
      </c>
      <c r="BN130" s="57"/>
      <c r="BO130" s="56"/>
      <c r="BP130" s="57"/>
      <c r="BQ130" s="10">
        <v>39732.95</v>
      </c>
      <c r="BR130" s="15">
        <v>0.005791988972521918</v>
      </c>
      <c r="BS130" s="11">
        <v>54</v>
      </c>
      <c r="BT130" s="15">
        <v>0.006352941176470588</v>
      </c>
      <c r="BU130" s="57"/>
      <c r="BV130" s="56"/>
      <c r="BW130" s="57"/>
      <c r="BX130" s="10">
        <v>32235.17</v>
      </c>
      <c r="BY130" s="15">
        <v>0.0064782970696514635</v>
      </c>
      <c r="BZ130" s="11">
        <v>49</v>
      </c>
      <c r="CA130" s="15">
        <v>0.00794809407948094</v>
      </c>
      <c r="CB130" s="57"/>
      <c r="CC130" s="56"/>
      <c r="CD130" s="57"/>
      <c r="CE130" s="10">
        <v>789962.77</v>
      </c>
      <c r="CF130" s="15">
        <v>0.04593153235567508</v>
      </c>
      <c r="CG130" s="11">
        <v>501</v>
      </c>
      <c r="CH130" s="15">
        <v>0.026396206533192836</v>
      </c>
      <c r="CI130" s="57"/>
      <c r="CJ130" s="56"/>
      <c r="CK130" s="57"/>
      <c r="CL130" s="10">
        <v>776491.86</v>
      </c>
      <c r="CM130" s="15">
        <f>+CL130/$CL$139</f>
        <v>0.05179368832469374</v>
      </c>
      <c r="CN130" s="11">
        <v>550</v>
      </c>
      <c r="CO130" s="15">
        <f>+CN130/$CN$139</f>
        <v>0.032831900668576885</v>
      </c>
      <c r="CP130" s="57"/>
      <c r="CQ130" s="56"/>
      <c r="CR130" s="57"/>
    </row>
    <row r="131" spans="1:96" ht="12.75">
      <c r="A131" s="9" t="s">
        <v>90</v>
      </c>
      <c r="B131" s="9"/>
      <c r="C131" s="9"/>
      <c r="D131" s="10">
        <v>1203076.51</v>
      </c>
      <c r="E131" s="15">
        <v>0.1354936598011562</v>
      </c>
      <c r="F131" s="11">
        <v>1099</v>
      </c>
      <c r="G131" s="15">
        <v>0.14861392832995268</v>
      </c>
      <c r="H131" s="9"/>
      <c r="I131" s="9"/>
      <c r="J131" s="10">
        <v>789430.95</v>
      </c>
      <c r="K131" s="15">
        <v>0.13211055157236118</v>
      </c>
      <c r="L131" s="11">
        <v>1050</v>
      </c>
      <c r="M131" s="15">
        <v>0.15193170308204312</v>
      </c>
      <c r="N131" s="57"/>
      <c r="O131" s="56"/>
      <c r="P131" s="57"/>
      <c r="Q131" s="9"/>
      <c r="R131" s="10">
        <v>1030680.35</v>
      </c>
      <c r="S131" s="15">
        <v>0.13981427971501892</v>
      </c>
      <c r="T131" s="11">
        <v>1482</v>
      </c>
      <c r="U131" s="15">
        <v>0.16035490153646398</v>
      </c>
      <c r="V131" s="57"/>
      <c r="W131" s="56"/>
      <c r="X131" s="57"/>
      <c r="Y131" s="9"/>
      <c r="Z131" s="10">
        <v>1196178.09</v>
      </c>
      <c r="AA131" s="15">
        <v>0.15003818517922554</v>
      </c>
      <c r="AB131" s="11">
        <v>1744</v>
      </c>
      <c r="AC131" s="15">
        <v>0.18626508597671687</v>
      </c>
      <c r="AD131" s="57"/>
      <c r="AE131" s="56"/>
      <c r="AF131" s="57"/>
      <c r="AG131" s="9"/>
      <c r="AH131" s="10">
        <v>1288183.59</v>
      </c>
      <c r="AI131" s="15">
        <v>0.15682623021335979</v>
      </c>
      <c r="AJ131" s="11">
        <v>1738</v>
      </c>
      <c r="AK131" s="15">
        <v>0.18938650975264248</v>
      </c>
      <c r="AL131" s="57"/>
      <c r="AM131" s="56"/>
      <c r="AN131" s="57"/>
      <c r="AO131" s="10">
        <v>1626781.6</v>
      </c>
      <c r="AP131" s="15">
        <v>0.15920091806457526</v>
      </c>
      <c r="AQ131" s="11">
        <v>2161</v>
      </c>
      <c r="AR131" s="15">
        <v>0.192602495543672</v>
      </c>
      <c r="AS131" s="57"/>
      <c r="AT131" s="56"/>
      <c r="AU131" s="57"/>
      <c r="AV131" s="10">
        <v>1049045.36</v>
      </c>
      <c r="AW131" s="15">
        <v>0.07812570172315976</v>
      </c>
      <c r="AX131" s="11">
        <v>1579</v>
      </c>
      <c r="AY131" s="15">
        <v>0.11328741569809155</v>
      </c>
      <c r="AZ131" s="57"/>
      <c r="BA131" s="56"/>
      <c r="BB131" s="57"/>
      <c r="BC131" s="10">
        <v>650623.0899999992</v>
      </c>
      <c r="BD131" s="15">
        <v>0.04970782075477659</v>
      </c>
      <c r="BE131" s="11">
        <v>1160</v>
      </c>
      <c r="BF131" s="15">
        <v>0.08122111749054754</v>
      </c>
      <c r="BG131" s="57"/>
      <c r="BH131" s="56"/>
      <c r="BI131" s="57"/>
      <c r="BJ131" s="10">
        <v>394152.55</v>
      </c>
      <c r="BK131" s="15">
        <v>0.03868387601575928</v>
      </c>
      <c r="BL131" s="11">
        <v>681</v>
      </c>
      <c r="BM131" s="15">
        <v>0.05616494845360825</v>
      </c>
      <c r="BN131" s="57"/>
      <c r="BO131" s="56"/>
      <c r="BP131" s="57"/>
      <c r="BQ131" s="10">
        <v>241729.79</v>
      </c>
      <c r="BR131" s="15">
        <v>0.0352376623938076</v>
      </c>
      <c r="BS131" s="11">
        <v>520</v>
      </c>
      <c r="BT131" s="15">
        <v>0.0611764705882353</v>
      </c>
      <c r="BU131" s="57"/>
      <c r="BV131" s="56"/>
      <c r="BW131" s="57"/>
      <c r="BX131" s="10">
        <v>127826.22</v>
      </c>
      <c r="BY131" s="15">
        <v>0.025689215426834226</v>
      </c>
      <c r="BZ131" s="11">
        <v>383</v>
      </c>
      <c r="CA131" s="15">
        <v>0.06212489862124899</v>
      </c>
      <c r="CB131" s="57"/>
      <c r="CC131" s="56"/>
      <c r="CD131" s="57"/>
      <c r="CE131" s="10">
        <v>68471.03</v>
      </c>
      <c r="CF131" s="15">
        <v>0.003981174112637482</v>
      </c>
      <c r="CG131" s="11">
        <v>203</v>
      </c>
      <c r="CH131" s="15">
        <v>0.010695468914646997</v>
      </c>
      <c r="CI131" s="57"/>
      <c r="CJ131" s="56"/>
      <c r="CK131" s="57"/>
      <c r="CL131" s="10">
        <v>0</v>
      </c>
      <c r="CM131" s="15">
        <f aca="true" t="shared" si="0" ref="CM131:CM137">+CL131/$CL$139</f>
        <v>0</v>
      </c>
      <c r="CN131" s="11">
        <v>0</v>
      </c>
      <c r="CO131" s="15">
        <f aca="true" t="shared" si="1" ref="CO131:CO137">+CN131/$CN$139</f>
        <v>0</v>
      </c>
      <c r="CP131" s="57"/>
      <c r="CQ131" s="56"/>
      <c r="CR131" s="57"/>
    </row>
    <row r="132" spans="1:96" ht="12.75">
      <c r="A132" s="9" t="s">
        <v>91</v>
      </c>
      <c r="B132" s="9"/>
      <c r="C132" s="9"/>
      <c r="D132" s="10">
        <v>98601.84</v>
      </c>
      <c r="E132" s="15">
        <v>0.011104800113442531</v>
      </c>
      <c r="F132" s="11">
        <v>77</v>
      </c>
      <c r="G132" s="15">
        <v>0.010412440838404327</v>
      </c>
      <c r="H132" s="9"/>
      <c r="I132" s="9"/>
      <c r="J132" s="10">
        <v>68207.64</v>
      </c>
      <c r="K132" s="15">
        <v>0.011414486525831104</v>
      </c>
      <c r="L132" s="11">
        <v>63</v>
      </c>
      <c r="M132" s="15">
        <v>0.009115902184922588</v>
      </c>
      <c r="N132" s="57"/>
      <c r="O132" s="56"/>
      <c r="P132" s="57"/>
      <c r="Q132" s="9"/>
      <c r="R132" s="10">
        <v>57265.19</v>
      </c>
      <c r="S132" s="15">
        <v>0.007768161382521452</v>
      </c>
      <c r="T132" s="11">
        <v>60</v>
      </c>
      <c r="U132" s="15">
        <v>0.006492101276779918</v>
      </c>
      <c r="V132" s="57"/>
      <c r="W132" s="56"/>
      <c r="X132" s="57"/>
      <c r="Y132" s="9"/>
      <c r="Z132" s="10">
        <v>58437.26</v>
      </c>
      <c r="AA132" s="15">
        <v>0.007329862092062366</v>
      </c>
      <c r="AB132" s="11">
        <v>56</v>
      </c>
      <c r="AC132" s="15">
        <v>0.005980988999252377</v>
      </c>
      <c r="AD132" s="57"/>
      <c r="AE132" s="56"/>
      <c r="AF132" s="57"/>
      <c r="AG132" s="9"/>
      <c r="AH132" s="10">
        <v>36622.02</v>
      </c>
      <c r="AI132" s="15">
        <v>0.0044584431784278926</v>
      </c>
      <c r="AJ132" s="11">
        <v>42</v>
      </c>
      <c r="AK132" s="15">
        <v>0.004576659038901602</v>
      </c>
      <c r="AL132" s="57"/>
      <c r="AM132" s="56"/>
      <c r="AN132" s="57"/>
      <c r="AO132" s="10">
        <v>42027.73</v>
      </c>
      <c r="AP132" s="15">
        <v>0.004112938823607351</v>
      </c>
      <c r="AQ132" s="11">
        <v>45</v>
      </c>
      <c r="AR132" s="15">
        <v>0.004010695187165776</v>
      </c>
      <c r="AS132" s="57"/>
      <c r="AT132" s="56"/>
      <c r="AU132" s="57"/>
      <c r="AV132" s="10">
        <v>24679.35</v>
      </c>
      <c r="AW132" s="15">
        <v>0.0018379486820488523</v>
      </c>
      <c r="AX132" s="11">
        <v>34</v>
      </c>
      <c r="AY132" s="15">
        <v>0.0024393743722198307</v>
      </c>
      <c r="AZ132" s="57"/>
      <c r="BA132" s="56"/>
      <c r="BB132" s="57"/>
      <c r="BC132" s="10">
        <v>21394.27</v>
      </c>
      <c r="BD132" s="15">
        <v>0.0016345293529919074</v>
      </c>
      <c r="BE132" s="11">
        <v>31</v>
      </c>
      <c r="BF132" s="15">
        <v>0.0021705643467301496</v>
      </c>
      <c r="BG132" s="57"/>
      <c r="BH132" s="56"/>
      <c r="BI132" s="57"/>
      <c r="BJ132" s="10">
        <v>18751.73</v>
      </c>
      <c r="BK132" s="15">
        <v>0.0018403777887546174</v>
      </c>
      <c r="BL132" s="11">
        <v>28</v>
      </c>
      <c r="BM132" s="15">
        <v>0.002309278350515464</v>
      </c>
      <c r="BN132" s="57"/>
      <c r="BO132" s="56"/>
      <c r="BP132" s="57"/>
      <c r="BQ132" s="10">
        <v>16203.79</v>
      </c>
      <c r="BR132" s="15">
        <v>0.002362074122184759</v>
      </c>
      <c r="BS132" s="11">
        <v>25</v>
      </c>
      <c r="BT132" s="15">
        <v>0.0029411764705882353</v>
      </c>
      <c r="BU132" s="57"/>
      <c r="BV132" s="56"/>
      <c r="BW132" s="57"/>
      <c r="BX132" s="10">
        <v>13696.36</v>
      </c>
      <c r="BY132" s="15">
        <v>0.002752555325530826</v>
      </c>
      <c r="BZ132" s="11">
        <v>25</v>
      </c>
      <c r="CA132" s="15">
        <v>0.0040551500405515</v>
      </c>
      <c r="CB132" s="57"/>
      <c r="CC132" s="56"/>
      <c r="CD132" s="57"/>
      <c r="CE132" s="10">
        <v>11468.11</v>
      </c>
      <c r="CF132" s="15">
        <v>0.0006668008740759274</v>
      </c>
      <c r="CG132" s="11">
        <v>24</v>
      </c>
      <c r="CH132" s="15">
        <v>0.0012644889357218123</v>
      </c>
      <c r="CI132" s="57"/>
      <c r="CJ132" s="56"/>
      <c r="CK132" s="57"/>
      <c r="CL132" s="10">
        <v>0</v>
      </c>
      <c r="CM132" s="15">
        <f t="shared" si="0"/>
        <v>0</v>
      </c>
      <c r="CN132" s="11">
        <v>0</v>
      </c>
      <c r="CO132" s="15">
        <f t="shared" si="1"/>
        <v>0</v>
      </c>
      <c r="CP132" s="57"/>
      <c r="CQ132" s="56"/>
      <c r="CR132" s="57"/>
    </row>
    <row r="133" spans="1:96" ht="12.75">
      <c r="A133" s="9" t="s">
        <v>92</v>
      </c>
      <c r="B133" s="9"/>
      <c r="C133" s="9"/>
      <c r="D133" s="10">
        <v>7077339.259999996</v>
      </c>
      <c r="E133" s="15">
        <v>0.7970686735391475</v>
      </c>
      <c r="F133" s="11">
        <v>5720</v>
      </c>
      <c r="G133" s="15">
        <v>0.7734956051386072</v>
      </c>
      <c r="H133" s="9"/>
      <c r="I133" s="9"/>
      <c r="J133" s="10">
        <v>4786254.83</v>
      </c>
      <c r="K133" s="15">
        <v>0.8009753931704569</v>
      </c>
      <c r="L133" s="11">
        <v>5347</v>
      </c>
      <c r="M133" s="15">
        <v>0.7736941108377948</v>
      </c>
      <c r="N133" s="57"/>
      <c r="O133" s="56"/>
      <c r="P133" s="57"/>
      <c r="Q133" s="9"/>
      <c r="R133" s="10">
        <v>5938249.36</v>
      </c>
      <c r="S133" s="15">
        <v>0.8055378731500714</v>
      </c>
      <c r="T133" s="11">
        <v>7213</v>
      </c>
      <c r="U133" s="15">
        <v>0.7804587751568924</v>
      </c>
      <c r="V133" s="57"/>
      <c r="W133" s="56"/>
      <c r="X133" s="57"/>
      <c r="Y133" s="9"/>
      <c r="Z133" s="10">
        <v>6437804.969999959</v>
      </c>
      <c r="AA133" s="15">
        <v>0.8075023128341984</v>
      </c>
      <c r="AB133" s="11">
        <v>7141</v>
      </c>
      <c r="AC133" s="15">
        <v>0.7626829007796646</v>
      </c>
      <c r="AD133" s="57"/>
      <c r="AE133" s="56"/>
      <c r="AF133" s="57"/>
      <c r="AG133" s="9"/>
      <c r="AH133" s="10">
        <v>6610507.83999998</v>
      </c>
      <c r="AI133" s="15">
        <v>0.8047773876261338</v>
      </c>
      <c r="AJ133" s="11">
        <v>7011</v>
      </c>
      <c r="AK133" s="15">
        <v>0.7639751552795031</v>
      </c>
      <c r="AL133" s="57"/>
      <c r="AM133" s="56"/>
      <c r="AN133" s="57"/>
      <c r="AO133" s="10">
        <v>8145618.829999985</v>
      </c>
      <c r="AP133" s="15">
        <v>0.7971506414506332</v>
      </c>
      <c r="AQ133" s="11">
        <v>8482</v>
      </c>
      <c r="AR133" s="15">
        <v>0.7559714795008913</v>
      </c>
      <c r="AS133" s="57"/>
      <c r="AT133" s="56"/>
      <c r="AU133" s="57"/>
      <c r="AV133" s="10">
        <v>11321592.640000015</v>
      </c>
      <c r="AW133" s="15">
        <v>0.8431545511280493</v>
      </c>
      <c r="AX133" s="11">
        <v>11349</v>
      </c>
      <c r="AY133" s="15">
        <v>0.8142488161859665</v>
      </c>
      <c r="AZ133" s="57"/>
      <c r="BA133" s="56"/>
      <c r="BB133" s="57"/>
      <c r="BC133" s="10">
        <v>11085768.850000015</v>
      </c>
      <c r="BD133" s="15">
        <v>0.8469564320637425</v>
      </c>
      <c r="BE133" s="11">
        <v>11859</v>
      </c>
      <c r="BF133" s="15">
        <v>0.8303458899313821</v>
      </c>
      <c r="BG133" s="57"/>
      <c r="BH133" s="56"/>
      <c r="BI133" s="57"/>
      <c r="BJ133" s="10">
        <v>8710491.039999986</v>
      </c>
      <c r="BK133" s="15">
        <v>0.8548861485933341</v>
      </c>
      <c r="BL133" s="11">
        <v>10310</v>
      </c>
      <c r="BM133" s="15">
        <v>0.8503092783505155</v>
      </c>
      <c r="BN133" s="57"/>
      <c r="BO133" s="56"/>
      <c r="BP133" s="57"/>
      <c r="BQ133" s="10">
        <v>5912952.679999999</v>
      </c>
      <c r="BR133" s="15">
        <v>0.8619485016240653</v>
      </c>
      <c r="BS133" s="11">
        <v>7186</v>
      </c>
      <c r="BT133" s="15">
        <v>0.8454117647058823</v>
      </c>
      <c r="BU133" s="57"/>
      <c r="BV133" s="56"/>
      <c r="BW133" s="57"/>
      <c r="BX133" s="10">
        <v>4358281.060000007</v>
      </c>
      <c r="BY133" s="15">
        <v>0.8758830624971272</v>
      </c>
      <c r="BZ133" s="11">
        <v>5256</v>
      </c>
      <c r="CA133" s="15">
        <v>0.8525547445255475</v>
      </c>
      <c r="CB133" s="57"/>
      <c r="CC133" s="56"/>
      <c r="CD133" s="57"/>
      <c r="CE133" s="10">
        <v>14188130.689999992</v>
      </c>
      <c r="CF133" s="15">
        <v>0.8249535403475798</v>
      </c>
      <c r="CG133" s="11">
        <v>16137</v>
      </c>
      <c r="CH133" s="15">
        <v>0.8502107481559537</v>
      </c>
      <c r="CI133" s="57"/>
      <c r="CJ133" s="56"/>
      <c r="CK133" s="57"/>
      <c r="CL133" s="10">
        <v>11590576.25</v>
      </c>
      <c r="CM133" s="15">
        <f t="shared" si="0"/>
        <v>0.7731165318282893</v>
      </c>
      <c r="CN133" s="11">
        <v>13346</v>
      </c>
      <c r="CO133" s="15">
        <f t="shared" si="1"/>
        <v>0.7966809933142311</v>
      </c>
      <c r="CP133" s="57"/>
      <c r="CQ133" s="56"/>
      <c r="CR133" s="57"/>
    </row>
    <row r="134" spans="1:96" ht="12.75">
      <c r="A134" s="9" t="s">
        <v>86</v>
      </c>
      <c r="B134" s="9"/>
      <c r="C134" s="9"/>
      <c r="D134" s="10">
        <v>171653.38000000827</v>
      </c>
      <c r="E134" s="15">
        <v>0.019332057836820148</v>
      </c>
      <c r="F134" s="11">
        <v>202</v>
      </c>
      <c r="G134" s="15">
        <v>0.027315753887762</v>
      </c>
      <c r="H134" s="9"/>
      <c r="I134" s="9"/>
      <c r="J134" s="10">
        <v>107887.94999998901</v>
      </c>
      <c r="K134" s="15">
        <v>0.018054950318973275</v>
      </c>
      <c r="L134" s="11">
        <v>184</v>
      </c>
      <c r="M134" s="15">
        <v>0.02662422225437708</v>
      </c>
      <c r="N134" s="57"/>
      <c r="O134" s="56"/>
      <c r="P134" s="57"/>
      <c r="Q134" s="9"/>
      <c r="R134" s="10">
        <v>100483.56000000332</v>
      </c>
      <c r="S134" s="15">
        <v>0.013630837693375385</v>
      </c>
      <c r="T134" s="11">
        <v>179</v>
      </c>
      <c r="U134" s="15">
        <v>0.01936810214239342</v>
      </c>
      <c r="V134" s="57"/>
      <c r="W134" s="56"/>
      <c r="X134" s="57"/>
      <c r="Y134" s="9"/>
      <c r="Z134" s="10">
        <v>86614.06000003032</v>
      </c>
      <c r="AA134" s="15">
        <v>0.010864115036088917</v>
      </c>
      <c r="AB134" s="11">
        <v>156</v>
      </c>
      <c r="AC134" s="15">
        <v>0.016661326497917333</v>
      </c>
      <c r="AD134" s="57"/>
      <c r="AE134" s="56"/>
      <c r="AF134" s="57"/>
      <c r="AG134" s="9"/>
      <c r="AH134" s="10">
        <v>97445.6099999994</v>
      </c>
      <c r="AI134" s="15">
        <v>0.011863237341147274</v>
      </c>
      <c r="AJ134" s="11">
        <v>159</v>
      </c>
      <c r="AK134" s="15">
        <v>0.017325923504413206</v>
      </c>
      <c r="AL134" s="57"/>
      <c r="AM134" s="56"/>
      <c r="AN134" s="57"/>
      <c r="AO134" s="10">
        <v>237398.5600000061</v>
      </c>
      <c r="AP134" s="15">
        <v>0.023232417122992465</v>
      </c>
      <c r="AQ134" s="11">
        <v>316</v>
      </c>
      <c r="AR134" s="15">
        <v>0.028163992869875223</v>
      </c>
      <c r="AS134" s="57"/>
      <c r="AT134" s="56"/>
      <c r="AU134" s="57"/>
      <c r="AV134" s="10">
        <v>917644.4999999292</v>
      </c>
      <c r="AW134" s="15">
        <v>0.06833986711012441</v>
      </c>
      <c r="AX134" s="11">
        <v>825</v>
      </c>
      <c r="AY134" s="15">
        <v>0.05919070167886354</v>
      </c>
      <c r="AZ134" s="57"/>
      <c r="BA134" s="56"/>
      <c r="BB134" s="57"/>
      <c r="BC134" s="10">
        <v>1159924.9599999823</v>
      </c>
      <c r="BD134" s="15">
        <v>0.08861865323696182</v>
      </c>
      <c r="BE134" s="11">
        <v>1034</v>
      </c>
      <c r="BF134" s="15">
        <v>0.07239882369416048</v>
      </c>
      <c r="BG134" s="57"/>
      <c r="BH134" s="56"/>
      <c r="BI134" s="57"/>
      <c r="BJ134" s="10">
        <v>930215.8400000352</v>
      </c>
      <c r="BK134" s="15">
        <v>0.09129550023831313</v>
      </c>
      <c r="BL134" s="11">
        <v>954</v>
      </c>
      <c r="BM134" s="15">
        <v>0.07868041237113402</v>
      </c>
      <c r="BN134" s="57"/>
      <c r="BO134" s="56"/>
      <c r="BP134" s="57"/>
      <c r="BQ134" s="10">
        <v>590735.1800000044</v>
      </c>
      <c r="BR134" s="15">
        <v>0.08611320448747889</v>
      </c>
      <c r="BS134" s="11">
        <v>654</v>
      </c>
      <c r="BT134" s="15">
        <v>0.07694117647058824</v>
      </c>
      <c r="BU134" s="57"/>
      <c r="BV134" s="56"/>
      <c r="BW134" s="57"/>
      <c r="BX134" s="10">
        <v>403420.98000000324</v>
      </c>
      <c r="BY134" s="15">
        <v>0.08107545120965526</v>
      </c>
      <c r="BZ134" s="11">
        <v>408</v>
      </c>
      <c r="CA134" s="15">
        <v>0.06618004866180048</v>
      </c>
      <c r="CB134" s="57"/>
      <c r="CC134" s="56"/>
      <c r="CD134" s="57"/>
      <c r="CE134" s="10">
        <v>2012426.7599999793</v>
      </c>
      <c r="CF134" s="15">
        <v>0.11701038118589484</v>
      </c>
      <c r="CG134" s="11">
        <v>2000</v>
      </c>
      <c r="CH134" s="15">
        <v>0.1053740779768177</v>
      </c>
      <c r="CI134" s="57"/>
      <c r="CJ134" s="56"/>
      <c r="CK134" s="57"/>
      <c r="CL134" s="10">
        <v>2506653.2199999</v>
      </c>
      <c r="CM134" s="15">
        <f t="shared" si="0"/>
        <v>0.16719919718767537</v>
      </c>
      <c r="CN134" s="11">
        <v>2746</v>
      </c>
      <c r="CO134" s="15">
        <f t="shared" si="1"/>
        <v>0.1639207258834766</v>
      </c>
      <c r="CP134" s="57"/>
      <c r="CQ134" s="56"/>
      <c r="CR134" s="57"/>
    </row>
    <row r="135" spans="1:96" ht="12.75">
      <c r="A135" s="9" t="s">
        <v>93</v>
      </c>
      <c r="B135" s="9"/>
      <c r="C135" s="9"/>
      <c r="D135" s="10">
        <v>3719.78</v>
      </c>
      <c r="E135" s="15">
        <v>0.00041893146584263806</v>
      </c>
      <c r="F135" s="11">
        <v>8</v>
      </c>
      <c r="G135" s="15">
        <v>0.0010818120351588911</v>
      </c>
      <c r="H135" s="9"/>
      <c r="I135" s="9"/>
      <c r="J135" s="10">
        <v>2403.67</v>
      </c>
      <c r="K135" s="15">
        <v>0.0004022519885975301</v>
      </c>
      <c r="L135" s="11">
        <v>8</v>
      </c>
      <c r="M135" s="15">
        <v>0.0011575748806250904</v>
      </c>
      <c r="N135" s="57"/>
      <c r="O135" s="56"/>
      <c r="P135" s="57"/>
      <c r="Q135" s="9"/>
      <c r="R135" s="10">
        <v>4992.59</v>
      </c>
      <c r="S135" s="15">
        <v>0.0006772568961486513</v>
      </c>
      <c r="T135" s="11">
        <v>17</v>
      </c>
      <c r="U135" s="15">
        <v>0.0018394286950876434</v>
      </c>
      <c r="V135" s="57"/>
      <c r="W135" s="56"/>
      <c r="X135" s="57"/>
      <c r="Y135" s="9"/>
      <c r="Z135" s="10">
        <v>4958.14</v>
      </c>
      <c r="AA135" s="15">
        <v>0.0006219059968441042</v>
      </c>
      <c r="AB135" s="11">
        <v>22</v>
      </c>
      <c r="AC135" s="15">
        <v>0.0023496742497062907</v>
      </c>
      <c r="AD135" s="57"/>
      <c r="AE135" s="56"/>
      <c r="AF135" s="57"/>
      <c r="AG135" s="9"/>
      <c r="AH135" s="10">
        <v>10035.79</v>
      </c>
      <c r="AI135" s="15">
        <v>0.0012217785765404226</v>
      </c>
      <c r="AJ135" s="11">
        <v>32</v>
      </c>
      <c r="AK135" s="15">
        <v>0.0034869783153536013</v>
      </c>
      <c r="AL135" s="57"/>
      <c r="AM135" s="56"/>
      <c r="AN135" s="57"/>
      <c r="AO135" s="10">
        <v>11031.68</v>
      </c>
      <c r="AP135" s="15">
        <v>0.0010795878093252417</v>
      </c>
      <c r="AQ135" s="11">
        <v>35</v>
      </c>
      <c r="AR135" s="15">
        <v>0.0031194295900178253</v>
      </c>
      <c r="AS135" s="57"/>
      <c r="AT135" s="56"/>
      <c r="AU135" s="57"/>
      <c r="AV135" s="10">
        <v>5275.64</v>
      </c>
      <c r="AW135" s="15">
        <v>0.0003928934751103337</v>
      </c>
      <c r="AX135" s="11">
        <v>26</v>
      </c>
      <c r="AY135" s="15">
        <v>0.0018654039316975176</v>
      </c>
      <c r="AZ135" s="57"/>
      <c r="BA135" s="56"/>
      <c r="BB135" s="57"/>
      <c r="BC135" s="10">
        <v>1837.98</v>
      </c>
      <c r="BD135" s="15">
        <v>0.0001404222841074767</v>
      </c>
      <c r="BE135" s="11">
        <v>11</v>
      </c>
      <c r="BF135" s="15">
        <v>0.000770200252065537</v>
      </c>
      <c r="BG135" s="57"/>
      <c r="BH135" s="56"/>
      <c r="BI135" s="57"/>
      <c r="BJ135" s="10">
        <v>707.43</v>
      </c>
      <c r="BK135" s="15">
        <v>6.943031171516861E-05</v>
      </c>
      <c r="BL135" s="11">
        <v>1</v>
      </c>
      <c r="BM135" s="15">
        <v>8.247422680412371E-05</v>
      </c>
      <c r="BN135" s="57"/>
      <c r="BO135" s="56"/>
      <c r="BP135" s="57"/>
      <c r="BQ135" s="10">
        <v>707.43</v>
      </c>
      <c r="BR135" s="15">
        <v>0.00010312415158781764</v>
      </c>
      <c r="BS135" s="11">
        <v>1</v>
      </c>
      <c r="BT135" s="15">
        <v>0.00011764705882352942</v>
      </c>
      <c r="BU135" s="57"/>
      <c r="BV135" s="56"/>
      <c r="BW135" s="57"/>
      <c r="BX135" s="10">
        <v>707.43</v>
      </c>
      <c r="BY135" s="15">
        <v>0.00014217209637745155</v>
      </c>
      <c r="BZ135" s="11">
        <v>1</v>
      </c>
      <c r="CA135" s="15">
        <v>0.00016220600162206002</v>
      </c>
      <c r="CB135" s="57"/>
      <c r="CC135" s="56"/>
      <c r="CD135" s="57"/>
      <c r="CE135" s="10">
        <v>707.43</v>
      </c>
      <c r="CF135" s="15">
        <v>4.113275355289871E-05</v>
      </c>
      <c r="CG135" s="11">
        <v>1</v>
      </c>
      <c r="CH135" s="15">
        <v>5.2687038988408854E-05</v>
      </c>
      <c r="CI135" s="57"/>
      <c r="CJ135" s="56"/>
      <c r="CK135" s="57"/>
      <c r="CL135" s="10">
        <v>0</v>
      </c>
      <c r="CM135" s="15">
        <f t="shared" si="0"/>
        <v>0</v>
      </c>
      <c r="CN135" s="11">
        <v>0</v>
      </c>
      <c r="CO135" s="15">
        <f t="shared" si="1"/>
        <v>0</v>
      </c>
      <c r="CP135" s="57"/>
      <c r="CQ135" s="56"/>
      <c r="CR135" s="57"/>
    </row>
    <row r="136" spans="1:96" ht="12.75">
      <c r="A136" s="9" t="s">
        <v>94</v>
      </c>
      <c r="B136" s="9"/>
      <c r="C136" s="9"/>
      <c r="D136" s="10">
        <v>0</v>
      </c>
      <c r="E136" s="15">
        <v>0</v>
      </c>
      <c r="F136" s="11">
        <v>0</v>
      </c>
      <c r="G136" s="15">
        <v>0</v>
      </c>
      <c r="H136" s="9"/>
      <c r="I136" s="9"/>
      <c r="J136" s="10">
        <v>0</v>
      </c>
      <c r="K136" s="15">
        <v>0</v>
      </c>
      <c r="L136" s="11">
        <v>0</v>
      </c>
      <c r="M136" s="15">
        <v>0</v>
      </c>
      <c r="N136" s="57"/>
      <c r="O136" s="56"/>
      <c r="P136" s="57"/>
      <c r="Q136" s="9"/>
      <c r="R136" s="10">
        <v>0</v>
      </c>
      <c r="S136" s="15">
        <v>0</v>
      </c>
      <c r="T136" s="11">
        <v>0</v>
      </c>
      <c r="U136" s="15">
        <v>0</v>
      </c>
      <c r="V136" s="57"/>
      <c r="W136" s="56"/>
      <c r="X136" s="57"/>
      <c r="Y136" s="9"/>
      <c r="Z136" s="10">
        <v>0</v>
      </c>
      <c r="AA136" s="15">
        <v>0</v>
      </c>
      <c r="AB136" s="11">
        <v>0</v>
      </c>
      <c r="AC136" s="15">
        <v>0</v>
      </c>
      <c r="AD136" s="57"/>
      <c r="AE136" s="56"/>
      <c r="AF136" s="57"/>
      <c r="AG136" s="9"/>
      <c r="AH136" s="10">
        <v>0</v>
      </c>
      <c r="AI136" s="15">
        <v>0</v>
      </c>
      <c r="AJ136" s="11">
        <v>0</v>
      </c>
      <c r="AK136" s="15">
        <v>0</v>
      </c>
      <c r="AL136" s="57"/>
      <c r="AM136" s="56"/>
      <c r="AN136" s="57"/>
      <c r="AO136" s="10">
        <v>0</v>
      </c>
      <c r="AP136" s="15">
        <v>0</v>
      </c>
      <c r="AQ136" s="11">
        <v>0</v>
      </c>
      <c r="AR136" s="15">
        <v>0</v>
      </c>
      <c r="AS136" s="57"/>
      <c r="AT136" s="56"/>
      <c r="AU136" s="57"/>
      <c r="AV136" s="10">
        <v>0</v>
      </c>
      <c r="AW136" s="15">
        <v>0</v>
      </c>
      <c r="AX136" s="11">
        <v>0</v>
      </c>
      <c r="AY136" s="15">
        <v>0</v>
      </c>
      <c r="AZ136" s="57"/>
      <c r="BA136" s="56"/>
      <c r="BB136" s="57"/>
      <c r="BC136" s="10">
        <v>0</v>
      </c>
      <c r="BD136" s="15">
        <v>0</v>
      </c>
      <c r="BE136" s="11">
        <v>0</v>
      </c>
      <c r="BF136" s="15">
        <v>0</v>
      </c>
      <c r="BG136" s="57"/>
      <c r="BH136" s="56"/>
      <c r="BI136" s="57"/>
      <c r="BJ136" s="10">
        <v>0</v>
      </c>
      <c r="BK136" s="15">
        <v>0</v>
      </c>
      <c r="BL136" s="11">
        <v>0</v>
      </c>
      <c r="BM136" s="15">
        <v>0</v>
      </c>
      <c r="BN136" s="57"/>
      <c r="BO136" s="56"/>
      <c r="BP136" s="57"/>
      <c r="BQ136" s="10">
        <v>0</v>
      </c>
      <c r="BR136" s="15">
        <v>0</v>
      </c>
      <c r="BS136" s="11">
        <v>0</v>
      </c>
      <c r="BT136" s="15">
        <v>0</v>
      </c>
      <c r="BU136" s="57"/>
      <c r="BV136" s="56"/>
      <c r="BW136" s="57"/>
      <c r="BX136" s="10">
        <v>0</v>
      </c>
      <c r="BY136" s="15">
        <v>0</v>
      </c>
      <c r="BZ136" s="11">
        <v>0</v>
      </c>
      <c r="CA136" s="15">
        <v>0</v>
      </c>
      <c r="CB136" s="57"/>
      <c r="CC136" s="56"/>
      <c r="CD136" s="57"/>
      <c r="CE136" s="10">
        <v>0</v>
      </c>
      <c r="CF136" s="15">
        <v>0</v>
      </c>
      <c r="CG136" s="11">
        <v>0</v>
      </c>
      <c r="CH136" s="15">
        <v>0</v>
      </c>
      <c r="CI136" s="57"/>
      <c r="CJ136" s="56"/>
      <c r="CK136" s="57"/>
      <c r="CL136" s="10">
        <v>0</v>
      </c>
      <c r="CM136" s="15">
        <f t="shared" si="0"/>
        <v>0</v>
      </c>
      <c r="CN136" s="11">
        <v>0</v>
      </c>
      <c r="CO136" s="15">
        <f t="shared" si="1"/>
        <v>0</v>
      </c>
      <c r="CP136" s="57"/>
      <c r="CQ136" s="56"/>
      <c r="CR136" s="57"/>
    </row>
    <row r="137" spans="1:96" ht="12.75">
      <c r="A137" s="9" t="s">
        <v>95</v>
      </c>
      <c r="B137" s="9"/>
      <c r="C137" s="9"/>
      <c r="D137" s="10">
        <v>27084.63</v>
      </c>
      <c r="E137" s="15">
        <v>0.003050342694381251</v>
      </c>
      <c r="F137" s="11">
        <v>49</v>
      </c>
      <c r="G137" s="15">
        <v>0.006626098715348208</v>
      </c>
      <c r="H137" s="9"/>
      <c r="I137" s="9"/>
      <c r="J137" s="10">
        <v>15472.75</v>
      </c>
      <c r="K137" s="15">
        <v>0.002589350641549146</v>
      </c>
      <c r="L137" s="11">
        <v>41</v>
      </c>
      <c r="M137" s="15">
        <v>0.0059325712632035885</v>
      </c>
      <c r="N137" s="57"/>
      <c r="O137" s="56"/>
      <c r="P137" s="57"/>
      <c r="Q137" s="9"/>
      <c r="R137" s="10">
        <v>8499.45</v>
      </c>
      <c r="S137" s="15">
        <v>0.001152970928109589</v>
      </c>
      <c r="T137" s="11">
        <v>27</v>
      </c>
      <c r="U137" s="15">
        <v>0.002921445574550963</v>
      </c>
      <c r="V137" s="57"/>
      <c r="W137" s="56"/>
      <c r="X137" s="57"/>
      <c r="Y137" s="9"/>
      <c r="Z137" s="10">
        <v>7926.75</v>
      </c>
      <c r="AA137" s="15">
        <v>0.000994262638909753</v>
      </c>
      <c r="AB137" s="11">
        <v>24</v>
      </c>
      <c r="AC137" s="15">
        <v>0.00256328099967959</v>
      </c>
      <c r="AD137" s="57"/>
      <c r="AE137" s="56"/>
      <c r="AF137" s="57"/>
      <c r="AG137" s="9"/>
      <c r="AH137" s="10">
        <v>6148.83</v>
      </c>
      <c r="AI137" s="15">
        <v>0.0007485717382277871</v>
      </c>
      <c r="AJ137" s="11">
        <v>16</v>
      </c>
      <c r="AK137" s="15">
        <v>0.0017434891576768006</v>
      </c>
      <c r="AL137" s="57"/>
      <c r="AM137" s="56"/>
      <c r="AN137" s="57"/>
      <c r="AO137" s="10">
        <v>503.44</v>
      </c>
      <c r="AP137" s="15">
        <v>4.9267898155738714E-05</v>
      </c>
      <c r="AQ137" s="11">
        <v>4</v>
      </c>
      <c r="AR137" s="15">
        <v>0.00035650623885918</v>
      </c>
      <c r="AS137" s="57"/>
      <c r="AT137" s="56"/>
      <c r="AU137" s="57"/>
      <c r="AV137" s="10">
        <v>0</v>
      </c>
      <c r="AW137" s="15">
        <v>0</v>
      </c>
      <c r="AX137" s="11">
        <v>0</v>
      </c>
      <c r="AY137" s="15">
        <v>0</v>
      </c>
      <c r="AZ137" s="57"/>
      <c r="BA137" s="56"/>
      <c r="BB137" s="57"/>
      <c r="BC137" s="10">
        <v>101424.3</v>
      </c>
      <c r="BD137" s="15">
        <v>0.0077488502976103945</v>
      </c>
      <c r="BE137" s="11">
        <v>100</v>
      </c>
      <c r="BF137" s="15">
        <v>0.007001820473323064</v>
      </c>
      <c r="BG137" s="57"/>
      <c r="BH137" s="56"/>
      <c r="BI137" s="57"/>
      <c r="BJ137" s="10">
        <v>85384.07</v>
      </c>
      <c r="BK137" s="15">
        <v>0.008379970591591785</v>
      </c>
      <c r="BL137" s="11">
        <v>91</v>
      </c>
      <c r="BM137" s="15">
        <v>0.007505154639175258</v>
      </c>
      <c r="BN137" s="57"/>
      <c r="BO137" s="56"/>
      <c r="BP137" s="57"/>
      <c r="BQ137" s="10">
        <v>57921.89</v>
      </c>
      <c r="BR137" s="15">
        <v>0.00844344424835376</v>
      </c>
      <c r="BS137" s="11">
        <v>60</v>
      </c>
      <c r="BT137" s="15">
        <v>0.007058823529411765</v>
      </c>
      <c r="BU137" s="57"/>
      <c r="BV137" s="56"/>
      <c r="BW137" s="57"/>
      <c r="BX137" s="10">
        <v>39703.7</v>
      </c>
      <c r="BY137" s="15">
        <v>0.007979246374823548</v>
      </c>
      <c r="BZ137" s="11">
        <v>43</v>
      </c>
      <c r="CA137" s="15">
        <v>0.006974858069748581</v>
      </c>
      <c r="CB137" s="57"/>
      <c r="CC137" s="56"/>
      <c r="CD137" s="57"/>
      <c r="CE137" s="10">
        <v>127535.92</v>
      </c>
      <c r="CF137" s="15">
        <v>0.007415438370583954</v>
      </c>
      <c r="CG137" s="11">
        <v>114</v>
      </c>
      <c r="CH137" s="15">
        <v>0.006006322444678609</v>
      </c>
      <c r="CI137" s="57"/>
      <c r="CJ137" s="56"/>
      <c r="CK137" s="57"/>
      <c r="CL137" s="10">
        <v>118295.75</v>
      </c>
      <c r="CM137" s="15">
        <f t="shared" si="0"/>
        <v>0.00789058265934158</v>
      </c>
      <c r="CN137" s="11">
        <v>110</v>
      </c>
      <c r="CO137" s="15">
        <f t="shared" si="1"/>
        <v>0.0065663801337153774</v>
      </c>
      <c r="CP137" s="57"/>
      <c r="CQ137" s="56"/>
      <c r="CR137" s="57"/>
    </row>
    <row r="138" spans="1:96" ht="12.75">
      <c r="A138" s="9"/>
      <c r="B138" s="9"/>
      <c r="C138" s="9"/>
      <c r="D138" s="10"/>
      <c r="E138" s="9"/>
      <c r="F138" s="11"/>
      <c r="G138" s="9"/>
      <c r="H138" s="9"/>
      <c r="I138" s="9"/>
      <c r="J138" s="10"/>
      <c r="K138" s="9"/>
      <c r="L138" s="11"/>
      <c r="M138" s="9"/>
      <c r="N138" s="55"/>
      <c r="O138" s="56"/>
      <c r="P138" s="55"/>
      <c r="Q138" s="9"/>
      <c r="R138" s="10"/>
      <c r="S138" s="9"/>
      <c r="T138" s="11"/>
      <c r="U138" s="9"/>
      <c r="V138" s="55"/>
      <c r="W138" s="56"/>
      <c r="X138" s="55"/>
      <c r="Y138" s="9"/>
      <c r="Z138" s="10"/>
      <c r="AA138" s="9"/>
      <c r="AB138" s="11"/>
      <c r="AC138" s="9"/>
      <c r="AD138" s="55"/>
      <c r="AE138" s="56"/>
      <c r="AF138" s="55"/>
      <c r="AG138" s="9"/>
      <c r="AH138" s="10"/>
      <c r="AI138" s="9"/>
      <c r="AJ138" s="11"/>
      <c r="AK138" s="9"/>
      <c r="AL138" s="55"/>
      <c r="AM138" s="56"/>
      <c r="AN138" s="55"/>
      <c r="AO138" s="10"/>
      <c r="AP138" s="9"/>
      <c r="AQ138" s="11"/>
      <c r="AR138" s="9"/>
      <c r="AS138" s="55"/>
      <c r="AT138" s="56"/>
      <c r="AU138" s="55"/>
      <c r="AV138" s="10"/>
      <c r="AW138" s="9"/>
      <c r="AX138" s="11"/>
      <c r="AY138" s="9"/>
      <c r="AZ138" s="55"/>
      <c r="BA138" s="56"/>
      <c r="BB138" s="55"/>
      <c r="BC138" s="10"/>
      <c r="BD138" s="9"/>
      <c r="BE138" s="11"/>
      <c r="BF138" s="9"/>
      <c r="BG138" s="55"/>
      <c r="BH138" s="56"/>
      <c r="BI138" s="55"/>
      <c r="BJ138" s="10"/>
      <c r="BK138" s="9"/>
      <c r="BL138" s="11"/>
      <c r="BM138" s="9"/>
      <c r="BN138" s="55"/>
      <c r="BO138" s="56"/>
      <c r="BP138" s="55"/>
      <c r="BQ138" s="10"/>
      <c r="BR138" s="9"/>
      <c r="BS138" s="11"/>
      <c r="BT138" s="9"/>
      <c r="BU138" s="55"/>
      <c r="BV138" s="56"/>
      <c r="BW138" s="55"/>
      <c r="BX138" s="10"/>
      <c r="BY138" s="9"/>
      <c r="BZ138" s="11"/>
      <c r="CA138" s="9"/>
      <c r="CB138" s="55"/>
      <c r="CC138" s="56"/>
      <c r="CD138" s="55"/>
      <c r="CE138" s="10"/>
      <c r="CF138" s="9"/>
      <c r="CG138" s="11"/>
      <c r="CH138" s="9"/>
      <c r="CI138" s="55"/>
      <c r="CJ138" s="56"/>
      <c r="CK138" s="55"/>
      <c r="CL138" s="10"/>
      <c r="CM138" s="9"/>
      <c r="CN138" s="11"/>
      <c r="CO138" s="9"/>
      <c r="CP138" s="55"/>
      <c r="CQ138" s="56"/>
      <c r="CR138" s="55"/>
    </row>
    <row r="139" spans="1:96" ht="13.5" thickBot="1">
      <c r="A139" s="9"/>
      <c r="B139" s="9"/>
      <c r="C139" s="9"/>
      <c r="D139" s="22">
        <f>SUM(D130:D138)</f>
        <v>8879208.900000004</v>
      </c>
      <c r="E139" s="9"/>
      <c r="F139" s="23">
        <f>SUM(F130:F138)</f>
        <v>7395</v>
      </c>
      <c r="G139" s="34"/>
      <c r="H139" s="9"/>
      <c r="I139" s="9"/>
      <c r="J139" s="22">
        <f>SUM(J130:J137)</f>
        <v>5975532.919999989</v>
      </c>
      <c r="K139" s="9"/>
      <c r="L139" s="23">
        <f>SUM(L130:L138)</f>
        <v>6911</v>
      </c>
      <c r="M139" s="34"/>
      <c r="N139" s="55"/>
      <c r="O139" s="32"/>
      <c r="P139" s="71"/>
      <c r="Q139" s="9"/>
      <c r="R139" s="22">
        <f>SUM(R130:R137)</f>
        <v>7371781.710000004</v>
      </c>
      <c r="S139" s="9"/>
      <c r="T139" s="23">
        <f>SUM(T130:T138)</f>
        <v>9242</v>
      </c>
      <c r="U139" s="34"/>
      <c r="V139" s="55"/>
      <c r="W139" s="32"/>
      <c r="X139" s="71"/>
      <c r="Y139" s="9"/>
      <c r="Z139" s="22">
        <f>SUM(Z130:Z137)</f>
        <v>7972491.059999988</v>
      </c>
      <c r="AA139" s="9"/>
      <c r="AB139" s="23">
        <f>SUM(AB130:AB138)</f>
        <v>9363</v>
      </c>
      <c r="AC139" s="34"/>
      <c r="AD139" s="55"/>
      <c r="AE139" s="32"/>
      <c r="AF139" s="71"/>
      <c r="AG139" s="9"/>
      <c r="AH139" s="22">
        <f>SUM(AH130:AH137)</f>
        <v>8214082.47999998</v>
      </c>
      <c r="AI139" s="9"/>
      <c r="AJ139" s="23">
        <f>SUM(AJ130:AJ138)</f>
        <v>9177</v>
      </c>
      <c r="AK139" s="34"/>
      <c r="AL139" s="55"/>
      <c r="AM139" s="32"/>
      <c r="AN139" s="71"/>
      <c r="AO139" s="22">
        <f>SUM(AO130:AO137)</f>
        <v>10218418.459999992</v>
      </c>
      <c r="AP139" s="9"/>
      <c r="AQ139" s="23">
        <f>SUM(AQ130:AQ138)</f>
        <v>11220</v>
      </c>
      <c r="AR139" s="34"/>
      <c r="AS139" s="55"/>
      <c r="AT139" s="32"/>
      <c r="AU139" s="71"/>
      <c r="AV139" s="22">
        <f>SUM(AV130:AV137)</f>
        <v>13427659.999999946</v>
      </c>
      <c r="AW139" s="9"/>
      <c r="AX139" s="23">
        <f>SUM(AX130:AX138)</f>
        <v>13938</v>
      </c>
      <c r="AY139" s="34"/>
      <c r="AZ139" s="55"/>
      <c r="BA139" s="32"/>
      <c r="BB139" s="71"/>
      <c r="BC139" s="22">
        <f>SUM(BC130:BC137)</f>
        <v>13088948.179999998</v>
      </c>
      <c r="BD139" s="9"/>
      <c r="BE139" s="23">
        <f>SUM(BE130:BE138)</f>
        <v>14282</v>
      </c>
      <c r="BF139" s="34"/>
      <c r="BG139" s="55"/>
      <c r="BH139" s="32"/>
      <c r="BI139" s="71"/>
      <c r="BJ139" s="22">
        <f>SUM(BJ130:BJ137)</f>
        <v>10189065.59000002</v>
      </c>
      <c r="BK139" s="9"/>
      <c r="BL139" s="23">
        <f>SUM(BL130:BL138)</f>
        <v>12125</v>
      </c>
      <c r="BM139" s="34"/>
      <c r="BN139" s="55"/>
      <c r="BO139" s="32"/>
      <c r="BP139" s="71"/>
      <c r="BQ139" s="22">
        <f>SUM(BQ130:BQ137)</f>
        <v>6859983.710000003</v>
      </c>
      <c r="BR139" s="9"/>
      <c r="BS139" s="23">
        <f>SUM(BS130:BS138)</f>
        <v>8500</v>
      </c>
      <c r="BT139" s="34"/>
      <c r="BU139" s="55"/>
      <c r="BV139" s="32"/>
      <c r="BW139" s="71"/>
      <c r="BX139" s="22">
        <f>SUM(BX130:BX137)</f>
        <v>4975870.92000001</v>
      </c>
      <c r="BY139" s="9"/>
      <c r="BZ139" s="23">
        <f>SUM(BZ130:BZ138)</f>
        <v>6165</v>
      </c>
      <c r="CA139" s="34"/>
      <c r="CB139" s="55"/>
      <c r="CC139" s="32"/>
      <c r="CD139" s="71"/>
      <c r="CE139" s="22">
        <f>SUM(CE130:CE137)</f>
        <v>17198702.70999997</v>
      </c>
      <c r="CF139" s="9"/>
      <c r="CG139" s="23">
        <f>SUM(CG130:CG138)</f>
        <v>18980</v>
      </c>
      <c r="CH139" s="34"/>
      <c r="CI139" s="55"/>
      <c r="CJ139" s="32"/>
      <c r="CK139" s="71"/>
      <c r="CL139" s="22">
        <f>SUM(CL130:CL137)</f>
        <v>14992017.0799999</v>
      </c>
      <c r="CM139" s="9"/>
      <c r="CN139" s="23">
        <f>SUM(CN130:CN138)</f>
        <v>16752</v>
      </c>
      <c r="CO139" s="34"/>
      <c r="CP139" s="55"/>
      <c r="CQ139" s="32"/>
      <c r="CR139" s="71"/>
    </row>
    <row r="140" spans="1:96" ht="13.5" thickTop="1">
      <c r="A140" s="35"/>
      <c r="B140" s="35"/>
      <c r="C140" s="35"/>
      <c r="D140" s="36"/>
      <c r="E140" s="35"/>
      <c r="F140" s="37"/>
      <c r="G140" s="35"/>
      <c r="H140" s="35"/>
      <c r="I140" s="35"/>
      <c r="J140" s="9"/>
      <c r="K140" s="9"/>
      <c r="L140" s="9"/>
      <c r="M140" s="9"/>
      <c r="N140" s="9"/>
      <c r="O140" s="9"/>
      <c r="P140" s="9"/>
      <c r="Q140" s="35"/>
      <c r="R140" s="9"/>
      <c r="S140" s="9"/>
      <c r="T140" s="9"/>
      <c r="U140" s="9"/>
      <c r="V140" s="9"/>
      <c r="W140" s="9"/>
      <c r="X140" s="9"/>
      <c r="Y140" s="35"/>
      <c r="Z140" s="9"/>
      <c r="AA140" s="9"/>
      <c r="AB140" s="9"/>
      <c r="AC140" s="9"/>
      <c r="AD140" s="9"/>
      <c r="AE140" s="9"/>
      <c r="AF140" s="9"/>
      <c r="AG140" s="35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</row>
    <row r="141" spans="1:96" ht="12.75">
      <c r="A141" s="13" t="s">
        <v>100</v>
      </c>
      <c r="B141" s="35"/>
      <c r="C141" s="35"/>
      <c r="D141" s="36"/>
      <c r="E141" s="35"/>
      <c r="F141" s="37"/>
      <c r="G141" s="35"/>
      <c r="H141" s="35"/>
      <c r="I141" s="35"/>
      <c r="J141" s="70"/>
      <c r="K141" s="55"/>
      <c r="L141" s="55"/>
      <c r="M141" s="64"/>
      <c r="N141" s="55"/>
      <c r="O141" s="56"/>
      <c r="P141" s="55"/>
      <c r="Q141" s="35"/>
      <c r="R141" s="70"/>
      <c r="S141" s="55"/>
      <c r="T141" s="55"/>
      <c r="U141" s="64"/>
      <c r="V141" s="55"/>
      <c r="W141" s="56"/>
      <c r="X141" s="55"/>
      <c r="Y141" s="35"/>
      <c r="Z141" s="70"/>
      <c r="AA141" s="55"/>
      <c r="AB141" s="55"/>
      <c r="AC141" s="64"/>
      <c r="AD141" s="55"/>
      <c r="AE141" s="56"/>
      <c r="AF141" s="55"/>
      <c r="AG141" s="35"/>
      <c r="AH141" s="70"/>
      <c r="AI141" s="55"/>
      <c r="AJ141" s="55"/>
      <c r="AK141" s="64"/>
      <c r="AL141" s="55"/>
      <c r="AM141" s="56"/>
      <c r="AN141" s="55"/>
      <c r="AO141" s="70"/>
      <c r="AP141" s="55"/>
      <c r="AQ141" s="55"/>
      <c r="AR141" s="64"/>
      <c r="AS141" s="55"/>
      <c r="AT141" s="56"/>
      <c r="AU141" s="55"/>
      <c r="AV141" s="70"/>
      <c r="AW141" s="55"/>
      <c r="AX141" s="55"/>
      <c r="AY141" s="64"/>
      <c r="AZ141" s="55"/>
      <c r="BA141" s="56"/>
      <c r="BB141" s="55"/>
      <c r="BC141" s="70"/>
      <c r="BD141" s="55"/>
      <c r="BE141" s="55"/>
      <c r="BF141" s="64"/>
      <c r="BG141" s="55"/>
      <c r="BH141" s="56"/>
      <c r="BI141" s="55"/>
      <c r="BJ141" s="70"/>
      <c r="BK141" s="55"/>
      <c r="BL141" s="55"/>
      <c r="BM141" s="64"/>
      <c r="BN141" s="55"/>
      <c r="BO141" s="56"/>
      <c r="BP141" s="55"/>
      <c r="BQ141" s="70"/>
      <c r="BR141" s="55"/>
      <c r="BS141" s="55"/>
      <c r="BT141" s="64"/>
      <c r="BU141" s="55"/>
      <c r="BV141" s="56"/>
      <c r="BW141" s="55"/>
      <c r="BX141" s="70"/>
      <c r="BY141" s="55"/>
      <c r="BZ141" s="55"/>
      <c r="CA141" s="64"/>
      <c r="CB141" s="55"/>
      <c r="CC141" s="56"/>
      <c r="CD141" s="55"/>
      <c r="CE141" s="70"/>
      <c r="CF141" s="55"/>
      <c r="CG141" s="55"/>
      <c r="CH141" s="64"/>
      <c r="CI141" s="55"/>
      <c r="CJ141" s="56"/>
      <c r="CK141" s="55"/>
      <c r="CL141" s="70"/>
      <c r="CM141" s="55"/>
      <c r="CN141" s="55"/>
      <c r="CO141" s="64"/>
      <c r="CP141" s="55"/>
      <c r="CQ141" s="56"/>
      <c r="CR141" s="55"/>
    </row>
    <row r="142" spans="1:96" ht="12.75">
      <c r="A142" s="13" t="s">
        <v>131</v>
      </c>
      <c r="B142" s="35"/>
      <c r="C142" s="35"/>
      <c r="D142" s="36"/>
      <c r="E142" s="35"/>
      <c r="F142" s="37"/>
      <c r="G142" s="35"/>
      <c r="H142" s="35"/>
      <c r="I142" s="35"/>
      <c r="J142" s="70"/>
      <c r="K142" s="55"/>
      <c r="L142" s="55"/>
      <c r="M142" s="64"/>
      <c r="N142" s="55"/>
      <c r="O142" s="56"/>
      <c r="P142" s="55"/>
      <c r="Q142" s="35"/>
      <c r="R142" s="70"/>
      <c r="S142" s="55"/>
      <c r="T142" s="55"/>
      <c r="U142" s="64"/>
      <c r="V142" s="55"/>
      <c r="W142" s="56"/>
      <c r="X142" s="55"/>
      <c r="Y142" s="35"/>
      <c r="Z142" s="70"/>
      <c r="AA142" s="55"/>
      <c r="AB142" s="55"/>
      <c r="AC142" s="64"/>
      <c r="AD142" s="55"/>
      <c r="AE142" s="56"/>
      <c r="AF142" s="55"/>
      <c r="AG142" s="35"/>
      <c r="AH142" s="70"/>
      <c r="AI142" s="55"/>
      <c r="AJ142" s="55"/>
      <c r="AK142" s="64"/>
      <c r="AL142" s="55"/>
      <c r="AM142" s="56"/>
      <c r="AN142" s="55"/>
      <c r="AO142" s="70"/>
      <c r="AP142" s="55"/>
      <c r="AQ142" s="55"/>
      <c r="AR142" s="64"/>
      <c r="AS142" s="55"/>
      <c r="AT142" s="56"/>
      <c r="AU142" s="55"/>
      <c r="AV142" s="70"/>
      <c r="AW142" s="55"/>
      <c r="AX142" s="55"/>
      <c r="AY142" s="64"/>
      <c r="AZ142" s="55"/>
      <c r="BA142" s="56"/>
      <c r="BB142" s="55"/>
      <c r="BC142" s="70"/>
      <c r="BD142" s="55"/>
      <c r="BE142" s="55"/>
      <c r="BF142" s="64"/>
      <c r="BG142" s="55"/>
      <c r="BH142" s="56"/>
      <c r="BI142" s="55"/>
      <c r="BJ142" s="70"/>
      <c r="BK142" s="55"/>
      <c r="BL142" s="55"/>
      <c r="BM142" s="64"/>
      <c r="BN142" s="55"/>
      <c r="BO142" s="56"/>
      <c r="BP142" s="55"/>
      <c r="BQ142" s="70"/>
      <c r="BR142" s="55"/>
      <c r="BS142" s="55"/>
      <c r="BT142" s="64"/>
      <c r="BU142" s="55"/>
      <c r="BV142" s="56"/>
      <c r="BW142" s="55"/>
      <c r="BX142" s="70"/>
      <c r="BY142" s="55"/>
      <c r="BZ142" s="55"/>
      <c r="CA142" s="64"/>
      <c r="CB142" s="55"/>
      <c r="CC142" s="56"/>
      <c r="CD142" s="55"/>
      <c r="CE142" s="70"/>
      <c r="CF142" s="55"/>
      <c r="CG142" s="55"/>
      <c r="CH142" s="64"/>
      <c r="CI142" s="55"/>
      <c r="CJ142" s="56"/>
      <c r="CK142" s="55"/>
      <c r="CL142" s="70"/>
      <c r="CM142" s="55"/>
      <c r="CN142" s="55"/>
      <c r="CO142" s="64"/>
      <c r="CP142" s="55"/>
      <c r="CQ142" s="56"/>
      <c r="CR142" s="55"/>
    </row>
    <row r="143" spans="1:96" ht="12.75">
      <c r="A143" s="35"/>
      <c r="B143" s="35"/>
      <c r="C143" s="35"/>
      <c r="D143" s="36"/>
      <c r="E143" s="35"/>
      <c r="F143" s="37"/>
      <c r="G143" s="35"/>
      <c r="H143" s="35"/>
      <c r="I143" s="35"/>
      <c r="J143" s="55"/>
      <c r="K143" s="54"/>
      <c r="L143" s="54"/>
      <c r="M143" s="31"/>
      <c r="N143" s="54"/>
      <c r="O143" s="32"/>
      <c r="P143" s="54"/>
      <c r="Q143" s="35"/>
      <c r="R143" s="55"/>
      <c r="S143" s="54"/>
      <c r="T143" s="54"/>
      <c r="U143" s="31"/>
      <c r="V143" s="54"/>
      <c r="W143" s="32"/>
      <c r="X143" s="54"/>
      <c r="Y143" s="35"/>
      <c r="Z143" s="55"/>
      <c r="AA143" s="54"/>
      <c r="AB143" s="54"/>
      <c r="AC143" s="31"/>
      <c r="AD143" s="54"/>
      <c r="AE143" s="32"/>
      <c r="AF143" s="54"/>
      <c r="AG143" s="35"/>
      <c r="AH143" s="55"/>
      <c r="AI143" s="54"/>
      <c r="AJ143" s="54"/>
      <c r="AK143" s="31"/>
      <c r="AL143" s="54"/>
      <c r="AM143" s="32"/>
      <c r="AN143" s="54"/>
      <c r="AO143" s="55"/>
      <c r="AP143" s="54"/>
      <c r="AQ143" s="54"/>
      <c r="AR143" s="31"/>
      <c r="AS143" s="54"/>
      <c r="AT143" s="32"/>
      <c r="AU143" s="54"/>
      <c r="AV143" s="55"/>
      <c r="AW143" s="54"/>
      <c r="AX143" s="54"/>
      <c r="AY143" s="31"/>
      <c r="AZ143" s="54"/>
      <c r="BA143" s="32"/>
      <c r="BB143" s="54"/>
      <c r="BC143" s="55"/>
      <c r="BD143" s="54"/>
      <c r="BE143" s="54"/>
      <c r="BF143" s="31"/>
      <c r="BG143" s="54"/>
      <c r="BH143" s="32"/>
      <c r="BI143" s="54"/>
      <c r="BJ143" s="55"/>
      <c r="BK143" s="54"/>
      <c r="BL143" s="54"/>
      <c r="BM143" s="31"/>
      <c r="BN143" s="54"/>
      <c r="BO143" s="32"/>
      <c r="BP143" s="54"/>
      <c r="BQ143" s="55"/>
      <c r="BR143" s="54"/>
      <c r="BS143" s="54"/>
      <c r="BT143" s="31"/>
      <c r="BU143" s="54"/>
      <c r="BV143" s="32"/>
      <c r="BW143" s="54"/>
      <c r="BX143" s="55"/>
      <c r="BY143" s="54"/>
      <c r="BZ143" s="54"/>
      <c r="CA143" s="31"/>
      <c r="CB143" s="54"/>
      <c r="CC143" s="32"/>
      <c r="CD143" s="54"/>
      <c r="CE143" s="55"/>
      <c r="CF143" s="54"/>
      <c r="CG143" s="54"/>
      <c r="CH143" s="31"/>
      <c r="CI143" s="54"/>
      <c r="CJ143" s="32"/>
      <c r="CK143" s="54"/>
      <c r="CL143" s="55"/>
      <c r="CM143" s="54"/>
      <c r="CN143" s="54"/>
      <c r="CO143" s="31"/>
      <c r="CP143" s="54"/>
      <c r="CQ143" s="32"/>
      <c r="CR143" s="54"/>
    </row>
    <row r="144" spans="4:16" ht="12.75">
      <c r="D144" s="2"/>
      <c r="J144" s="61"/>
      <c r="K144" s="50"/>
      <c r="L144" s="50"/>
      <c r="M144" s="51"/>
      <c r="N144" s="50"/>
      <c r="O144" s="52"/>
      <c r="P144" s="50"/>
    </row>
    <row r="145" spans="4:16" ht="12.75">
      <c r="D145" s="2"/>
      <c r="J145" s="50"/>
      <c r="K145" s="50"/>
      <c r="L145" s="50"/>
      <c r="M145" s="51"/>
      <c r="N145" s="62"/>
      <c r="O145" s="52"/>
      <c r="P145" s="62"/>
    </row>
    <row r="146" spans="4:16" ht="12.75">
      <c r="D146" s="2"/>
      <c r="J146" s="50"/>
      <c r="K146" s="50"/>
      <c r="L146" s="50"/>
      <c r="M146" s="51"/>
      <c r="N146" s="62"/>
      <c r="O146" s="52"/>
      <c r="P146" s="62"/>
    </row>
    <row r="147" spans="1:16" ht="12.75">
      <c r="A147" t="s">
        <v>113</v>
      </c>
      <c r="D147" s="2"/>
      <c r="J147" s="50"/>
      <c r="K147" s="50"/>
      <c r="L147" s="50"/>
      <c r="M147" s="51"/>
      <c r="N147" s="62"/>
      <c r="O147" s="52"/>
      <c r="P147" s="62"/>
    </row>
    <row r="148" spans="4:16" ht="12.75">
      <c r="D148" s="2"/>
      <c r="J148" s="50"/>
      <c r="K148" s="50"/>
      <c r="L148" s="50"/>
      <c r="M148" s="51"/>
      <c r="N148" s="62"/>
      <c r="O148" s="52"/>
      <c r="P148" s="62"/>
    </row>
    <row r="149" spans="4:16" ht="12.75">
      <c r="D149" s="2"/>
      <c r="J149" s="50"/>
      <c r="K149" s="50"/>
      <c r="L149" s="50"/>
      <c r="M149" s="51"/>
      <c r="N149" s="62"/>
      <c r="O149" s="52"/>
      <c r="P149" s="62"/>
    </row>
    <row r="150" spans="4:16" ht="12.75">
      <c r="D150" s="2"/>
      <c r="J150" s="50"/>
      <c r="K150" s="50"/>
      <c r="L150" s="50"/>
      <c r="M150" s="51"/>
      <c r="N150" s="62"/>
      <c r="O150" s="52"/>
      <c r="P150" s="62"/>
    </row>
    <row r="151" spans="4:16" ht="12.75">
      <c r="D151" s="2"/>
      <c r="J151" s="50"/>
      <c r="K151" s="50"/>
      <c r="L151" s="50"/>
      <c r="M151" s="51"/>
      <c r="N151" s="62"/>
      <c r="O151" s="52"/>
      <c r="P151" s="62"/>
    </row>
    <row r="152" spans="4:16" ht="12.75">
      <c r="D152" s="2"/>
      <c r="J152" s="50"/>
      <c r="K152" s="50"/>
      <c r="L152" s="50"/>
      <c r="M152" s="51"/>
      <c r="N152" s="62"/>
      <c r="O152" s="52"/>
      <c r="P152" s="62"/>
    </row>
    <row r="153" spans="4:16" ht="12.75">
      <c r="D153" s="2"/>
      <c r="J153" s="50"/>
      <c r="K153" s="50"/>
      <c r="L153" s="50"/>
      <c r="M153" s="51"/>
      <c r="N153" s="50"/>
      <c r="O153" s="52"/>
      <c r="P153" s="50"/>
    </row>
    <row r="154" spans="4:16" ht="12.75">
      <c r="D154" s="2"/>
      <c r="J154" s="50"/>
      <c r="K154" s="50"/>
      <c r="L154" s="50"/>
      <c r="M154" s="48"/>
      <c r="N154" s="50"/>
      <c r="O154" s="49"/>
      <c r="P154" s="69"/>
    </row>
    <row r="155" spans="4:16" ht="12.75">
      <c r="D155" s="2"/>
      <c r="J155" s="50"/>
      <c r="K155" s="50"/>
      <c r="L155" s="50"/>
      <c r="M155" s="50"/>
      <c r="N155" s="50"/>
      <c r="O155" s="50"/>
      <c r="P155" s="50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</sheetData>
  <mergeCells count="26">
    <mergeCell ref="Z1:AF1"/>
    <mergeCell ref="Z3:AF3"/>
    <mergeCell ref="AO1:AU1"/>
    <mergeCell ref="AO3:AU3"/>
    <mergeCell ref="AH1:AN1"/>
    <mergeCell ref="AH3:AN3"/>
    <mergeCell ref="R1:X1"/>
    <mergeCell ref="R3:X3"/>
    <mergeCell ref="A1:G1"/>
    <mergeCell ref="A3:G3"/>
    <mergeCell ref="J1:P1"/>
    <mergeCell ref="J3:P3"/>
    <mergeCell ref="BX1:CD1"/>
    <mergeCell ref="BX3:CD3"/>
    <mergeCell ref="AV1:BB1"/>
    <mergeCell ref="AV3:BB3"/>
    <mergeCell ref="BQ1:BW1"/>
    <mergeCell ref="BQ3:BW3"/>
    <mergeCell ref="BJ1:BP1"/>
    <mergeCell ref="BJ3:BP3"/>
    <mergeCell ref="BC1:BI1"/>
    <mergeCell ref="BC3:BI3"/>
    <mergeCell ref="CL1:CR1"/>
    <mergeCell ref="CL3:CR3"/>
    <mergeCell ref="CE1:CK1"/>
    <mergeCell ref="CE3:CK3"/>
  </mergeCells>
  <printOptions/>
  <pageMargins left="0" right="0" top="0.1968503937007874" bottom="0.1968503937007874" header="0.5118110236220472" footer="0.5118110236220472"/>
  <pageSetup horizontalDpi="600" verticalDpi="600" orientation="landscape" paperSize="9" scale="10" r:id="rId1"/>
  <colBreaks count="1" manualBreakCount="1">
    <brk id="82" max="1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Q172"/>
  <sheetViews>
    <sheetView view="pageBreakPreview" zoomScale="60" workbookViewId="0" topLeftCell="CC1">
      <selection activeCell="CK1" sqref="CK1:CQ1"/>
    </sheetView>
  </sheetViews>
  <sheetFormatPr defaultColWidth="9.140625" defaultRowHeight="12.75"/>
  <cols>
    <col min="3" max="3" width="23.140625" style="0" customWidth="1"/>
    <col min="4" max="4" width="28.28125" style="0" customWidth="1"/>
    <col min="5" max="5" width="14.140625" style="0" customWidth="1"/>
    <col min="6" max="6" width="16.7109375" style="3" customWidth="1"/>
    <col min="7" max="7" width="16.140625" style="0" customWidth="1"/>
    <col min="9" max="9" width="19.140625" style="0" customWidth="1"/>
    <col min="10" max="10" width="34.8515625" style="0" customWidth="1"/>
    <col min="11" max="11" width="13.8515625" style="0" customWidth="1"/>
    <col min="12" max="12" width="12.421875" style="0" customWidth="1"/>
    <col min="13" max="13" width="14.00390625" style="0" customWidth="1"/>
    <col min="14" max="14" width="13.7109375" style="0" customWidth="1"/>
    <col min="15" max="15" width="15.140625" style="0" customWidth="1"/>
    <col min="16" max="16" width="16.421875" style="0" customWidth="1"/>
    <col min="18" max="18" width="39.8515625" style="0" customWidth="1"/>
    <col min="19" max="19" width="17.7109375" style="0" customWidth="1"/>
    <col min="20" max="20" width="16.28125" style="0" customWidth="1"/>
    <col min="21" max="21" width="16.7109375" style="0" customWidth="1"/>
    <col min="26" max="26" width="38.140625" style="0" customWidth="1"/>
    <col min="27" max="27" width="18.00390625" style="0" customWidth="1"/>
    <col min="28" max="28" width="16.00390625" style="0" customWidth="1"/>
    <col min="29" max="29" width="17.421875" style="0" customWidth="1"/>
    <col min="30" max="30" width="13.421875" style="0" customWidth="1"/>
    <col min="31" max="31" width="12.00390625" style="0" customWidth="1"/>
    <col min="33" max="33" width="40.421875" style="0" customWidth="1"/>
    <col min="34" max="34" width="22.28125" style="0" customWidth="1"/>
    <col min="35" max="35" width="16.00390625" style="0" customWidth="1"/>
    <col min="36" max="36" width="18.00390625" style="0" customWidth="1"/>
    <col min="40" max="40" width="29.421875" style="0" customWidth="1"/>
    <col min="41" max="41" width="17.421875" style="0" customWidth="1"/>
    <col min="42" max="42" width="15.140625" style="0" customWidth="1"/>
    <col min="43" max="43" width="15.57421875" style="0" customWidth="1"/>
    <col min="47" max="47" width="32.00390625" style="0" customWidth="1"/>
    <col min="48" max="48" width="17.28125" style="0" customWidth="1"/>
    <col min="49" max="49" width="21.00390625" style="0" customWidth="1"/>
    <col min="50" max="50" width="14.57421875" style="0" customWidth="1"/>
    <col min="54" max="54" width="28.00390625" style="0" customWidth="1"/>
    <col min="55" max="55" width="24.28125" style="0" customWidth="1"/>
    <col min="56" max="56" width="14.140625" style="0" bestFit="1" customWidth="1"/>
    <col min="57" max="57" width="13.421875" style="0" bestFit="1" customWidth="1"/>
    <col min="61" max="61" width="35.7109375" style="0" customWidth="1"/>
    <col min="62" max="62" width="17.7109375" style="0" customWidth="1"/>
    <col min="63" max="63" width="15.421875" style="0" customWidth="1"/>
    <col min="64" max="64" width="17.140625" style="0" customWidth="1"/>
    <col min="68" max="68" width="30.421875" style="0" customWidth="1"/>
    <col min="69" max="69" width="17.7109375" style="0" customWidth="1"/>
    <col min="70" max="70" width="20.8515625" style="0" customWidth="1"/>
    <col min="71" max="71" width="20.28125" style="0" customWidth="1"/>
    <col min="75" max="75" width="33.28125" style="0" customWidth="1"/>
    <col min="76" max="76" width="18.140625" style="0" customWidth="1"/>
    <col min="77" max="77" width="19.421875" style="0" customWidth="1"/>
    <col min="78" max="78" width="17.7109375" style="0" customWidth="1"/>
    <col min="82" max="82" width="28.7109375" style="0" customWidth="1"/>
    <col min="83" max="83" width="15.8515625" style="0" customWidth="1"/>
    <col min="84" max="84" width="19.421875" style="0" customWidth="1"/>
    <col min="85" max="85" width="18.8515625" style="0" customWidth="1"/>
    <col min="89" max="89" width="33.00390625" style="0" customWidth="1"/>
    <col min="90" max="90" width="16.00390625" style="0" customWidth="1"/>
    <col min="91" max="91" width="17.7109375" style="0" customWidth="1"/>
    <col min="92" max="92" width="19.57421875" style="0" customWidth="1"/>
  </cols>
  <sheetData>
    <row r="1" spans="1:95" ht="33.75">
      <c r="A1" s="107" t="s">
        <v>114</v>
      </c>
      <c r="B1" s="107"/>
      <c r="C1" s="107"/>
      <c r="D1" s="107"/>
      <c r="E1" s="107"/>
      <c r="F1" s="107"/>
      <c r="G1" s="107"/>
      <c r="H1" s="9"/>
      <c r="I1" s="9"/>
      <c r="J1" s="107" t="s">
        <v>114</v>
      </c>
      <c r="K1" s="107"/>
      <c r="L1" s="107"/>
      <c r="M1" s="107"/>
      <c r="N1" s="107"/>
      <c r="O1" s="107"/>
      <c r="P1" s="107"/>
      <c r="Q1" s="9"/>
      <c r="R1" s="107" t="s">
        <v>114</v>
      </c>
      <c r="S1" s="107"/>
      <c r="T1" s="107"/>
      <c r="U1" s="107"/>
      <c r="V1" s="107"/>
      <c r="W1" s="107"/>
      <c r="X1" s="107"/>
      <c r="Y1" s="9"/>
      <c r="Z1" s="107" t="s">
        <v>114</v>
      </c>
      <c r="AA1" s="107"/>
      <c r="AB1" s="107"/>
      <c r="AC1" s="107"/>
      <c r="AD1" s="107"/>
      <c r="AE1" s="107"/>
      <c r="AF1" s="107"/>
      <c r="AG1" s="107" t="s">
        <v>114</v>
      </c>
      <c r="AH1" s="107"/>
      <c r="AI1" s="107"/>
      <c r="AJ1" s="107"/>
      <c r="AK1" s="107"/>
      <c r="AL1" s="107"/>
      <c r="AM1" s="107"/>
      <c r="AN1" s="107" t="s">
        <v>114</v>
      </c>
      <c r="AO1" s="107"/>
      <c r="AP1" s="107"/>
      <c r="AQ1" s="107"/>
      <c r="AR1" s="107"/>
      <c r="AS1" s="107"/>
      <c r="AT1" s="107"/>
      <c r="AU1" s="107" t="s">
        <v>114</v>
      </c>
      <c r="AV1" s="107"/>
      <c r="AW1" s="107"/>
      <c r="AX1" s="107"/>
      <c r="AY1" s="107"/>
      <c r="AZ1" s="107"/>
      <c r="BA1" s="107"/>
      <c r="BB1" s="107" t="s">
        <v>114</v>
      </c>
      <c r="BC1" s="107"/>
      <c r="BD1" s="107"/>
      <c r="BE1" s="107"/>
      <c r="BF1" s="107"/>
      <c r="BG1" s="107"/>
      <c r="BH1" s="107"/>
      <c r="BI1" s="107" t="s">
        <v>114</v>
      </c>
      <c r="BJ1" s="107"/>
      <c r="BK1" s="107"/>
      <c r="BL1" s="107"/>
      <c r="BM1" s="107"/>
      <c r="BN1" s="107"/>
      <c r="BO1" s="107"/>
      <c r="BP1" s="107" t="s">
        <v>114</v>
      </c>
      <c r="BQ1" s="107"/>
      <c r="BR1" s="107"/>
      <c r="BS1" s="107"/>
      <c r="BT1" s="107"/>
      <c r="BU1" s="107"/>
      <c r="BV1" s="107"/>
      <c r="BW1" s="107" t="s">
        <v>114</v>
      </c>
      <c r="BX1" s="107"/>
      <c r="BY1" s="107"/>
      <c r="BZ1" s="107"/>
      <c r="CA1" s="107"/>
      <c r="CB1" s="107"/>
      <c r="CC1" s="107"/>
      <c r="CD1" s="107" t="s">
        <v>114</v>
      </c>
      <c r="CE1" s="107"/>
      <c r="CF1" s="107"/>
      <c r="CG1" s="107"/>
      <c r="CH1" s="107"/>
      <c r="CI1" s="107"/>
      <c r="CJ1" s="107"/>
      <c r="CK1" s="107" t="s">
        <v>114</v>
      </c>
      <c r="CL1" s="107"/>
      <c r="CM1" s="107"/>
      <c r="CN1" s="107"/>
      <c r="CO1" s="107"/>
      <c r="CP1" s="107"/>
      <c r="CQ1" s="107"/>
    </row>
    <row r="2" spans="1:95" ht="12.75">
      <c r="A2" s="9"/>
      <c r="B2" s="9"/>
      <c r="C2" s="9"/>
      <c r="D2" s="9"/>
      <c r="E2" s="9"/>
      <c r="F2" s="11"/>
      <c r="G2" s="9"/>
      <c r="H2" s="9"/>
      <c r="I2" s="9"/>
      <c r="J2" s="9"/>
      <c r="K2" s="9"/>
      <c r="L2" s="9"/>
      <c r="M2" s="9"/>
      <c r="N2" s="9"/>
      <c r="O2" s="11"/>
      <c r="P2" s="9"/>
      <c r="Q2" s="9"/>
      <c r="R2" s="9"/>
      <c r="S2" s="9"/>
      <c r="T2" s="9"/>
      <c r="U2" s="9"/>
      <c r="V2" s="9"/>
      <c r="W2" s="11"/>
      <c r="X2" s="9"/>
      <c r="Y2" s="9"/>
      <c r="Z2" s="9"/>
      <c r="AA2" s="9"/>
      <c r="AB2" s="9"/>
      <c r="AC2" s="9"/>
      <c r="AD2" s="9"/>
      <c r="AE2" s="11"/>
      <c r="AF2" s="9"/>
      <c r="AG2" s="9"/>
      <c r="AH2" s="9"/>
      <c r="AI2" s="9"/>
      <c r="AJ2" s="9"/>
      <c r="AK2" s="9"/>
      <c r="AL2" s="11"/>
      <c r="AM2" s="9"/>
      <c r="AN2" s="9"/>
      <c r="AO2" s="9"/>
      <c r="AP2" s="9"/>
      <c r="AQ2" s="9"/>
      <c r="AR2" s="9"/>
      <c r="AS2" s="11"/>
      <c r="AT2" s="9"/>
      <c r="AU2" s="9"/>
      <c r="AV2" s="9"/>
      <c r="AW2" s="9"/>
      <c r="AX2" s="9"/>
      <c r="AY2" s="9"/>
      <c r="AZ2" s="11"/>
      <c r="BA2" s="9"/>
      <c r="BB2" s="9"/>
      <c r="BC2" s="9"/>
      <c r="BD2" s="9"/>
      <c r="BE2" s="9"/>
      <c r="BF2" s="9"/>
      <c r="BG2" s="11"/>
      <c r="BH2" s="9"/>
      <c r="BI2" s="9"/>
      <c r="BJ2" s="9"/>
      <c r="BK2" s="9"/>
      <c r="BL2" s="9"/>
      <c r="BM2" s="9"/>
      <c r="BN2" s="11"/>
      <c r="BO2" s="9"/>
      <c r="BP2" s="9"/>
      <c r="BQ2" s="9"/>
      <c r="BR2" s="9"/>
      <c r="BS2" s="9"/>
      <c r="BT2" s="9"/>
      <c r="BU2" s="11"/>
      <c r="BV2" s="9"/>
      <c r="BW2" s="9"/>
      <c r="BX2" s="9"/>
      <c r="BY2" s="9"/>
      <c r="BZ2" s="9"/>
      <c r="CA2" s="9"/>
      <c r="CB2" s="11"/>
      <c r="CC2" s="9"/>
      <c r="CD2" s="9"/>
      <c r="CE2" s="9"/>
      <c r="CF2" s="9"/>
      <c r="CG2" s="9"/>
      <c r="CH2" s="9"/>
      <c r="CI2" s="11"/>
      <c r="CJ2" s="9"/>
      <c r="CK2" s="9"/>
      <c r="CL2" s="9"/>
      <c r="CM2" s="9"/>
      <c r="CN2" s="9"/>
      <c r="CO2" s="9"/>
      <c r="CP2" s="11"/>
      <c r="CQ2" s="9"/>
    </row>
    <row r="3" spans="1:95" ht="18">
      <c r="A3" s="108" t="s">
        <v>134</v>
      </c>
      <c r="B3" s="108"/>
      <c r="C3" s="108"/>
      <c r="D3" s="108"/>
      <c r="E3" s="108"/>
      <c r="F3" s="108"/>
      <c r="G3" s="108"/>
      <c r="H3" s="9"/>
      <c r="I3" s="9"/>
      <c r="J3" s="108" t="s">
        <v>136</v>
      </c>
      <c r="K3" s="108"/>
      <c r="L3" s="108"/>
      <c r="M3" s="108"/>
      <c r="N3" s="108"/>
      <c r="O3" s="108"/>
      <c r="P3" s="108"/>
      <c r="Q3" s="9"/>
      <c r="R3" s="108" t="s">
        <v>145</v>
      </c>
      <c r="S3" s="108"/>
      <c r="T3" s="108"/>
      <c r="U3" s="108"/>
      <c r="V3" s="108"/>
      <c r="W3" s="108"/>
      <c r="X3" s="108"/>
      <c r="Y3" s="9"/>
      <c r="Z3" s="108" t="s">
        <v>147</v>
      </c>
      <c r="AA3" s="108"/>
      <c r="AB3" s="108"/>
      <c r="AC3" s="108"/>
      <c r="AD3" s="108"/>
      <c r="AE3" s="108"/>
      <c r="AF3" s="108"/>
      <c r="AG3" s="108" t="s">
        <v>149</v>
      </c>
      <c r="AH3" s="108"/>
      <c r="AI3" s="108"/>
      <c r="AJ3" s="108"/>
      <c r="AK3" s="108"/>
      <c r="AL3" s="108"/>
      <c r="AM3" s="108"/>
      <c r="AN3" s="108" t="s">
        <v>151</v>
      </c>
      <c r="AO3" s="108"/>
      <c r="AP3" s="108"/>
      <c r="AQ3" s="108"/>
      <c r="AR3" s="108"/>
      <c r="AS3" s="108"/>
      <c r="AT3" s="108"/>
      <c r="AU3" s="108" t="s">
        <v>153</v>
      </c>
      <c r="AV3" s="108"/>
      <c r="AW3" s="108"/>
      <c r="AX3" s="108"/>
      <c r="AY3" s="108"/>
      <c r="AZ3" s="108"/>
      <c r="BA3" s="108"/>
      <c r="BB3" s="108" t="s">
        <v>155</v>
      </c>
      <c r="BC3" s="108"/>
      <c r="BD3" s="108"/>
      <c r="BE3" s="108"/>
      <c r="BF3" s="108"/>
      <c r="BG3" s="108"/>
      <c r="BH3" s="108"/>
      <c r="BI3" s="108" t="s">
        <v>157</v>
      </c>
      <c r="BJ3" s="108"/>
      <c r="BK3" s="108"/>
      <c r="BL3" s="108"/>
      <c r="BM3" s="108"/>
      <c r="BN3" s="108"/>
      <c r="BO3" s="108"/>
      <c r="BP3" s="108" t="s">
        <v>159</v>
      </c>
      <c r="BQ3" s="108"/>
      <c r="BR3" s="108"/>
      <c r="BS3" s="108"/>
      <c r="BT3" s="108"/>
      <c r="BU3" s="108"/>
      <c r="BV3" s="108"/>
      <c r="BW3" s="108" t="s">
        <v>161</v>
      </c>
      <c r="BX3" s="108"/>
      <c r="BY3" s="108"/>
      <c r="BZ3" s="108"/>
      <c r="CA3" s="108"/>
      <c r="CB3" s="108"/>
      <c r="CC3" s="108"/>
      <c r="CD3" s="108" t="s">
        <v>163</v>
      </c>
      <c r="CE3" s="108"/>
      <c r="CF3" s="108"/>
      <c r="CG3" s="108"/>
      <c r="CH3" s="108"/>
      <c r="CI3" s="108"/>
      <c r="CJ3" s="108"/>
      <c r="CK3" s="108" t="s">
        <v>165</v>
      </c>
      <c r="CL3" s="108"/>
      <c r="CM3" s="108"/>
      <c r="CN3" s="108"/>
      <c r="CO3" s="108"/>
      <c r="CP3" s="108"/>
      <c r="CQ3" s="108"/>
    </row>
    <row r="4" spans="1:95" ht="18">
      <c r="A4" s="9"/>
      <c r="B4" s="9"/>
      <c r="C4" s="9"/>
      <c r="D4" s="11"/>
      <c r="E4" s="9"/>
      <c r="F4" s="11"/>
      <c r="G4" s="9"/>
      <c r="H4" s="9"/>
      <c r="I4" s="9"/>
      <c r="J4" s="9"/>
      <c r="K4" s="59" t="s">
        <v>135</v>
      </c>
      <c r="L4" s="9"/>
      <c r="M4" s="10"/>
      <c r="N4" s="9"/>
      <c r="O4" s="11"/>
      <c r="P4" s="9"/>
      <c r="Q4" s="9"/>
      <c r="R4" s="9"/>
      <c r="S4" s="59" t="s">
        <v>146</v>
      </c>
      <c r="T4" s="9"/>
      <c r="U4" s="10"/>
      <c r="V4" s="9"/>
      <c r="W4" s="11"/>
      <c r="X4" s="9"/>
      <c r="Y4" s="9"/>
      <c r="Z4" s="9"/>
      <c r="AA4" s="59" t="s">
        <v>148</v>
      </c>
      <c r="AB4" s="9"/>
      <c r="AC4" s="10"/>
      <c r="AD4" s="9"/>
      <c r="AE4" s="11"/>
      <c r="AF4" s="9"/>
      <c r="AG4" s="9"/>
      <c r="AH4" s="59" t="s">
        <v>150</v>
      </c>
      <c r="AI4" s="9"/>
      <c r="AJ4" s="10"/>
      <c r="AK4" s="9"/>
      <c r="AL4" s="11"/>
      <c r="AM4" s="9"/>
      <c r="AN4" s="9"/>
      <c r="AO4" s="59" t="s">
        <v>152</v>
      </c>
      <c r="AP4" s="9"/>
      <c r="AQ4" s="10"/>
      <c r="AR4" s="9"/>
      <c r="AS4" s="11"/>
      <c r="AT4" s="9"/>
      <c r="AU4" s="9"/>
      <c r="AV4" s="59" t="s">
        <v>154</v>
      </c>
      <c r="AW4" s="9"/>
      <c r="AX4" s="10"/>
      <c r="AY4" s="9"/>
      <c r="AZ4" s="11"/>
      <c r="BA4" s="9"/>
      <c r="BB4" s="9"/>
      <c r="BC4" s="59" t="s">
        <v>156</v>
      </c>
      <c r="BD4" s="9"/>
      <c r="BE4" s="10"/>
      <c r="BF4" s="9"/>
      <c r="BG4" s="11"/>
      <c r="BH4" s="9"/>
      <c r="BI4" s="9"/>
      <c r="BJ4" s="59" t="s">
        <v>158</v>
      </c>
      <c r="BK4" s="9"/>
      <c r="BL4" s="10"/>
      <c r="BM4" s="9"/>
      <c r="BN4" s="11"/>
      <c r="BO4" s="9"/>
      <c r="BP4" s="9"/>
      <c r="BQ4" s="59" t="s">
        <v>160</v>
      </c>
      <c r="BR4" s="9"/>
      <c r="BS4" s="10"/>
      <c r="BT4" s="9"/>
      <c r="BU4" s="11"/>
      <c r="BV4" s="9"/>
      <c r="BW4" s="9"/>
      <c r="BX4" s="59" t="s">
        <v>162</v>
      </c>
      <c r="BY4" s="9"/>
      <c r="BZ4" s="10"/>
      <c r="CA4" s="9"/>
      <c r="CB4" s="11"/>
      <c r="CC4" s="9"/>
      <c r="CD4" s="9"/>
      <c r="CE4" s="59" t="s">
        <v>164</v>
      </c>
      <c r="CF4" s="9"/>
      <c r="CG4" s="10"/>
      <c r="CH4" s="9"/>
      <c r="CI4" s="11"/>
      <c r="CJ4" s="9"/>
      <c r="CK4" s="9"/>
      <c r="CL4" s="59" t="s">
        <v>166</v>
      </c>
      <c r="CM4" s="9"/>
      <c r="CN4" s="10"/>
      <c r="CO4" s="9"/>
      <c r="CP4" s="11"/>
      <c r="CQ4" s="9"/>
    </row>
    <row r="5" spans="1:95" ht="12.75">
      <c r="A5" s="9"/>
      <c r="B5" s="9"/>
      <c r="C5" s="9"/>
      <c r="D5" s="11"/>
      <c r="E5" s="9"/>
      <c r="F5" s="11"/>
      <c r="G5" s="9"/>
      <c r="H5" s="9"/>
      <c r="I5" s="9"/>
      <c r="J5" s="9"/>
      <c r="K5" s="9"/>
      <c r="L5" s="9"/>
      <c r="M5" s="11"/>
      <c r="N5" s="9"/>
      <c r="O5" s="11"/>
      <c r="P5" s="9"/>
      <c r="Q5" s="9"/>
      <c r="R5" s="9"/>
      <c r="S5" s="9"/>
      <c r="T5" s="9"/>
      <c r="U5" s="11"/>
      <c r="V5" s="9"/>
      <c r="W5" s="11"/>
      <c r="X5" s="9"/>
      <c r="Y5" s="9"/>
      <c r="Z5" s="9"/>
      <c r="AA5" s="9"/>
      <c r="AB5" s="9"/>
      <c r="AC5" s="11"/>
      <c r="AD5" s="9"/>
      <c r="AE5" s="11"/>
      <c r="AF5" s="9"/>
      <c r="AG5" s="9"/>
      <c r="AH5" s="9"/>
      <c r="AI5" s="9"/>
      <c r="AJ5" s="11"/>
      <c r="AK5" s="9"/>
      <c r="AL5" s="11"/>
      <c r="AM5" s="9"/>
      <c r="AN5" s="9"/>
      <c r="AO5" s="9"/>
      <c r="AP5" s="9"/>
      <c r="AQ5" s="11"/>
      <c r="AR5" s="9"/>
      <c r="AS5" s="11"/>
      <c r="AT5" s="9"/>
      <c r="AU5" s="9"/>
      <c r="AV5" s="9"/>
      <c r="AW5" s="9"/>
      <c r="AX5" s="11"/>
      <c r="AY5" s="9"/>
      <c r="AZ5" s="11"/>
      <c r="BA5" s="9"/>
      <c r="BB5" s="9"/>
      <c r="BC5" s="9"/>
      <c r="BD5" s="9"/>
      <c r="BE5" s="11"/>
      <c r="BF5" s="9"/>
      <c r="BG5" s="11"/>
      <c r="BH5" s="9"/>
      <c r="BI5" s="9"/>
      <c r="BJ5" s="9"/>
      <c r="BK5" s="9"/>
      <c r="BL5" s="11"/>
      <c r="BM5" s="9"/>
      <c r="BN5" s="11"/>
      <c r="BO5" s="9"/>
      <c r="BP5" s="9"/>
      <c r="BQ5" s="9"/>
      <c r="BR5" s="9"/>
      <c r="BS5" s="11"/>
      <c r="BT5" s="9"/>
      <c r="BU5" s="11"/>
      <c r="BV5" s="9"/>
      <c r="BW5" s="9"/>
      <c r="BX5" s="9"/>
      <c r="BY5" s="9"/>
      <c r="BZ5" s="11"/>
      <c r="CA5" s="9"/>
      <c r="CB5" s="11"/>
      <c r="CC5" s="9"/>
      <c r="CD5" s="9"/>
      <c r="CE5" s="9"/>
      <c r="CF5" s="9"/>
      <c r="CG5" s="11"/>
      <c r="CH5" s="9"/>
      <c r="CI5" s="11"/>
      <c r="CJ5" s="9"/>
      <c r="CK5" s="9"/>
      <c r="CL5" s="9"/>
      <c r="CM5" s="9"/>
      <c r="CN5" s="11"/>
      <c r="CO5" s="9"/>
      <c r="CP5" s="11"/>
      <c r="CQ5" s="9"/>
    </row>
    <row r="6" spans="1:95" ht="12.75">
      <c r="A6" s="13" t="s">
        <v>142</v>
      </c>
      <c r="B6" s="9"/>
      <c r="C6" s="9"/>
      <c r="D6" s="11"/>
      <c r="E6" s="9"/>
      <c r="F6" s="11"/>
      <c r="G6" s="9"/>
      <c r="H6" s="9"/>
      <c r="I6" s="9"/>
      <c r="J6" s="13" t="s">
        <v>142</v>
      </c>
      <c r="K6" s="9"/>
      <c r="L6" s="9"/>
      <c r="M6" s="11"/>
      <c r="N6" s="9"/>
      <c r="O6" s="11"/>
      <c r="P6" s="9"/>
      <c r="Q6" s="9"/>
      <c r="R6" s="13" t="s">
        <v>142</v>
      </c>
      <c r="S6" s="9"/>
      <c r="T6" s="9"/>
      <c r="U6" s="11"/>
      <c r="V6" s="9"/>
      <c r="W6" s="11"/>
      <c r="X6" s="9"/>
      <c r="Y6" s="9"/>
      <c r="Z6" s="13" t="s">
        <v>142</v>
      </c>
      <c r="AA6" s="9"/>
      <c r="AB6" s="9"/>
      <c r="AC6" s="11"/>
      <c r="AD6" s="9"/>
      <c r="AE6" s="11"/>
      <c r="AF6" s="9"/>
      <c r="AG6" s="13" t="s">
        <v>142</v>
      </c>
      <c r="AH6" s="9"/>
      <c r="AI6" s="9"/>
      <c r="AJ6" s="11"/>
      <c r="AK6" s="9"/>
      <c r="AL6" s="11"/>
      <c r="AM6" s="9"/>
      <c r="AN6" s="13" t="s">
        <v>142</v>
      </c>
      <c r="AO6" s="9"/>
      <c r="AP6" s="9"/>
      <c r="AQ6" s="11"/>
      <c r="AR6" s="9"/>
      <c r="AS6" s="11"/>
      <c r="AT6" s="9"/>
      <c r="AU6" s="13" t="s">
        <v>142</v>
      </c>
      <c r="AV6" s="9"/>
      <c r="AW6" s="9"/>
      <c r="AX6" s="11"/>
      <c r="AY6" s="9"/>
      <c r="AZ6" s="11"/>
      <c r="BA6" s="9"/>
      <c r="BB6" s="13" t="s">
        <v>142</v>
      </c>
      <c r="BC6" s="9"/>
      <c r="BD6" s="9"/>
      <c r="BE6" s="11"/>
      <c r="BF6" s="9"/>
      <c r="BG6" s="11"/>
      <c r="BH6" s="9"/>
      <c r="BI6" s="13" t="s">
        <v>142</v>
      </c>
      <c r="BJ6" s="9"/>
      <c r="BK6" s="9"/>
      <c r="BL6" s="11"/>
      <c r="BM6" s="9"/>
      <c r="BN6" s="11"/>
      <c r="BO6" s="9"/>
      <c r="BP6" s="13" t="s">
        <v>142</v>
      </c>
      <c r="BQ6" s="9"/>
      <c r="BR6" s="9"/>
      <c r="BS6" s="11"/>
      <c r="BT6" s="9"/>
      <c r="BU6" s="11"/>
      <c r="BV6" s="9"/>
      <c r="BW6" s="13" t="s">
        <v>142</v>
      </c>
      <c r="BX6" s="9"/>
      <c r="BY6" s="9"/>
      <c r="BZ6" s="11"/>
      <c r="CA6" s="9"/>
      <c r="CB6" s="11"/>
      <c r="CC6" s="9"/>
      <c r="CD6" s="13" t="s">
        <v>142</v>
      </c>
      <c r="CE6" s="9"/>
      <c r="CF6" s="9"/>
      <c r="CG6" s="11"/>
      <c r="CH6" s="9"/>
      <c r="CI6" s="11"/>
      <c r="CJ6" s="9"/>
      <c r="CK6" s="13" t="s">
        <v>142</v>
      </c>
      <c r="CL6" s="9"/>
      <c r="CM6" s="9"/>
      <c r="CN6" s="11"/>
      <c r="CO6" s="9"/>
      <c r="CP6" s="11"/>
      <c r="CQ6" s="9"/>
    </row>
    <row r="7" spans="1:95" ht="12.75">
      <c r="A7" s="14" t="s">
        <v>11</v>
      </c>
      <c r="B7" s="9"/>
      <c r="C7" s="9"/>
      <c r="D7" s="11"/>
      <c r="E7" s="9"/>
      <c r="F7" s="11"/>
      <c r="G7" s="9"/>
      <c r="H7" s="9"/>
      <c r="I7" s="9"/>
      <c r="J7" s="14" t="s">
        <v>11</v>
      </c>
      <c r="K7" s="9"/>
      <c r="L7" s="9"/>
      <c r="M7" s="11"/>
      <c r="N7" s="9"/>
      <c r="O7" s="11"/>
      <c r="P7" s="9"/>
      <c r="Q7" s="9"/>
      <c r="R7" s="14" t="s">
        <v>11</v>
      </c>
      <c r="S7" s="9"/>
      <c r="T7" s="9"/>
      <c r="U7" s="11"/>
      <c r="V7" s="9"/>
      <c r="W7" s="11"/>
      <c r="X7" s="9"/>
      <c r="Y7" s="9"/>
      <c r="Z7" s="14" t="s">
        <v>11</v>
      </c>
      <c r="AA7" s="9"/>
      <c r="AB7" s="9"/>
      <c r="AC7" s="11"/>
      <c r="AD7" s="9"/>
      <c r="AE7" s="11"/>
      <c r="AF7" s="9"/>
      <c r="AG7" s="14" t="s">
        <v>11</v>
      </c>
      <c r="AH7" s="9"/>
      <c r="AI7" s="9"/>
      <c r="AJ7" s="11"/>
      <c r="AK7" s="9"/>
      <c r="AL7" s="11"/>
      <c r="AM7" s="9"/>
      <c r="AN7" s="14" t="s">
        <v>11</v>
      </c>
      <c r="AO7" s="9"/>
      <c r="AP7" s="9"/>
      <c r="AQ7" s="11"/>
      <c r="AR7" s="9"/>
      <c r="AS7" s="11"/>
      <c r="AT7" s="9"/>
      <c r="AU7" s="14" t="s">
        <v>11</v>
      </c>
      <c r="AV7" s="9"/>
      <c r="AW7" s="9"/>
      <c r="AX7" s="11"/>
      <c r="AY7" s="9"/>
      <c r="AZ7" s="11"/>
      <c r="BA7" s="9"/>
      <c r="BB7" s="14" t="s">
        <v>11</v>
      </c>
      <c r="BC7" s="9"/>
      <c r="BD7" s="9"/>
      <c r="BE7" s="11"/>
      <c r="BF7" s="9"/>
      <c r="BG7" s="11"/>
      <c r="BH7" s="9"/>
      <c r="BI7" s="14" t="s">
        <v>11</v>
      </c>
      <c r="BJ7" s="9"/>
      <c r="BK7" s="9"/>
      <c r="BL7" s="11"/>
      <c r="BM7" s="9"/>
      <c r="BN7" s="11"/>
      <c r="BO7" s="9"/>
      <c r="BP7" s="14" t="s">
        <v>11</v>
      </c>
      <c r="BQ7" s="9"/>
      <c r="BR7" s="9"/>
      <c r="BS7" s="11"/>
      <c r="BT7" s="9"/>
      <c r="BU7" s="11"/>
      <c r="BV7" s="9"/>
      <c r="BW7" s="14" t="s">
        <v>11</v>
      </c>
      <c r="BX7" s="9"/>
      <c r="BY7" s="9"/>
      <c r="BZ7" s="11"/>
      <c r="CA7" s="9"/>
      <c r="CB7" s="11"/>
      <c r="CC7" s="9"/>
      <c r="CD7" s="14" t="s">
        <v>11</v>
      </c>
      <c r="CE7" s="9"/>
      <c r="CF7" s="9"/>
      <c r="CG7" s="11"/>
      <c r="CH7" s="9"/>
      <c r="CI7" s="11"/>
      <c r="CJ7" s="9"/>
      <c r="CK7" s="14" t="s">
        <v>11</v>
      </c>
      <c r="CL7" s="9"/>
      <c r="CM7" s="9"/>
      <c r="CN7" s="11"/>
      <c r="CO7" s="9"/>
      <c r="CP7" s="11"/>
      <c r="CQ7" s="9"/>
    </row>
    <row r="8" spans="1:95" ht="12.75">
      <c r="A8" s="9"/>
      <c r="B8" s="9"/>
      <c r="C8" s="9"/>
      <c r="D8" s="11"/>
      <c r="E8" s="9"/>
      <c r="F8" s="11"/>
      <c r="G8" s="9"/>
      <c r="H8" s="9"/>
      <c r="I8" s="9"/>
      <c r="J8" s="9"/>
      <c r="K8" s="9"/>
      <c r="L8" s="9"/>
      <c r="M8" s="11"/>
      <c r="N8" s="9"/>
      <c r="O8" s="11"/>
      <c r="P8" s="9"/>
      <c r="Q8" s="9"/>
      <c r="R8" s="9"/>
      <c r="S8" s="9"/>
      <c r="T8" s="9"/>
      <c r="U8" s="11"/>
      <c r="V8" s="9"/>
      <c r="W8" s="11"/>
      <c r="X8" s="9"/>
      <c r="Y8" s="9"/>
      <c r="Z8" s="9"/>
      <c r="AA8" s="9"/>
      <c r="AB8" s="9"/>
      <c r="AC8" s="11"/>
      <c r="AD8" s="9"/>
      <c r="AE8" s="11"/>
      <c r="AF8" s="9"/>
      <c r="AG8" s="9"/>
      <c r="AH8" s="9"/>
      <c r="AI8" s="9"/>
      <c r="AJ8" s="11"/>
      <c r="AK8" s="9"/>
      <c r="AL8" s="11"/>
      <c r="AM8" s="9"/>
      <c r="AN8" s="9"/>
      <c r="AO8" s="9"/>
      <c r="AP8" s="9"/>
      <c r="AQ8" s="11"/>
      <c r="AR8" s="9"/>
      <c r="AS8" s="11"/>
      <c r="AT8" s="9"/>
      <c r="AU8" s="9"/>
      <c r="AV8" s="9"/>
      <c r="AW8" s="9"/>
      <c r="AX8" s="11"/>
      <c r="AY8" s="9"/>
      <c r="AZ8" s="11"/>
      <c r="BA8" s="9"/>
      <c r="BB8" s="9"/>
      <c r="BC8" s="9"/>
      <c r="BD8" s="9"/>
      <c r="BE8" s="11"/>
      <c r="BF8" s="9"/>
      <c r="BG8" s="11"/>
      <c r="BH8" s="9"/>
      <c r="BI8" s="9"/>
      <c r="BJ8" s="9"/>
      <c r="BK8" s="9"/>
      <c r="BL8" s="11"/>
      <c r="BM8" s="9"/>
      <c r="BN8" s="11"/>
      <c r="BO8" s="9"/>
      <c r="BP8" s="9"/>
      <c r="BQ8" s="9"/>
      <c r="BR8" s="9"/>
      <c r="BS8" s="11"/>
      <c r="BT8" s="9"/>
      <c r="BU8" s="11"/>
      <c r="BV8" s="9"/>
      <c r="BW8" s="9"/>
      <c r="BX8" s="9"/>
      <c r="BY8" s="9"/>
      <c r="BZ8" s="11"/>
      <c r="CA8" s="9"/>
      <c r="CB8" s="11"/>
      <c r="CC8" s="9"/>
      <c r="CD8" s="9"/>
      <c r="CE8" s="9"/>
      <c r="CF8" s="9"/>
      <c r="CG8" s="11"/>
      <c r="CH8" s="9"/>
      <c r="CI8" s="11"/>
      <c r="CJ8" s="9"/>
      <c r="CK8" s="9"/>
      <c r="CL8" s="9"/>
      <c r="CM8" s="9"/>
      <c r="CN8" s="11"/>
      <c r="CO8" s="9"/>
      <c r="CP8" s="11"/>
      <c r="CQ8" s="9"/>
    </row>
    <row r="9" spans="1:95" ht="12.75">
      <c r="A9" s="9" t="s">
        <v>141</v>
      </c>
      <c r="B9" s="9"/>
      <c r="C9" s="9"/>
      <c r="D9" s="16">
        <v>6003.468776073475</v>
      </c>
      <c r="E9" s="9"/>
      <c r="F9" s="11"/>
      <c r="G9" s="9"/>
      <c r="H9" s="9"/>
      <c r="I9" s="9"/>
      <c r="J9" s="9" t="s">
        <v>141</v>
      </c>
      <c r="K9" s="9"/>
      <c r="L9" s="9"/>
      <c r="M9" s="16">
        <v>6887.194186369945</v>
      </c>
      <c r="N9" s="9"/>
      <c r="O9" s="11"/>
      <c r="P9" s="9"/>
      <c r="Q9" s="9"/>
      <c r="R9" s="9" t="s">
        <v>141</v>
      </c>
      <c r="S9" s="9"/>
      <c r="T9" s="9"/>
      <c r="U9" s="16">
        <v>6939.077633663916</v>
      </c>
      <c r="V9" s="9"/>
      <c r="W9" s="11"/>
      <c r="X9" s="9"/>
      <c r="Y9" s="9"/>
      <c r="Z9" s="9" t="s">
        <v>141</v>
      </c>
      <c r="AA9" s="9"/>
      <c r="AB9" s="9"/>
      <c r="AC9" s="16">
        <v>7009.1112304866865</v>
      </c>
      <c r="AD9" s="9"/>
      <c r="AE9" s="11"/>
      <c r="AF9" s="9"/>
      <c r="AG9" s="9" t="s">
        <v>141</v>
      </c>
      <c r="AH9" s="9"/>
      <c r="AI9" s="9"/>
      <c r="AJ9" s="16">
        <v>7054.5338212250745</v>
      </c>
      <c r="AK9" s="9"/>
      <c r="AL9" s="11"/>
      <c r="AM9" s="9"/>
      <c r="AN9" s="9" t="s">
        <v>141</v>
      </c>
      <c r="AO9" s="9"/>
      <c r="AP9" s="9"/>
      <c r="AQ9" s="16">
        <v>7137.3194831516075</v>
      </c>
      <c r="AR9" s="9"/>
      <c r="AS9" s="11"/>
      <c r="AT9" s="9"/>
      <c r="AU9" s="9" t="s">
        <v>141</v>
      </c>
      <c r="AV9" s="9"/>
      <c r="AW9" s="9"/>
      <c r="AX9" s="16">
        <v>7105.918949152544</v>
      </c>
      <c r="AY9" s="9"/>
      <c r="AZ9" s="11"/>
      <c r="BA9" s="9"/>
      <c r="BB9" s="9" t="s">
        <v>141</v>
      </c>
      <c r="BC9" s="9"/>
      <c r="BD9" s="9"/>
      <c r="BE9" s="16">
        <v>7238.4087673210215</v>
      </c>
      <c r="BF9" s="9"/>
      <c r="BG9" s="11"/>
      <c r="BH9" s="9"/>
      <c r="BI9" s="9" t="s">
        <v>141</v>
      </c>
      <c r="BJ9" s="9"/>
      <c r="BK9" s="9"/>
      <c r="BL9" s="16">
        <v>7277.0248118119625</v>
      </c>
      <c r="BM9" s="9"/>
      <c r="BN9" s="11"/>
      <c r="BO9" s="9"/>
      <c r="BP9" s="9" t="s">
        <v>141</v>
      </c>
      <c r="BQ9" s="9"/>
      <c r="BR9" s="9"/>
      <c r="BS9" s="16">
        <v>7355.930745660502</v>
      </c>
      <c r="BT9" s="9"/>
      <c r="BU9" s="11"/>
      <c r="BV9" s="9"/>
      <c r="BW9" s="9" t="s">
        <v>141</v>
      </c>
      <c r="BX9" s="9"/>
      <c r="BY9" s="9"/>
      <c r="BZ9" s="16">
        <v>7327.6723673372435</v>
      </c>
      <c r="CA9" s="9"/>
      <c r="CB9" s="11"/>
      <c r="CC9" s="9"/>
      <c r="CD9" s="9" t="s">
        <v>141</v>
      </c>
      <c r="CE9" s="9"/>
      <c r="CF9" s="9"/>
      <c r="CG9" s="16">
        <v>7218.151899508749</v>
      </c>
      <c r="CH9" s="9"/>
      <c r="CI9" s="11"/>
      <c r="CJ9" s="9"/>
      <c r="CK9" s="9" t="s">
        <v>141</v>
      </c>
      <c r="CL9" s="9"/>
      <c r="CM9" s="9"/>
      <c r="CN9" s="16">
        <v>7246.5069888134985</v>
      </c>
      <c r="CO9" s="9"/>
      <c r="CP9" s="11"/>
      <c r="CQ9" s="9"/>
    </row>
    <row r="10" spans="1:95" ht="12.75">
      <c r="A10" s="9" t="s">
        <v>12</v>
      </c>
      <c r="B10" s="9"/>
      <c r="C10" s="9"/>
      <c r="D10" s="17">
        <v>86.0470363312666</v>
      </c>
      <c r="E10" s="9" t="s">
        <v>10</v>
      </c>
      <c r="F10" s="11"/>
      <c r="G10" s="9"/>
      <c r="H10" s="9"/>
      <c r="I10" s="33"/>
      <c r="J10" s="9" t="s">
        <v>12</v>
      </c>
      <c r="K10" s="9"/>
      <c r="L10" s="9"/>
      <c r="M10" s="17">
        <v>89.38697225751909</v>
      </c>
      <c r="N10" s="9" t="s">
        <v>10</v>
      </c>
      <c r="O10" s="11"/>
      <c r="P10" s="9"/>
      <c r="Q10" s="9"/>
      <c r="R10" s="9" t="s">
        <v>12</v>
      </c>
      <c r="S10" s="9"/>
      <c r="T10" s="9"/>
      <c r="U10" s="17">
        <v>92.67101885893288</v>
      </c>
      <c r="V10" s="9" t="s">
        <v>10</v>
      </c>
      <c r="W10" s="11"/>
      <c r="X10" s="9"/>
      <c r="Y10" s="9"/>
      <c r="Z10" s="9" t="s">
        <v>12</v>
      </c>
      <c r="AA10" s="9"/>
      <c r="AB10" s="9"/>
      <c r="AC10" s="17">
        <v>96.00073747878368</v>
      </c>
      <c r="AD10" s="9" t="s">
        <v>10</v>
      </c>
      <c r="AE10" s="11"/>
      <c r="AF10" s="9"/>
      <c r="AG10" s="9" t="s">
        <v>12</v>
      </c>
      <c r="AH10" s="9"/>
      <c r="AI10" s="9"/>
      <c r="AJ10" s="17">
        <v>97.22606909039962</v>
      </c>
      <c r="AK10" s="9" t="s">
        <v>10</v>
      </c>
      <c r="AL10" s="11"/>
      <c r="AM10" s="9"/>
      <c r="AN10" s="9" t="s">
        <v>12</v>
      </c>
      <c r="AO10" s="9"/>
      <c r="AP10" s="9"/>
      <c r="AQ10" s="17">
        <v>98.4065789576814</v>
      </c>
      <c r="AR10" s="9" t="s">
        <v>10</v>
      </c>
      <c r="AS10" s="11"/>
      <c r="AT10" s="9"/>
      <c r="AU10" s="9" t="s">
        <v>12</v>
      </c>
      <c r="AV10" s="9"/>
      <c r="AW10" s="9"/>
      <c r="AX10" s="17">
        <v>99.8930903071807</v>
      </c>
      <c r="AY10" s="9" t="s">
        <v>10</v>
      </c>
      <c r="AZ10" s="11"/>
      <c r="BA10" s="9"/>
      <c r="BB10" s="9" t="s">
        <v>12</v>
      </c>
      <c r="BC10" s="9"/>
      <c r="BD10" s="9"/>
      <c r="BE10" s="17">
        <v>102.21913418949823</v>
      </c>
      <c r="BF10" s="9" t="s">
        <v>10</v>
      </c>
      <c r="BG10" s="11"/>
      <c r="BH10" s="9"/>
      <c r="BI10" s="9" t="s">
        <v>12</v>
      </c>
      <c r="BJ10" s="9"/>
      <c r="BK10" s="9"/>
      <c r="BL10" s="17">
        <v>105.61096346208306</v>
      </c>
      <c r="BM10" s="9" t="s">
        <v>10</v>
      </c>
      <c r="BN10" s="11"/>
      <c r="BO10" s="9"/>
      <c r="BP10" s="9" t="s">
        <v>12</v>
      </c>
      <c r="BQ10" s="9"/>
      <c r="BR10" s="9"/>
      <c r="BS10" s="17">
        <v>111.74219958587547</v>
      </c>
      <c r="BT10" s="9" t="s">
        <v>10</v>
      </c>
      <c r="BU10" s="11"/>
      <c r="BV10" s="9"/>
      <c r="BW10" s="9" t="s">
        <v>12</v>
      </c>
      <c r="BX10" s="9"/>
      <c r="BY10" s="9"/>
      <c r="BZ10" s="17">
        <v>108.47219683247853</v>
      </c>
      <c r="CA10" s="9" t="s">
        <v>10</v>
      </c>
      <c r="CB10" s="11"/>
      <c r="CC10" s="9"/>
      <c r="CD10" s="9" t="s">
        <v>12</v>
      </c>
      <c r="CE10" s="9"/>
      <c r="CF10" s="9"/>
      <c r="CG10" s="17">
        <v>114.03424196314124</v>
      </c>
      <c r="CH10" s="9" t="s">
        <v>10</v>
      </c>
      <c r="CI10" s="11"/>
      <c r="CJ10" s="9"/>
      <c r="CK10" s="9" t="s">
        <v>12</v>
      </c>
      <c r="CL10" s="9"/>
      <c r="CM10" s="9"/>
      <c r="CN10" s="17">
        <v>116.74016444072576</v>
      </c>
      <c r="CO10" s="9" t="s">
        <v>10</v>
      </c>
      <c r="CP10" s="11"/>
      <c r="CQ10" s="9"/>
    </row>
    <row r="11" spans="1:95" ht="12.75">
      <c r="A11" s="9" t="s">
        <v>13</v>
      </c>
      <c r="B11" s="9"/>
      <c r="C11" s="9"/>
      <c r="D11" s="18">
        <v>0.2126</v>
      </c>
      <c r="E11" s="9"/>
      <c r="F11" s="11"/>
      <c r="G11" s="9"/>
      <c r="H11" s="9"/>
      <c r="I11" s="33"/>
      <c r="J11" s="9" t="s">
        <v>13</v>
      </c>
      <c r="K11" s="9"/>
      <c r="L11" s="9"/>
      <c r="M11" s="18">
        <v>0.2125</v>
      </c>
      <c r="N11" s="9"/>
      <c r="O11" s="11"/>
      <c r="P11" s="9"/>
      <c r="Q11" s="9"/>
      <c r="R11" s="9" t="s">
        <v>13</v>
      </c>
      <c r="S11" s="9"/>
      <c r="T11" s="9"/>
      <c r="U11" s="18">
        <v>0.2197530422617712</v>
      </c>
      <c r="V11" s="9"/>
      <c r="W11" s="11"/>
      <c r="X11" s="9"/>
      <c r="Y11" s="9"/>
      <c r="Z11" s="9" t="s">
        <v>13</v>
      </c>
      <c r="AA11" s="9"/>
      <c r="AB11" s="9"/>
      <c r="AC11" s="18">
        <v>0.21817807056386584</v>
      </c>
      <c r="AD11" s="9"/>
      <c r="AE11" s="11"/>
      <c r="AF11" s="9"/>
      <c r="AG11" s="9" t="s">
        <v>13</v>
      </c>
      <c r="AH11" s="9"/>
      <c r="AI11" s="9"/>
      <c r="AJ11" s="18">
        <v>0.21516785825994827</v>
      </c>
      <c r="AK11" s="9"/>
      <c r="AL11" s="11"/>
      <c r="AM11" s="9"/>
      <c r="AN11" s="9" t="s">
        <v>13</v>
      </c>
      <c r="AO11" s="9"/>
      <c r="AP11" s="9"/>
      <c r="AQ11" s="18">
        <v>0.21347152274631712</v>
      </c>
      <c r="AR11" s="9"/>
      <c r="AS11" s="11"/>
      <c r="AT11" s="9"/>
      <c r="AU11" s="9" t="s">
        <v>13</v>
      </c>
      <c r="AV11" s="9"/>
      <c r="AW11" s="9"/>
      <c r="AX11" s="18">
        <v>0.21132953362498763</v>
      </c>
      <c r="AY11" s="9"/>
      <c r="AZ11" s="11"/>
      <c r="BA11" s="9"/>
      <c r="BB11" s="9" t="s">
        <v>13</v>
      </c>
      <c r="BC11" s="9"/>
      <c r="BD11" s="9"/>
      <c r="BE11" s="18">
        <v>0.20638977845530831</v>
      </c>
      <c r="BF11" s="9"/>
      <c r="BG11" s="11"/>
      <c r="BH11" s="9"/>
      <c r="BI11" s="9" t="s">
        <v>13</v>
      </c>
      <c r="BJ11" s="9"/>
      <c r="BK11" s="9"/>
      <c r="BL11" s="18">
        <v>0.20566707151810745</v>
      </c>
      <c r="BM11" s="9"/>
      <c r="BN11" s="11"/>
      <c r="BO11" s="9"/>
      <c r="BP11" s="9" t="s">
        <v>13</v>
      </c>
      <c r="BQ11" s="9"/>
      <c r="BR11" s="9"/>
      <c r="BS11" s="18">
        <v>0.20528236806115094</v>
      </c>
      <c r="BT11" s="9"/>
      <c r="BU11" s="11"/>
      <c r="BV11" s="9"/>
      <c r="BW11" s="9" t="s">
        <v>13</v>
      </c>
      <c r="BX11" s="9"/>
      <c r="BY11" s="9"/>
      <c r="BZ11" s="18">
        <v>0.20497071855813626</v>
      </c>
      <c r="CA11" s="9"/>
      <c r="CB11" s="11"/>
      <c r="CC11" s="9"/>
      <c r="CD11" s="9" t="s">
        <v>13</v>
      </c>
      <c r="CE11" s="9"/>
      <c r="CF11" s="9"/>
      <c r="CG11" s="18">
        <v>0.19992254309610874</v>
      </c>
      <c r="CH11" s="9"/>
      <c r="CI11" s="11"/>
      <c r="CJ11" s="9"/>
      <c r="CK11" s="9" t="s">
        <v>13</v>
      </c>
      <c r="CL11" s="9"/>
      <c r="CM11" s="9"/>
      <c r="CN11" s="18">
        <v>0.197965439942658</v>
      </c>
      <c r="CO11" s="9"/>
      <c r="CP11" s="11"/>
      <c r="CQ11" s="9"/>
    </row>
    <row r="12" spans="1:95" ht="12.75">
      <c r="A12" s="9" t="s">
        <v>14</v>
      </c>
      <c r="B12" s="9"/>
      <c r="C12" s="9"/>
      <c r="D12" s="17">
        <v>21.692793314463</v>
      </c>
      <c r="E12" s="9" t="s">
        <v>77</v>
      </c>
      <c r="F12" s="11"/>
      <c r="G12" s="9"/>
      <c r="H12" s="9"/>
      <c r="I12" s="33"/>
      <c r="J12" s="9" t="s">
        <v>14</v>
      </c>
      <c r="K12" s="9"/>
      <c r="L12" s="9"/>
      <c r="M12" s="17">
        <v>21.62</v>
      </c>
      <c r="N12" s="9" t="s">
        <v>77</v>
      </c>
      <c r="O12" s="11"/>
      <c r="P12" s="9"/>
      <c r="Q12" s="9"/>
      <c r="R12" s="9" t="s">
        <v>14</v>
      </c>
      <c r="S12" s="9"/>
      <c r="T12" s="9"/>
      <c r="U12" s="17">
        <v>21.752885709185207</v>
      </c>
      <c r="V12" s="9" t="s">
        <v>77</v>
      </c>
      <c r="W12" s="11"/>
      <c r="X12" s="9"/>
      <c r="Y12" s="9"/>
      <c r="Z12" s="9" t="s">
        <v>14</v>
      </c>
      <c r="AA12" s="9"/>
      <c r="AB12" s="9"/>
      <c r="AC12" s="17">
        <v>21.7997775331251</v>
      </c>
      <c r="AD12" s="9" t="s">
        <v>77</v>
      </c>
      <c r="AE12" s="11"/>
      <c r="AF12" s="9"/>
      <c r="AG12" s="9" t="s">
        <v>14</v>
      </c>
      <c r="AH12" s="9"/>
      <c r="AI12" s="9"/>
      <c r="AJ12" s="17">
        <v>21.974509196720415</v>
      </c>
      <c r="AK12" s="9" t="s">
        <v>77</v>
      </c>
      <c r="AL12" s="11"/>
      <c r="AM12" s="9"/>
      <c r="AN12" s="9" t="s">
        <v>14</v>
      </c>
      <c r="AO12" s="9"/>
      <c r="AP12" s="9"/>
      <c r="AQ12" s="17">
        <v>22.221629828820216</v>
      </c>
      <c r="AR12" s="9" t="s">
        <v>77</v>
      </c>
      <c r="AS12" s="11"/>
      <c r="AT12" s="9"/>
      <c r="AU12" s="9" t="s">
        <v>14</v>
      </c>
      <c r="AV12" s="9"/>
      <c r="AW12" s="9"/>
      <c r="AX12" s="17">
        <v>22.778470853924727</v>
      </c>
      <c r="AY12" s="9" t="s">
        <v>77</v>
      </c>
      <c r="AZ12" s="11"/>
      <c r="BA12" s="9"/>
      <c r="BB12" s="9" t="s">
        <v>14</v>
      </c>
      <c r="BC12" s="9"/>
      <c r="BD12" s="9"/>
      <c r="BE12" s="17">
        <v>22.19455707402643</v>
      </c>
      <c r="BF12" s="9" t="s">
        <v>77</v>
      </c>
      <c r="BG12" s="11"/>
      <c r="BH12" s="9"/>
      <c r="BI12" s="9" t="s">
        <v>14</v>
      </c>
      <c r="BJ12" s="9"/>
      <c r="BK12" s="9"/>
      <c r="BL12" s="17">
        <v>23.45359178644854</v>
      </c>
      <c r="BM12" s="9" t="s">
        <v>77</v>
      </c>
      <c r="BN12" s="11"/>
      <c r="BO12" s="9"/>
      <c r="BP12" s="9" t="s">
        <v>14</v>
      </c>
      <c r="BQ12" s="9"/>
      <c r="BR12" s="9"/>
      <c r="BS12" s="17">
        <v>23.499388722343436</v>
      </c>
      <c r="BT12" s="9" t="s">
        <v>77</v>
      </c>
      <c r="BU12" s="11"/>
      <c r="BV12" s="9"/>
      <c r="BW12" s="9" t="s">
        <v>14</v>
      </c>
      <c r="BX12" s="9"/>
      <c r="BY12" s="9"/>
      <c r="BZ12" s="17">
        <v>23.534716623621836</v>
      </c>
      <c r="CA12" s="9" t="s">
        <v>77</v>
      </c>
      <c r="CB12" s="11"/>
      <c r="CC12" s="9"/>
      <c r="CD12" s="9" t="s">
        <v>14</v>
      </c>
      <c r="CE12" s="9"/>
      <c r="CF12" s="9"/>
      <c r="CG12" s="17">
        <v>21.97887929064289</v>
      </c>
      <c r="CH12" s="9" t="s">
        <v>77</v>
      </c>
      <c r="CI12" s="11"/>
      <c r="CJ12" s="9"/>
      <c r="CK12" s="9" t="s">
        <v>14</v>
      </c>
      <c r="CL12" s="9"/>
      <c r="CM12" s="9"/>
      <c r="CN12" s="17">
        <v>21.41403622392438</v>
      </c>
      <c r="CO12" s="9" t="s">
        <v>77</v>
      </c>
      <c r="CP12" s="11"/>
      <c r="CQ12" s="9"/>
    </row>
    <row r="13" spans="1:95" ht="12.75">
      <c r="A13" s="9"/>
      <c r="B13" s="9"/>
      <c r="C13" s="9"/>
      <c r="D13" s="11"/>
      <c r="E13" s="9"/>
      <c r="F13" s="11"/>
      <c r="G13" s="9"/>
      <c r="H13" s="9"/>
      <c r="I13" s="9"/>
      <c r="J13" s="9"/>
      <c r="K13" s="9"/>
      <c r="L13" s="9"/>
      <c r="M13" s="11"/>
      <c r="N13" s="9"/>
      <c r="O13" s="11"/>
      <c r="P13" s="9"/>
      <c r="Q13" s="9"/>
      <c r="R13" s="9"/>
      <c r="S13" s="9"/>
      <c r="T13" s="9"/>
      <c r="U13" s="11"/>
      <c r="V13" s="9"/>
      <c r="W13" s="11"/>
      <c r="X13" s="9"/>
      <c r="Y13" s="9"/>
      <c r="Z13" s="9"/>
      <c r="AA13" s="9"/>
      <c r="AB13" s="9"/>
      <c r="AC13" s="11"/>
      <c r="AD13" s="9"/>
      <c r="AE13" s="11"/>
      <c r="AF13" s="9"/>
      <c r="AG13" s="9"/>
      <c r="AH13" s="9"/>
      <c r="AI13" s="9"/>
      <c r="AJ13" s="11"/>
      <c r="AK13" s="9"/>
      <c r="AL13" s="11"/>
      <c r="AM13" s="9"/>
      <c r="AN13" s="9"/>
      <c r="AO13" s="9"/>
      <c r="AP13" s="9"/>
      <c r="AQ13" s="11"/>
      <c r="AR13" s="9"/>
      <c r="AS13" s="11"/>
      <c r="AT13" s="9"/>
      <c r="AU13" s="9"/>
      <c r="AV13" s="9"/>
      <c r="AW13" s="9"/>
      <c r="AX13" s="11"/>
      <c r="AY13" s="9"/>
      <c r="AZ13" s="11"/>
      <c r="BA13" s="9"/>
      <c r="BB13" s="9"/>
      <c r="BC13" s="9"/>
      <c r="BD13" s="9"/>
      <c r="BE13" s="11"/>
      <c r="BF13" s="9"/>
      <c r="BG13" s="11"/>
      <c r="BH13" s="9"/>
      <c r="BI13" s="9"/>
      <c r="BJ13" s="9"/>
      <c r="BK13" s="9"/>
      <c r="BL13" s="11"/>
      <c r="BM13" s="9"/>
      <c r="BN13" s="11"/>
      <c r="BO13" s="9"/>
      <c r="BP13" s="9"/>
      <c r="BQ13" s="9"/>
      <c r="BR13" s="9"/>
      <c r="BS13" s="11"/>
      <c r="BT13" s="9"/>
      <c r="BU13" s="11"/>
      <c r="BV13" s="9"/>
      <c r="BW13" s="9"/>
      <c r="BX13" s="9"/>
      <c r="BY13" s="9"/>
      <c r="BZ13" s="11"/>
      <c r="CA13" s="9"/>
      <c r="CB13" s="11"/>
      <c r="CC13" s="9"/>
      <c r="CD13" s="9"/>
      <c r="CE13" s="9"/>
      <c r="CF13" s="9"/>
      <c r="CG13" s="11"/>
      <c r="CH13" s="9"/>
      <c r="CI13" s="11"/>
      <c r="CJ13" s="9"/>
      <c r="CK13" s="9"/>
      <c r="CL13" s="9"/>
      <c r="CM13" s="9"/>
      <c r="CN13" s="11"/>
      <c r="CO13" s="9"/>
      <c r="CP13" s="11"/>
      <c r="CQ13" s="9"/>
    </row>
    <row r="14" spans="1:95" ht="12.75">
      <c r="A14" s="9"/>
      <c r="B14" s="9"/>
      <c r="C14" s="9"/>
      <c r="D14" s="11"/>
      <c r="E14" s="9"/>
      <c r="F14" s="11"/>
      <c r="G14" s="9"/>
      <c r="H14" s="9"/>
      <c r="I14" s="9"/>
      <c r="J14" s="9"/>
      <c r="K14" s="9"/>
      <c r="L14" s="9"/>
      <c r="M14" s="11"/>
      <c r="N14" s="9"/>
      <c r="O14" s="11"/>
      <c r="P14" s="9"/>
      <c r="Q14" s="9"/>
      <c r="R14" s="9"/>
      <c r="S14" s="9"/>
      <c r="T14" s="9"/>
      <c r="U14" s="11"/>
      <c r="V14" s="9"/>
      <c r="W14" s="11"/>
      <c r="X14" s="9"/>
      <c r="Y14" s="9"/>
      <c r="Z14" s="9"/>
      <c r="AA14" s="9"/>
      <c r="AB14" s="9"/>
      <c r="AC14" s="11"/>
      <c r="AD14" s="9"/>
      <c r="AE14" s="11"/>
      <c r="AF14" s="9"/>
      <c r="AG14" s="9"/>
      <c r="AH14" s="9"/>
      <c r="AI14" s="9"/>
      <c r="AJ14" s="11"/>
      <c r="AK14" s="9"/>
      <c r="AL14" s="11"/>
      <c r="AM14" s="9"/>
      <c r="AN14" s="9"/>
      <c r="AO14" s="9"/>
      <c r="AP14" s="9"/>
      <c r="AQ14" s="11"/>
      <c r="AR14" s="9"/>
      <c r="AS14" s="11"/>
      <c r="AT14" s="9"/>
      <c r="AU14" s="9"/>
      <c r="AV14" s="9"/>
      <c r="AW14" s="9"/>
      <c r="AX14" s="11"/>
      <c r="AY14" s="9"/>
      <c r="AZ14" s="11"/>
      <c r="BA14" s="9"/>
      <c r="BB14" s="9"/>
      <c r="BC14" s="9"/>
      <c r="BD14" s="9"/>
      <c r="BE14" s="11"/>
      <c r="BF14" s="9"/>
      <c r="BG14" s="11"/>
      <c r="BH14" s="9"/>
      <c r="BI14" s="9"/>
      <c r="BJ14" s="9"/>
      <c r="BK14" s="9"/>
      <c r="BL14" s="11"/>
      <c r="BM14" s="9"/>
      <c r="BN14" s="11"/>
      <c r="BO14" s="9"/>
      <c r="BP14" s="9"/>
      <c r="BQ14" s="9"/>
      <c r="BR14" s="9"/>
      <c r="BS14" s="11"/>
      <c r="BT14" s="9"/>
      <c r="BU14" s="11"/>
      <c r="BV14" s="9"/>
      <c r="BW14" s="9"/>
      <c r="BX14" s="9"/>
      <c r="BY14" s="9"/>
      <c r="BZ14" s="11"/>
      <c r="CA14" s="9"/>
      <c r="CB14" s="11"/>
      <c r="CC14" s="9"/>
      <c r="CD14" s="9"/>
      <c r="CE14" s="9"/>
      <c r="CF14" s="9"/>
      <c r="CG14" s="11"/>
      <c r="CH14" s="9"/>
      <c r="CI14" s="11"/>
      <c r="CJ14" s="9"/>
      <c r="CK14" s="9"/>
      <c r="CL14" s="9"/>
      <c r="CM14" s="9"/>
      <c r="CN14" s="11"/>
      <c r="CO14" s="9"/>
      <c r="CP14" s="11"/>
      <c r="CQ14" s="9"/>
    </row>
    <row r="15" spans="1:95" ht="12.75">
      <c r="A15" s="20" t="s">
        <v>106</v>
      </c>
      <c r="B15" s="9"/>
      <c r="C15" s="9"/>
      <c r="D15" s="11"/>
      <c r="E15" s="9"/>
      <c r="F15" s="11"/>
      <c r="G15" s="9"/>
      <c r="H15" s="9"/>
      <c r="I15" s="9"/>
      <c r="J15" s="20" t="s">
        <v>106</v>
      </c>
      <c r="K15" s="9"/>
      <c r="L15" s="9"/>
      <c r="M15" s="11"/>
      <c r="N15" s="9"/>
      <c r="O15" s="11"/>
      <c r="P15" s="9"/>
      <c r="Q15" s="9"/>
      <c r="R15" s="20" t="s">
        <v>106</v>
      </c>
      <c r="S15" s="9"/>
      <c r="T15" s="9"/>
      <c r="U15" s="11"/>
      <c r="V15" s="9"/>
      <c r="W15" s="11"/>
      <c r="X15" s="9"/>
      <c r="Y15" s="9"/>
      <c r="Z15" s="20" t="s">
        <v>106</v>
      </c>
      <c r="AA15" s="9"/>
      <c r="AB15" s="9"/>
      <c r="AC15" s="11"/>
      <c r="AD15" s="9"/>
      <c r="AE15" s="11"/>
      <c r="AF15" s="9"/>
      <c r="AG15" s="20" t="s">
        <v>106</v>
      </c>
      <c r="AH15" s="9"/>
      <c r="AI15" s="9"/>
      <c r="AJ15" s="11"/>
      <c r="AK15" s="9"/>
      <c r="AL15" s="11"/>
      <c r="AM15" s="9"/>
      <c r="AN15" s="20" t="s">
        <v>106</v>
      </c>
      <c r="AO15" s="9"/>
      <c r="AP15" s="9"/>
      <c r="AQ15" s="11"/>
      <c r="AR15" s="9"/>
      <c r="AS15" s="11"/>
      <c r="AT15" s="9"/>
      <c r="AU15" s="20" t="s">
        <v>106</v>
      </c>
      <c r="AV15" s="9"/>
      <c r="AW15" s="9"/>
      <c r="AX15" s="11"/>
      <c r="AY15" s="9"/>
      <c r="AZ15" s="11"/>
      <c r="BA15" s="9"/>
      <c r="BB15" s="20" t="s">
        <v>106</v>
      </c>
      <c r="BC15" s="9"/>
      <c r="BD15" s="9"/>
      <c r="BE15" s="11"/>
      <c r="BF15" s="9"/>
      <c r="BG15" s="11"/>
      <c r="BH15" s="9"/>
      <c r="BI15" s="20" t="s">
        <v>106</v>
      </c>
      <c r="BJ15" s="9"/>
      <c r="BK15" s="9"/>
      <c r="BL15" s="11"/>
      <c r="BM15" s="9"/>
      <c r="BN15" s="11"/>
      <c r="BO15" s="9"/>
      <c r="BP15" s="20" t="s">
        <v>106</v>
      </c>
      <c r="BQ15" s="9"/>
      <c r="BR15" s="9"/>
      <c r="BS15" s="11"/>
      <c r="BT15" s="9"/>
      <c r="BU15" s="11"/>
      <c r="BV15" s="9"/>
      <c r="BW15" s="20" t="s">
        <v>106</v>
      </c>
      <c r="BX15" s="9"/>
      <c r="BY15" s="9"/>
      <c r="BZ15" s="11"/>
      <c r="CA15" s="9"/>
      <c r="CB15" s="11"/>
      <c r="CC15" s="9"/>
      <c r="CD15" s="20" t="s">
        <v>106</v>
      </c>
      <c r="CE15" s="9"/>
      <c r="CF15" s="9"/>
      <c r="CG15" s="11"/>
      <c r="CH15" s="9"/>
      <c r="CI15" s="11"/>
      <c r="CJ15" s="9"/>
      <c r="CK15" s="20" t="s">
        <v>106</v>
      </c>
      <c r="CL15" s="9"/>
      <c r="CM15" s="9"/>
      <c r="CN15" s="11"/>
      <c r="CO15" s="9"/>
      <c r="CP15" s="11"/>
      <c r="CQ15" s="9"/>
    </row>
    <row r="16" spans="1:95" ht="12.75">
      <c r="A16" s="20"/>
      <c r="B16" s="9"/>
      <c r="C16" s="9"/>
      <c r="D16" s="11"/>
      <c r="E16" s="9"/>
      <c r="F16" s="11"/>
      <c r="G16" s="9"/>
      <c r="H16" s="9"/>
      <c r="I16" s="9"/>
      <c r="J16" s="20"/>
      <c r="K16" s="9"/>
      <c r="L16" s="9"/>
      <c r="M16" s="11"/>
      <c r="N16" s="9"/>
      <c r="O16" s="11"/>
      <c r="P16" s="9"/>
      <c r="Q16" s="9"/>
      <c r="R16" s="20"/>
      <c r="S16" s="9"/>
      <c r="T16" s="9"/>
      <c r="U16" s="11"/>
      <c r="V16" s="9"/>
      <c r="W16" s="11"/>
      <c r="X16" s="9"/>
      <c r="Y16" s="9"/>
      <c r="Z16" s="20"/>
      <c r="AA16" s="9"/>
      <c r="AB16" s="9"/>
      <c r="AC16" s="11"/>
      <c r="AD16" s="9"/>
      <c r="AE16" s="11"/>
      <c r="AF16" s="9"/>
      <c r="AG16" s="20"/>
      <c r="AH16" s="9"/>
      <c r="AI16" s="9"/>
      <c r="AJ16" s="11"/>
      <c r="AK16" s="9"/>
      <c r="AL16" s="11"/>
      <c r="AM16" s="9"/>
      <c r="AN16" s="20"/>
      <c r="AO16" s="9"/>
      <c r="AP16" s="9"/>
      <c r="AQ16" s="11"/>
      <c r="AR16" s="9"/>
      <c r="AS16" s="11"/>
      <c r="AT16" s="9"/>
      <c r="AU16" s="20"/>
      <c r="AV16" s="9"/>
      <c r="AW16" s="9"/>
      <c r="AX16" s="11"/>
      <c r="AY16" s="9"/>
      <c r="AZ16" s="11"/>
      <c r="BA16" s="9"/>
      <c r="BB16" s="20"/>
      <c r="BC16" s="9"/>
      <c r="BD16" s="9"/>
      <c r="BE16" s="11"/>
      <c r="BF16" s="9"/>
      <c r="BG16" s="11"/>
      <c r="BH16" s="9"/>
      <c r="BI16" s="20"/>
      <c r="BJ16" s="9"/>
      <c r="BK16" s="9"/>
      <c r="BL16" s="11"/>
      <c r="BM16" s="9"/>
      <c r="BN16" s="11"/>
      <c r="BO16" s="9"/>
      <c r="BP16" s="20"/>
      <c r="BQ16" s="9"/>
      <c r="BR16" s="9"/>
      <c r="BS16" s="11"/>
      <c r="BT16" s="9"/>
      <c r="BU16" s="11"/>
      <c r="BV16" s="9"/>
      <c r="BW16" s="20"/>
      <c r="BX16" s="9"/>
      <c r="BY16" s="9"/>
      <c r="BZ16" s="11"/>
      <c r="CA16" s="9"/>
      <c r="CB16" s="11"/>
      <c r="CC16" s="9"/>
      <c r="CD16" s="20"/>
      <c r="CE16" s="9"/>
      <c r="CF16" s="9"/>
      <c r="CG16" s="11"/>
      <c r="CH16" s="9"/>
      <c r="CI16" s="11"/>
      <c r="CJ16" s="9"/>
      <c r="CK16" s="20"/>
      <c r="CL16" s="9"/>
      <c r="CM16" s="9"/>
      <c r="CN16" s="11"/>
      <c r="CO16" s="9"/>
      <c r="CP16" s="11"/>
      <c r="CQ16" s="9"/>
    </row>
    <row r="17" spans="1:95" s="30" customFormat="1" ht="12.75">
      <c r="A17" s="26"/>
      <c r="B17" s="27"/>
      <c r="C17" s="27"/>
      <c r="D17" s="28" t="s">
        <v>143</v>
      </c>
      <c r="E17" s="27" t="s">
        <v>96</v>
      </c>
      <c r="F17" s="29" t="s">
        <v>97</v>
      </c>
      <c r="G17" s="27" t="s">
        <v>96</v>
      </c>
      <c r="H17" s="26"/>
      <c r="I17" s="26"/>
      <c r="J17" s="28" t="s">
        <v>143</v>
      </c>
      <c r="K17" s="27" t="s">
        <v>96</v>
      </c>
      <c r="L17" s="29" t="s">
        <v>97</v>
      </c>
      <c r="M17" s="27" t="s">
        <v>96</v>
      </c>
      <c r="N17" s="65"/>
      <c r="O17" s="66"/>
      <c r="P17" s="65"/>
      <c r="Q17" s="26"/>
      <c r="R17" s="28" t="s">
        <v>143</v>
      </c>
      <c r="S17" s="27" t="s">
        <v>96</v>
      </c>
      <c r="T17" s="29" t="s">
        <v>97</v>
      </c>
      <c r="U17" s="27" t="s">
        <v>96</v>
      </c>
      <c r="V17" s="65"/>
      <c r="W17" s="66"/>
      <c r="X17" s="65"/>
      <c r="Y17" s="26"/>
      <c r="Z17" s="28" t="s">
        <v>143</v>
      </c>
      <c r="AA17" s="27" t="s">
        <v>96</v>
      </c>
      <c r="AB17" s="29" t="s">
        <v>97</v>
      </c>
      <c r="AC17" s="27" t="s">
        <v>96</v>
      </c>
      <c r="AD17" s="65"/>
      <c r="AE17" s="66"/>
      <c r="AF17" s="65"/>
      <c r="AG17" s="28" t="s">
        <v>143</v>
      </c>
      <c r="AH17" s="27" t="s">
        <v>96</v>
      </c>
      <c r="AI17" s="29" t="s">
        <v>97</v>
      </c>
      <c r="AJ17" s="27" t="s">
        <v>96</v>
      </c>
      <c r="AK17" s="65"/>
      <c r="AL17" s="66"/>
      <c r="AM17" s="65"/>
      <c r="AN17" s="28" t="s">
        <v>143</v>
      </c>
      <c r="AO17" s="27" t="s">
        <v>96</v>
      </c>
      <c r="AP17" s="29" t="s">
        <v>97</v>
      </c>
      <c r="AQ17" s="27" t="s">
        <v>96</v>
      </c>
      <c r="AR17" s="65"/>
      <c r="AS17" s="66"/>
      <c r="AT17" s="65"/>
      <c r="AU17" s="95" t="s">
        <v>143</v>
      </c>
      <c r="AV17" s="96" t="s">
        <v>96</v>
      </c>
      <c r="AW17" s="97" t="s">
        <v>97</v>
      </c>
      <c r="AX17" s="45" t="s">
        <v>96</v>
      </c>
      <c r="AY17" s="65"/>
      <c r="AZ17" s="66"/>
      <c r="BA17" s="65"/>
      <c r="BB17" s="95" t="s">
        <v>143</v>
      </c>
      <c r="BC17" s="96" t="s">
        <v>96</v>
      </c>
      <c r="BD17" s="97" t="s">
        <v>97</v>
      </c>
      <c r="BE17" s="45" t="s">
        <v>96</v>
      </c>
      <c r="BF17" s="65"/>
      <c r="BG17" s="66"/>
      <c r="BH17" s="65"/>
      <c r="BI17" s="95" t="s">
        <v>143</v>
      </c>
      <c r="BJ17" s="96" t="s">
        <v>96</v>
      </c>
      <c r="BK17" s="97" t="s">
        <v>97</v>
      </c>
      <c r="BL17" s="45" t="s">
        <v>96</v>
      </c>
      <c r="BM17" s="65"/>
      <c r="BN17" s="66"/>
      <c r="BO17" s="65"/>
      <c r="BP17" s="94" t="s">
        <v>143</v>
      </c>
      <c r="BQ17" s="45" t="s">
        <v>96</v>
      </c>
      <c r="BR17" s="93" t="s">
        <v>97</v>
      </c>
      <c r="BS17" s="45" t="s">
        <v>96</v>
      </c>
      <c r="BT17" s="65"/>
      <c r="BU17" s="66"/>
      <c r="BV17" s="65"/>
      <c r="BW17" s="94" t="s">
        <v>143</v>
      </c>
      <c r="BX17" s="45" t="s">
        <v>96</v>
      </c>
      <c r="BY17" s="93" t="s">
        <v>97</v>
      </c>
      <c r="BZ17" s="45" t="s">
        <v>96</v>
      </c>
      <c r="CA17" s="65"/>
      <c r="CB17" s="66"/>
      <c r="CC17" s="65"/>
      <c r="CD17" s="94" t="s">
        <v>143</v>
      </c>
      <c r="CE17" s="45" t="s">
        <v>96</v>
      </c>
      <c r="CF17" s="93" t="s">
        <v>97</v>
      </c>
      <c r="CG17" s="45" t="s">
        <v>96</v>
      </c>
      <c r="CH17" s="65"/>
      <c r="CI17" s="66"/>
      <c r="CJ17" s="65"/>
      <c r="CK17" s="94" t="s">
        <v>143</v>
      </c>
      <c r="CL17" s="45" t="s">
        <v>96</v>
      </c>
      <c r="CM17" s="93" t="s">
        <v>97</v>
      </c>
      <c r="CN17" s="45" t="s">
        <v>96</v>
      </c>
      <c r="CO17" s="65"/>
      <c r="CP17" s="66"/>
      <c r="CQ17" s="65"/>
    </row>
    <row r="18" spans="1:95" ht="12.75">
      <c r="A18" s="13"/>
      <c r="B18" s="9"/>
      <c r="C18" s="9"/>
      <c r="D18" s="11"/>
      <c r="E18" s="9"/>
      <c r="F18" s="11"/>
      <c r="G18" s="38"/>
      <c r="H18" s="9"/>
      <c r="I18" s="9"/>
      <c r="J18" s="11"/>
      <c r="K18" s="9"/>
      <c r="L18" s="11"/>
      <c r="M18" s="38"/>
      <c r="N18" s="55"/>
      <c r="O18" s="56"/>
      <c r="P18" s="72"/>
      <c r="Q18" s="9"/>
      <c r="R18" s="11"/>
      <c r="S18" s="9"/>
      <c r="T18" s="11"/>
      <c r="U18" s="38"/>
      <c r="V18" s="55"/>
      <c r="W18" s="56"/>
      <c r="X18" s="72"/>
      <c r="Y18" s="9"/>
      <c r="Z18" s="11"/>
      <c r="AA18" s="9"/>
      <c r="AB18" s="11"/>
      <c r="AC18" s="38"/>
      <c r="AD18" s="55"/>
      <c r="AE18" s="56"/>
      <c r="AF18" s="72"/>
      <c r="AG18" s="11"/>
      <c r="AH18" s="9"/>
      <c r="AI18" s="11"/>
      <c r="AJ18" s="38"/>
      <c r="AK18" s="55"/>
      <c r="AL18" s="56"/>
      <c r="AM18" s="72"/>
      <c r="AN18" s="11"/>
      <c r="AO18" s="9"/>
      <c r="AP18" s="11"/>
      <c r="AQ18" s="38"/>
      <c r="AR18" s="55"/>
      <c r="AS18" s="56"/>
      <c r="AT18" s="72"/>
      <c r="AU18" s="11"/>
      <c r="AV18" s="9"/>
      <c r="AW18" s="11"/>
      <c r="AX18" s="38"/>
      <c r="AY18" s="55"/>
      <c r="AZ18" s="56"/>
      <c r="BA18" s="72"/>
      <c r="BB18" s="11"/>
      <c r="BC18" s="9"/>
      <c r="BD18" s="11"/>
      <c r="BE18" s="38"/>
      <c r="BF18" s="55"/>
      <c r="BG18" s="56"/>
      <c r="BH18" s="72"/>
      <c r="BI18" s="11"/>
      <c r="BJ18" s="9"/>
      <c r="BK18" s="11"/>
      <c r="BL18" s="38"/>
      <c r="BM18" s="55"/>
      <c r="BN18" s="56"/>
      <c r="BO18" s="72"/>
      <c r="BP18" s="11"/>
      <c r="BQ18" s="9"/>
      <c r="BR18" s="11"/>
      <c r="BS18" s="38"/>
      <c r="BT18" s="55"/>
      <c r="BU18" s="56"/>
      <c r="BV18" s="72"/>
      <c r="BW18" s="11"/>
      <c r="BX18" s="9"/>
      <c r="BY18" s="11"/>
      <c r="BZ18" s="38"/>
      <c r="CA18" s="55"/>
      <c r="CB18" s="56"/>
      <c r="CC18" s="72"/>
      <c r="CD18" s="11"/>
      <c r="CE18" s="9"/>
      <c r="CF18" s="11"/>
      <c r="CG18" s="38"/>
      <c r="CH18" s="55"/>
      <c r="CI18" s="56"/>
      <c r="CJ18" s="72"/>
      <c r="CK18" s="11"/>
      <c r="CL18" s="9"/>
      <c r="CM18" s="11"/>
      <c r="CN18" s="38"/>
      <c r="CO18" s="55"/>
      <c r="CP18" s="56"/>
      <c r="CQ18" s="72"/>
    </row>
    <row r="19" spans="1:95" ht="12.75">
      <c r="A19" s="9" t="s">
        <v>24</v>
      </c>
      <c r="B19" s="9"/>
      <c r="C19" s="9"/>
      <c r="D19" s="10">
        <v>10866474.74000001</v>
      </c>
      <c r="E19" s="15">
        <v>0.08189822588654817</v>
      </c>
      <c r="F19" s="11">
        <v>3382</v>
      </c>
      <c r="G19" s="15">
        <v>0.15302475001131172</v>
      </c>
      <c r="H19" s="9"/>
      <c r="I19" s="9"/>
      <c r="J19" s="10">
        <v>14584175.830000024</v>
      </c>
      <c r="K19" s="15">
        <v>0.1132758487835274</v>
      </c>
      <c r="L19" s="11">
        <v>3175</v>
      </c>
      <c r="M19" s="15">
        <v>0.16984059056381726</v>
      </c>
      <c r="N19" s="57"/>
      <c r="O19" s="56"/>
      <c r="P19" s="57"/>
      <c r="Q19" s="9"/>
      <c r="R19" s="10">
        <v>15619284.700000014</v>
      </c>
      <c r="S19" s="15">
        <v>0.12471142732689695</v>
      </c>
      <c r="T19" s="11">
        <v>3143</v>
      </c>
      <c r="U19" s="15">
        <v>0.1741370713058895</v>
      </c>
      <c r="V19" s="57"/>
      <c r="W19" s="56"/>
      <c r="X19" s="57"/>
      <c r="Y19" s="9"/>
      <c r="Z19" s="10">
        <v>17289067.510000013</v>
      </c>
      <c r="AA19" s="15">
        <v>0.14156658498165506</v>
      </c>
      <c r="AB19" s="11">
        <v>3214</v>
      </c>
      <c r="AC19" s="15">
        <v>0.18445821854912764</v>
      </c>
      <c r="AD19" s="57"/>
      <c r="AE19" s="56"/>
      <c r="AF19" s="57"/>
      <c r="AG19" s="10">
        <v>17141000.379999984</v>
      </c>
      <c r="AH19" s="15">
        <v>0.14421800739230828</v>
      </c>
      <c r="AI19" s="11">
        <v>3047</v>
      </c>
      <c r="AJ19" s="15">
        <v>0.18085232668566</v>
      </c>
      <c r="AK19" s="57"/>
      <c r="AL19" s="56"/>
      <c r="AM19" s="57"/>
      <c r="AN19" s="10">
        <v>17277664.789999988</v>
      </c>
      <c r="AO19" s="15">
        <v>0.14912522706930256</v>
      </c>
      <c r="AP19" s="11">
        <v>2926</v>
      </c>
      <c r="AQ19" s="15">
        <v>0.1802501078050884</v>
      </c>
      <c r="AR19" s="57"/>
      <c r="AS19" s="56"/>
      <c r="AT19" s="57"/>
      <c r="AU19" s="10">
        <v>15027137.890000014</v>
      </c>
      <c r="AV19" s="15">
        <v>0.132751747337211</v>
      </c>
      <c r="AW19" s="11">
        <v>2396</v>
      </c>
      <c r="AX19" s="15">
        <v>0.15040803515379786</v>
      </c>
      <c r="AY19" s="57"/>
      <c r="AZ19" s="56"/>
      <c r="BA19" s="57"/>
      <c r="BB19" s="10">
        <v>16514669.190000018</v>
      </c>
      <c r="BC19" s="15">
        <v>0.164660298747915</v>
      </c>
      <c r="BD19" s="11">
        <v>2593</v>
      </c>
      <c r="BE19" s="15">
        <v>0.1871391454965358</v>
      </c>
      <c r="BF19" s="57"/>
      <c r="BG19" s="56"/>
      <c r="BH19" s="57"/>
      <c r="BI19" s="10">
        <v>9782420.849999998</v>
      </c>
      <c r="BJ19" s="15">
        <v>0.099991707168071</v>
      </c>
      <c r="BK19" s="11">
        <v>1507</v>
      </c>
      <c r="BL19" s="15">
        <v>0.11209461469800655</v>
      </c>
      <c r="BM19" s="57"/>
      <c r="BN19" s="56"/>
      <c r="BO19" s="57"/>
      <c r="BP19" s="10">
        <v>10962071.429999992</v>
      </c>
      <c r="BQ19" s="15">
        <v>0.11848429795792158</v>
      </c>
      <c r="BR19" s="11">
        <v>1640</v>
      </c>
      <c r="BS19" s="15">
        <v>0.12989070172659592</v>
      </c>
      <c r="BT19" s="57"/>
      <c r="BU19" s="56"/>
      <c r="BV19" s="57"/>
      <c r="BW19" s="10">
        <v>12236778.010000004</v>
      </c>
      <c r="BX19" s="15">
        <v>0.13556559781899716</v>
      </c>
      <c r="BY19" s="11">
        <v>1757</v>
      </c>
      <c r="BZ19" s="15">
        <v>0.14318311466058187</v>
      </c>
      <c r="CA19" s="57"/>
      <c r="CB19" s="56"/>
      <c r="CC19" s="57"/>
      <c r="CD19" s="10">
        <v>12854205.55000001</v>
      </c>
      <c r="CE19" s="15">
        <v>0.15347898943707117</v>
      </c>
      <c r="CF19" s="11">
        <v>1861</v>
      </c>
      <c r="CG19" s="15">
        <v>0.1603895544255796</v>
      </c>
      <c r="CH19" s="57"/>
      <c r="CI19" s="56"/>
      <c r="CJ19" s="57"/>
      <c r="CK19" s="10">
        <v>13756937.140000014</v>
      </c>
      <c r="CL19" s="15">
        <v>0.1740714488519234</v>
      </c>
      <c r="CM19" s="11">
        <v>1962</v>
      </c>
      <c r="CN19" s="15">
        <v>0.17990097194205024</v>
      </c>
      <c r="CO19" s="57"/>
      <c r="CP19" s="56"/>
      <c r="CQ19" s="57"/>
    </row>
    <row r="20" spans="1:95" ht="12.75">
      <c r="A20" s="9" t="s">
        <v>25</v>
      </c>
      <c r="B20" s="9"/>
      <c r="C20" s="9"/>
      <c r="D20" s="10">
        <v>11231361.470000023</v>
      </c>
      <c r="E20" s="15">
        <v>0.08464829677444545</v>
      </c>
      <c r="F20" s="11">
        <v>2777</v>
      </c>
      <c r="G20" s="15">
        <v>0.12565042305778018</v>
      </c>
      <c r="H20" s="9"/>
      <c r="I20" s="9"/>
      <c r="J20" s="10">
        <v>9991718.8</v>
      </c>
      <c r="K20" s="15">
        <v>0.07760606023057842</v>
      </c>
      <c r="L20" s="11">
        <v>1701</v>
      </c>
      <c r="M20" s="15">
        <v>0.09099176206269391</v>
      </c>
      <c r="N20" s="57"/>
      <c r="O20" s="56"/>
      <c r="P20" s="57"/>
      <c r="Q20" s="9"/>
      <c r="R20" s="10">
        <v>9422500.980000017</v>
      </c>
      <c r="S20" s="15">
        <v>0.07523350580868063</v>
      </c>
      <c r="T20" s="11">
        <v>1635</v>
      </c>
      <c r="U20" s="15">
        <v>0.09058673610726356</v>
      </c>
      <c r="V20" s="57"/>
      <c r="W20" s="56"/>
      <c r="X20" s="57"/>
      <c r="Y20" s="9"/>
      <c r="Z20" s="10">
        <v>9486063.719999999</v>
      </c>
      <c r="AA20" s="15">
        <v>0.0776739199486632</v>
      </c>
      <c r="AB20" s="11">
        <v>1705</v>
      </c>
      <c r="AC20" s="15">
        <v>0.09785353535353536</v>
      </c>
      <c r="AD20" s="57"/>
      <c r="AE20" s="56"/>
      <c r="AF20" s="57"/>
      <c r="AG20" s="10">
        <v>9459110.840000026</v>
      </c>
      <c r="AH20" s="15">
        <v>0.07958544348668804</v>
      </c>
      <c r="AI20" s="11">
        <v>1712</v>
      </c>
      <c r="AJ20" s="15">
        <v>0.10161443494776828</v>
      </c>
      <c r="AK20" s="57"/>
      <c r="AL20" s="56"/>
      <c r="AM20" s="57"/>
      <c r="AN20" s="10">
        <v>9140615.380000018</v>
      </c>
      <c r="AO20" s="15">
        <v>0.07889355191591624</v>
      </c>
      <c r="AP20" s="11">
        <v>1647</v>
      </c>
      <c r="AQ20" s="15">
        <v>0.10145998891147662</v>
      </c>
      <c r="AR20" s="57"/>
      <c r="AS20" s="56"/>
      <c r="AT20" s="57"/>
      <c r="AU20" s="10">
        <v>8244912.299999998</v>
      </c>
      <c r="AV20" s="15">
        <v>0.07283665874893107</v>
      </c>
      <c r="AW20" s="11">
        <v>1475</v>
      </c>
      <c r="AX20" s="15">
        <v>0.09259259259259259</v>
      </c>
      <c r="AY20" s="57"/>
      <c r="AZ20" s="56"/>
      <c r="BA20" s="57"/>
      <c r="BB20" s="10">
        <v>8126575.5800000075</v>
      </c>
      <c r="BC20" s="15">
        <v>0.08102641036313185</v>
      </c>
      <c r="BD20" s="11">
        <v>1450</v>
      </c>
      <c r="BE20" s="15">
        <v>0.10464780600461894</v>
      </c>
      <c r="BF20" s="57"/>
      <c r="BG20" s="56"/>
      <c r="BH20" s="57"/>
      <c r="BI20" s="10">
        <v>6992000.709999999</v>
      </c>
      <c r="BJ20" s="15">
        <v>0.07146923018684731</v>
      </c>
      <c r="BK20" s="11">
        <v>1019</v>
      </c>
      <c r="BL20" s="15">
        <v>0.07579589407914311</v>
      </c>
      <c r="BM20" s="57"/>
      <c r="BN20" s="56"/>
      <c r="BO20" s="57"/>
      <c r="BP20" s="10">
        <v>6423381.040000002</v>
      </c>
      <c r="BQ20" s="15">
        <v>0.06942755280336875</v>
      </c>
      <c r="BR20" s="11">
        <v>943</v>
      </c>
      <c r="BS20" s="15">
        <v>0.07468715349279265</v>
      </c>
      <c r="BT20" s="57"/>
      <c r="BU20" s="56"/>
      <c r="BV20" s="57"/>
      <c r="BW20" s="10">
        <v>6405302.079999997</v>
      </c>
      <c r="BX20" s="15">
        <v>0.07096137602372549</v>
      </c>
      <c r="BY20" s="11">
        <v>1021</v>
      </c>
      <c r="BZ20" s="15">
        <v>0.0832043028278054</v>
      </c>
      <c r="CA20" s="57"/>
      <c r="CB20" s="56"/>
      <c r="CC20" s="57"/>
      <c r="CD20" s="10">
        <v>6335152.960000004</v>
      </c>
      <c r="CE20" s="15">
        <v>0.07564161553570847</v>
      </c>
      <c r="CF20" s="11">
        <v>1036</v>
      </c>
      <c r="CG20" s="15">
        <v>0.08928725329656123</v>
      </c>
      <c r="CH20" s="57"/>
      <c r="CI20" s="56"/>
      <c r="CJ20" s="57"/>
      <c r="CK20" s="10">
        <v>6439621.900000003</v>
      </c>
      <c r="CL20" s="15">
        <v>0.08148284045961522</v>
      </c>
      <c r="CM20" s="11">
        <v>1015</v>
      </c>
      <c r="CN20" s="15">
        <v>0.09306803594351733</v>
      </c>
      <c r="CO20" s="57"/>
      <c r="CP20" s="56"/>
      <c r="CQ20" s="57"/>
    </row>
    <row r="21" spans="1:95" ht="12.75">
      <c r="A21" s="9" t="s">
        <v>26</v>
      </c>
      <c r="B21" s="9"/>
      <c r="C21" s="9"/>
      <c r="D21" s="10">
        <v>11452940.309999987</v>
      </c>
      <c r="E21" s="15">
        <v>0.0863182876706831</v>
      </c>
      <c r="F21" s="11">
        <v>2674</v>
      </c>
      <c r="G21" s="15">
        <v>0.12099000045246822</v>
      </c>
      <c r="H21" s="9"/>
      <c r="I21" s="9"/>
      <c r="J21" s="10">
        <v>11505376.629999995</v>
      </c>
      <c r="K21" s="15">
        <v>0.08936269820996853</v>
      </c>
      <c r="L21" s="11">
        <v>2005</v>
      </c>
      <c r="M21" s="15">
        <v>0.10725366427730823</v>
      </c>
      <c r="N21" s="57"/>
      <c r="O21" s="56"/>
      <c r="P21" s="57"/>
      <c r="Q21" s="9"/>
      <c r="R21" s="10">
        <v>11268803.679999974</v>
      </c>
      <c r="S21" s="15">
        <v>0.08997522090108162</v>
      </c>
      <c r="T21" s="11">
        <v>2010</v>
      </c>
      <c r="U21" s="15">
        <v>0.1113635104437919</v>
      </c>
      <c r="V21" s="57"/>
      <c r="W21" s="56"/>
      <c r="X21" s="57"/>
      <c r="Y21" s="9"/>
      <c r="Z21" s="10">
        <v>11022922.55000001</v>
      </c>
      <c r="AA21" s="15">
        <v>0.09025804896754534</v>
      </c>
      <c r="AB21" s="11">
        <v>1999</v>
      </c>
      <c r="AC21" s="15">
        <v>0.11472681359044995</v>
      </c>
      <c r="AD21" s="57"/>
      <c r="AE21" s="56"/>
      <c r="AF21" s="57"/>
      <c r="AG21" s="10">
        <v>10946032.340000005</v>
      </c>
      <c r="AH21" s="15">
        <v>0.09209584842950501</v>
      </c>
      <c r="AI21" s="11">
        <v>1961</v>
      </c>
      <c r="AJ21" s="15">
        <v>0.11639363722697056</v>
      </c>
      <c r="AK21" s="57"/>
      <c r="AL21" s="56"/>
      <c r="AM21" s="57"/>
      <c r="AN21" s="10">
        <v>10573424.940000007</v>
      </c>
      <c r="AO21" s="15">
        <v>0.09126027239458494</v>
      </c>
      <c r="AP21" s="11">
        <v>1872</v>
      </c>
      <c r="AQ21" s="15">
        <v>0.11532064313435594</v>
      </c>
      <c r="AR21" s="57"/>
      <c r="AS21" s="56"/>
      <c r="AT21" s="57"/>
      <c r="AU21" s="10">
        <v>9812529.589999998</v>
      </c>
      <c r="AV21" s="15">
        <v>0.08668519969710514</v>
      </c>
      <c r="AW21" s="11">
        <v>1829</v>
      </c>
      <c r="AX21" s="15">
        <v>0.11481481481481481</v>
      </c>
      <c r="AY21" s="57"/>
      <c r="AZ21" s="56"/>
      <c r="BA21" s="57"/>
      <c r="BB21" s="10">
        <v>7866963.03</v>
      </c>
      <c r="BC21" s="15">
        <v>0.07843793102092414</v>
      </c>
      <c r="BD21" s="11">
        <v>1517</v>
      </c>
      <c r="BE21" s="15">
        <v>0.10948325635103925</v>
      </c>
      <c r="BF21" s="57"/>
      <c r="BG21" s="56"/>
      <c r="BH21" s="57"/>
      <c r="BI21" s="10">
        <v>7877465.010000004</v>
      </c>
      <c r="BJ21" s="15">
        <v>0.08052006620699068</v>
      </c>
      <c r="BK21" s="11">
        <v>1442</v>
      </c>
      <c r="BL21" s="15">
        <v>0.10725974412377269</v>
      </c>
      <c r="BM21" s="57"/>
      <c r="BN21" s="56"/>
      <c r="BO21" s="57"/>
      <c r="BP21" s="10">
        <v>7658940.480000015</v>
      </c>
      <c r="BQ21" s="15">
        <v>0.08278218142155541</v>
      </c>
      <c r="BR21" s="11">
        <v>1445</v>
      </c>
      <c r="BS21" s="15">
        <v>0.11444638048471409</v>
      </c>
      <c r="BT21" s="57"/>
      <c r="BU21" s="56"/>
      <c r="BV21" s="57"/>
      <c r="BW21" s="10">
        <v>7647367.100000021</v>
      </c>
      <c r="BX21" s="15">
        <v>0.08472163929145538</v>
      </c>
      <c r="BY21" s="11">
        <v>1451</v>
      </c>
      <c r="BZ21" s="15">
        <v>0.11824627169749817</v>
      </c>
      <c r="CA21" s="57"/>
      <c r="CB21" s="56"/>
      <c r="CC21" s="57"/>
      <c r="CD21" s="10">
        <v>7373324.360000015</v>
      </c>
      <c r="CE21" s="15">
        <v>0.08803736389329335</v>
      </c>
      <c r="CF21" s="11">
        <v>1384</v>
      </c>
      <c r="CG21" s="15">
        <v>0.11927949668189261</v>
      </c>
      <c r="CH21" s="57"/>
      <c r="CI21" s="56"/>
      <c r="CJ21" s="57"/>
      <c r="CK21" s="10">
        <v>5896083.580000006</v>
      </c>
      <c r="CL21" s="15">
        <v>0.07460525557963227</v>
      </c>
      <c r="CM21" s="11">
        <v>1214</v>
      </c>
      <c r="CN21" s="15">
        <v>0.11131487254722171</v>
      </c>
      <c r="CO21" s="57"/>
      <c r="CP21" s="56"/>
      <c r="CQ21" s="57"/>
    </row>
    <row r="22" spans="1:95" ht="12.75">
      <c r="A22" s="9" t="s">
        <v>27</v>
      </c>
      <c r="B22" s="9"/>
      <c r="C22" s="9"/>
      <c r="D22" s="10">
        <v>12189488.529999997</v>
      </c>
      <c r="E22" s="15">
        <v>0.09186948931990312</v>
      </c>
      <c r="F22" s="11">
        <v>2382</v>
      </c>
      <c r="G22" s="15">
        <v>0.10777792860051581</v>
      </c>
      <c r="H22" s="9"/>
      <c r="I22" s="9"/>
      <c r="J22" s="10">
        <v>9437555.63</v>
      </c>
      <c r="K22" s="15">
        <v>0.07330185379628723</v>
      </c>
      <c r="L22" s="11">
        <v>1802</v>
      </c>
      <c r="M22" s="15">
        <v>0.09639456510110196</v>
      </c>
      <c r="N22" s="57"/>
      <c r="O22" s="56"/>
      <c r="P22" s="57"/>
      <c r="Q22" s="9"/>
      <c r="R22" s="10">
        <v>8789380.019999994</v>
      </c>
      <c r="S22" s="15">
        <v>0.07017838195962382</v>
      </c>
      <c r="T22" s="11">
        <v>1702</v>
      </c>
      <c r="U22" s="15">
        <v>0.09429885312205662</v>
      </c>
      <c r="V22" s="57"/>
      <c r="W22" s="56"/>
      <c r="X22" s="57"/>
      <c r="Y22" s="9"/>
      <c r="Z22" s="10">
        <v>7729938.350000003</v>
      </c>
      <c r="AA22" s="15">
        <v>0.06329438957279132</v>
      </c>
      <c r="AB22" s="11">
        <v>1571</v>
      </c>
      <c r="AC22" s="15">
        <v>0.09016299357208449</v>
      </c>
      <c r="AD22" s="57"/>
      <c r="AE22" s="56"/>
      <c r="AF22" s="57"/>
      <c r="AG22" s="10">
        <v>6998110.62</v>
      </c>
      <c r="AH22" s="15">
        <v>0.058879502173335346</v>
      </c>
      <c r="AI22" s="11">
        <v>1513</v>
      </c>
      <c r="AJ22" s="15">
        <v>0.08980294396961064</v>
      </c>
      <c r="AK22" s="57"/>
      <c r="AL22" s="56"/>
      <c r="AM22" s="57"/>
      <c r="AN22" s="10">
        <v>6683009.070000013</v>
      </c>
      <c r="AO22" s="15">
        <v>0.05768170972079389</v>
      </c>
      <c r="AP22" s="11">
        <v>1485</v>
      </c>
      <c r="AQ22" s="15">
        <v>0.09148031787100351</v>
      </c>
      <c r="AR22" s="57"/>
      <c r="AS22" s="56"/>
      <c r="AT22" s="57"/>
      <c r="AU22" s="10">
        <v>7188163.970000006</v>
      </c>
      <c r="AV22" s="15">
        <v>0.06350120256758245</v>
      </c>
      <c r="AW22" s="11">
        <v>1461</v>
      </c>
      <c r="AX22" s="15">
        <v>0.09171374764595104</v>
      </c>
      <c r="AY22" s="57"/>
      <c r="AZ22" s="56"/>
      <c r="BA22" s="57"/>
      <c r="BB22" s="10">
        <v>6496201.079999986</v>
      </c>
      <c r="BC22" s="15">
        <v>0.06477068346043718</v>
      </c>
      <c r="BD22" s="11">
        <v>1396</v>
      </c>
      <c r="BE22" s="15">
        <v>0.10075057736720554</v>
      </c>
      <c r="BF22" s="57"/>
      <c r="BG22" s="56"/>
      <c r="BH22" s="57"/>
      <c r="BI22" s="10">
        <v>7072385.560000011</v>
      </c>
      <c r="BJ22" s="15">
        <v>0.07229088962117337</v>
      </c>
      <c r="BK22" s="11">
        <v>1417</v>
      </c>
      <c r="BL22" s="15">
        <v>0.10540017851829812</v>
      </c>
      <c r="BM22" s="57"/>
      <c r="BN22" s="56"/>
      <c r="BO22" s="57"/>
      <c r="BP22" s="10">
        <v>6114134.940000013</v>
      </c>
      <c r="BQ22" s="15">
        <v>0.06608504520444464</v>
      </c>
      <c r="BR22" s="11">
        <v>1245</v>
      </c>
      <c r="BS22" s="15">
        <v>0.09860605100586092</v>
      </c>
      <c r="BT22" s="57"/>
      <c r="BU22" s="56"/>
      <c r="BV22" s="57"/>
      <c r="BW22" s="10">
        <v>5377154.5200000135</v>
      </c>
      <c r="BX22" s="15">
        <v>0.05957100524935683</v>
      </c>
      <c r="BY22" s="11">
        <v>1191</v>
      </c>
      <c r="BZ22" s="15">
        <v>0.097058104473963</v>
      </c>
      <c r="CA22" s="57"/>
      <c r="CB22" s="56"/>
      <c r="CC22" s="57"/>
      <c r="CD22" s="10">
        <v>4898373.270000009</v>
      </c>
      <c r="CE22" s="15">
        <v>0.05848649116748896</v>
      </c>
      <c r="CF22" s="11">
        <v>1185</v>
      </c>
      <c r="CG22" s="15">
        <v>0.1021287598034991</v>
      </c>
      <c r="CH22" s="57"/>
      <c r="CI22" s="56"/>
      <c r="CJ22" s="57"/>
      <c r="CK22" s="10">
        <v>5358439.680000009</v>
      </c>
      <c r="CL22" s="15">
        <v>0.06780225490535588</v>
      </c>
      <c r="CM22" s="11">
        <v>1199</v>
      </c>
      <c r="CN22" s="15">
        <v>0.10993948285347516</v>
      </c>
      <c r="CO22" s="57"/>
      <c r="CP22" s="56"/>
      <c r="CQ22" s="57"/>
    </row>
    <row r="23" spans="1:95" ht="12.75">
      <c r="A23" s="9" t="s">
        <v>28</v>
      </c>
      <c r="B23" s="9"/>
      <c r="C23" s="9"/>
      <c r="D23" s="10">
        <v>8611327.159999985</v>
      </c>
      <c r="E23" s="15">
        <v>0.06490167545658378</v>
      </c>
      <c r="F23" s="11">
        <v>1891</v>
      </c>
      <c r="G23" s="15">
        <v>0.08556173928781503</v>
      </c>
      <c r="H23" s="9"/>
      <c r="I23" s="9"/>
      <c r="J23" s="10">
        <v>9790902.490000002</v>
      </c>
      <c r="K23" s="15">
        <v>0.07604631230721388</v>
      </c>
      <c r="L23" s="11">
        <v>1847</v>
      </c>
      <c r="M23" s="15">
        <v>0.09880175457366</v>
      </c>
      <c r="N23" s="57"/>
      <c r="O23" s="56"/>
      <c r="P23" s="57"/>
      <c r="Q23" s="9"/>
      <c r="R23" s="10">
        <v>10076021.32000001</v>
      </c>
      <c r="S23" s="15">
        <v>0.0804515075260421</v>
      </c>
      <c r="T23" s="11">
        <v>1880</v>
      </c>
      <c r="U23" s="15">
        <v>0.10416089534046208</v>
      </c>
      <c r="V23" s="57"/>
      <c r="W23" s="56"/>
      <c r="X23" s="57"/>
      <c r="Y23" s="9"/>
      <c r="Z23" s="10">
        <v>12027295.710000023</v>
      </c>
      <c r="AA23" s="15">
        <v>0.09848207135777517</v>
      </c>
      <c r="AB23" s="11">
        <v>2038</v>
      </c>
      <c r="AC23" s="15">
        <v>0.11696510560146924</v>
      </c>
      <c r="AD23" s="57"/>
      <c r="AE23" s="56"/>
      <c r="AF23" s="57"/>
      <c r="AG23" s="10">
        <v>12294330.67999999</v>
      </c>
      <c r="AH23" s="15">
        <v>0.10343992961814068</v>
      </c>
      <c r="AI23" s="11">
        <v>2044</v>
      </c>
      <c r="AJ23" s="15">
        <v>0.12132003798670465</v>
      </c>
      <c r="AK23" s="57"/>
      <c r="AL23" s="56"/>
      <c r="AM23" s="57"/>
      <c r="AN23" s="10">
        <v>12671677.690000001</v>
      </c>
      <c r="AO23" s="15">
        <v>0.10937049860835198</v>
      </c>
      <c r="AP23" s="11">
        <v>2075</v>
      </c>
      <c r="AQ23" s="15">
        <v>0.12782603338877596</v>
      </c>
      <c r="AR23" s="57"/>
      <c r="AS23" s="56"/>
      <c r="AT23" s="57"/>
      <c r="AU23" s="10">
        <v>10035418.83</v>
      </c>
      <c r="AV23" s="15">
        <v>0.08865423307453582</v>
      </c>
      <c r="AW23" s="11">
        <v>1805</v>
      </c>
      <c r="AX23" s="15">
        <v>0.113308223477715</v>
      </c>
      <c r="AY23" s="57"/>
      <c r="AZ23" s="56"/>
      <c r="BA23" s="57"/>
      <c r="BB23" s="10">
        <v>11803286.08000002</v>
      </c>
      <c r="BC23" s="15">
        <v>0.1176852281919616</v>
      </c>
      <c r="BD23" s="11">
        <v>1941</v>
      </c>
      <c r="BE23" s="15">
        <v>0.1400837182448037</v>
      </c>
      <c r="BF23" s="57"/>
      <c r="BG23" s="56"/>
      <c r="BH23" s="57"/>
      <c r="BI23" s="10">
        <v>6558704.940000012</v>
      </c>
      <c r="BJ23" s="15">
        <v>0.06704026680290104</v>
      </c>
      <c r="BK23" s="11">
        <v>1385</v>
      </c>
      <c r="BL23" s="15">
        <v>0.10301993454329068</v>
      </c>
      <c r="BM23" s="57"/>
      <c r="BN23" s="56"/>
      <c r="BO23" s="57"/>
      <c r="BP23" s="10">
        <v>6829779.540000004</v>
      </c>
      <c r="BQ23" s="15">
        <v>0.0738201387549504</v>
      </c>
      <c r="BR23" s="11">
        <v>1414</v>
      </c>
      <c r="BS23" s="15">
        <v>0.11199112941549184</v>
      </c>
      <c r="BT23" s="57"/>
      <c r="BU23" s="56"/>
      <c r="BV23" s="57"/>
      <c r="BW23" s="10">
        <v>8201790.250000004</v>
      </c>
      <c r="BX23" s="15">
        <v>0.09086383666669721</v>
      </c>
      <c r="BY23" s="11">
        <v>1509</v>
      </c>
      <c r="BZ23" s="15">
        <v>0.12297286284736371</v>
      </c>
      <c r="CA23" s="57"/>
      <c r="CB23" s="56"/>
      <c r="CC23" s="57"/>
      <c r="CD23" s="10">
        <v>9204134.520000001</v>
      </c>
      <c r="CE23" s="15">
        <v>0.10989720518141717</v>
      </c>
      <c r="CF23" s="11">
        <v>1614</v>
      </c>
      <c r="CG23" s="15">
        <v>0.13910195639058864</v>
      </c>
      <c r="CH23" s="57"/>
      <c r="CI23" s="56"/>
      <c r="CJ23" s="57"/>
      <c r="CK23" s="10">
        <v>9880953.640000025</v>
      </c>
      <c r="CL23" s="15">
        <v>0.12502724252133124</v>
      </c>
      <c r="CM23" s="11">
        <v>1694</v>
      </c>
      <c r="CN23" s="15">
        <v>0.15532734274711169</v>
      </c>
      <c r="CO23" s="57"/>
      <c r="CP23" s="56"/>
      <c r="CQ23" s="57"/>
    </row>
    <row r="24" spans="1:95" ht="12.75">
      <c r="A24" s="9" t="s">
        <v>81</v>
      </c>
      <c r="B24" s="9"/>
      <c r="C24" s="9"/>
      <c r="D24" s="10">
        <v>15897797.649999967</v>
      </c>
      <c r="E24" s="15">
        <v>0.11981819809929738</v>
      </c>
      <c r="F24" s="11">
        <v>2506</v>
      </c>
      <c r="G24" s="15">
        <v>0.1133885344554545</v>
      </c>
      <c r="H24" s="9"/>
      <c r="I24" s="9"/>
      <c r="J24" s="10">
        <v>17262112.280000012</v>
      </c>
      <c r="K24" s="15">
        <v>0.1340754831199501</v>
      </c>
      <c r="L24" s="11">
        <v>2610</v>
      </c>
      <c r="M24" s="15">
        <v>0.1396169894083663</v>
      </c>
      <c r="N24" s="57"/>
      <c r="O24" s="56"/>
      <c r="P24" s="57"/>
      <c r="Q24" s="9"/>
      <c r="R24" s="10">
        <v>14742726.13000001</v>
      </c>
      <c r="S24" s="15">
        <v>0.11771258759127678</v>
      </c>
      <c r="T24" s="11">
        <v>2226</v>
      </c>
      <c r="U24" s="15">
        <v>0.12333093246163222</v>
      </c>
      <c r="V24" s="57"/>
      <c r="W24" s="56"/>
      <c r="X24" s="57"/>
      <c r="Y24" s="9"/>
      <c r="Z24" s="10">
        <v>9997001.389999995</v>
      </c>
      <c r="AA24" s="15">
        <v>0.08185758694160811</v>
      </c>
      <c r="AB24" s="11">
        <v>1550</v>
      </c>
      <c r="AC24" s="15">
        <v>0.08895775941230487</v>
      </c>
      <c r="AD24" s="57"/>
      <c r="AE24" s="56"/>
      <c r="AF24" s="57"/>
      <c r="AG24" s="10">
        <v>8293898.830000005</v>
      </c>
      <c r="AH24" s="15">
        <v>0.06978178264155659</v>
      </c>
      <c r="AI24" s="11">
        <v>1306</v>
      </c>
      <c r="AJ24" s="15">
        <v>0.07751661918328585</v>
      </c>
      <c r="AK24" s="57"/>
      <c r="AL24" s="56"/>
      <c r="AM24" s="57"/>
      <c r="AN24" s="10">
        <v>6411405.3000000045</v>
      </c>
      <c r="AO24" s="15">
        <v>0.05533747082239991</v>
      </c>
      <c r="AP24" s="11">
        <v>1035</v>
      </c>
      <c r="AQ24" s="15">
        <v>0.06375900942524487</v>
      </c>
      <c r="AR24" s="57"/>
      <c r="AS24" s="56"/>
      <c r="AT24" s="57"/>
      <c r="AU24" s="10">
        <v>9960978.640000006</v>
      </c>
      <c r="AV24" s="15">
        <v>0.08799661847307606</v>
      </c>
      <c r="AW24" s="11">
        <v>1749</v>
      </c>
      <c r="AX24" s="15">
        <v>0.10979284369114878</v>
      </c>
      <c r="AY24" s="57"/>
      <c r="AZ24" s="56"/>
      <c r="BA24" s="57"/>
      <c r="BB24" s="10">
        <v>2780465.13</v>
      </c>
      <c r="BC24" s="15">
        <v>0.027722760516522317</v>
      </c>
      <c r="BD24" s="11">
        <v>471</v>
      </c>
      <c r="BE24" s="15">
        <v>0.03399249422632795</v>
      </c>
      <c r="BF24" s="57"/>
      <c r="BG24" s="56"/>
      <c r="BH24" s="57"/>
      <c r="BI24" s="10">
        <v>11936970.25000002</v>
      </c>
      <c r="BJ24" s="15">
        <v>0.12201458637020074</v>
      </c>
      <c r="BK24" s="11">
        <v>1960</v>
      </c>
      <c r="BL24" s="15">
        <v>0.1457899434692056</v>
      </c>
      <c r="BM24" s="57"/>
      <c r="BN24" s="56"/>
      <c r="BO24" s="57"/>
      <c r="BP24" s="10">
        <v>10221581.660000019</v>
      </c>
      <c r="BQ24" s="15">
        <v>0.11048066369009873</v>
      </c>
      <c r="BR24" s="11">
        <v>1641</v>
      </c>
      <c r="BS24" s="15">
        <v>0.12996990337399017</v>
      </c>
      <c r="BT24" s="57"/>
      <c r="BU24" s="56"/>
      <c r="BV24" s="57"/>
      <c r="BW24" s="10">
        <v>6972791.760000006</v>
      </c>
      <c r="BX24" s="15">
        <v>0.07724833143490015</v>
      </c>
      <c r="BY24" s="11">
        <v>1156</v>
      </c>
      <c r="BZ24" s="15">
        <v>0.09420585119387173</v>
      </c>
      <c r="CA24" s="57"/>
      <c r="CB24" s="56"/>
      <c r="CC24" s="57"/>
      <c r="CD24" s="10">
        <v>3865337.48</v>
      </c>
      <c r="CE24" s="15">
        <v>0.04615206190347835</v>
      </c>
      <c r="CF24" s="11">
        <v>661</v>
      </c>
      <c r="CG24" s="15">
        <v>0.0569680255106438</v>
      </c>
      <c r="CH24" s="57"/>
      <c r="CI24" s="56"/>
      <c r="CJ24" s="57"/>
      <c r="CK24" s="10">
        <v>1242443.24</v>
      </c>
      <c r="CL24" s="15">
        <v>0.01572107895108677</v>
      </c>
      <c r="CM24" s="11">
        <v>251</v>
      </c>
      <c r="CN24" s="15">
        <v>0.023014854208692464</v>
      </c>
      <c r="CO24" s="57"/>
      <c r="CP24" s="56"/>
      <c r="CQ24" s="57"/>
    </row>
    <row r="25" spans="1:95" ht="12.75">
      <c r="A25" s="9" t="s">
        <v>82</v>
      </c>
      <c r="B25" s="9"/>
      <c r="C25" s="9"/>
      <c r="D25" s="10">
        <v>6286570.770000001</v>
      </c>
      <c r="E25" s="15">
        <v>0.04738049876267699</v>
      </c>
      <c r="F25" s="11">
        <v>997</v>
      </c>
      <c r="G25" s="15">
        <v>0.045111080946563506</v>
      </c>
      <c r="H25" s="9"/>
      <c r="I25" s="9"/>
      <c r="J25" s="10">
        <v>1045075.23</v>
      </c>
      <c r="K25" s="15">
        <v>0.008117139089709525</v>
      </c>
      <c r="L25" s="11">
        <v>255</v>
      </c>
      <c r="M25" s="15">
        <v>0.01364074034449556</v>
      </c>
      <c r="N25" s="57"/>
      <c r="O25" s="56"/>
      <c r="P25" s="57"/>
      <c r="Q25" s="9"/>
      <c r="R25" s="10">
        <v>955633.7499999993</v>
      </c>
      <c r="S25" s="15">
        <v>0.0076302117064461225</v>
      </c>
      <c r="T25" s="11">
        <v>232</v>
      </c>
      <c r="U25" s="15">
        <v>0.012853897722865533</v>
      </c>
      <c r="V25" s="57"/>
      <c r="W25" s="56"/>
      <c r="X25" s="57"/>
      <c r="Y25" s="9"/>
      <c r="Z25" s="10">
        <v>973836.99</v>
      </c>
      <c r="AA25" s="15">
        <v>0.007973985694912361</v>
      </c>
      <c r="AB25" s="11">
        <v>228</v>
      </c>
      <c r="AC25" s="15">
        <v>0.013085399449035813</v>
      </c>
      <c r="AD25" s="57"/>
      <c r="AE25" s="56"/>
      <c r="AF25" s="57"/>
      <c r="AG25" s="10">
        <v>984482.81</v>
      </c>
      <c r="AH25" s="15">
        <v>0.008283072517508486</v>
      </c>
      <c r="AI25" s="11">
        <v>229</v>
      </c>
      <c r="AJ25" s="15">
        <v>0.013592117758784425</v>
      </c>
      <c r="AK25" s="57"/>
      <c r="AL25" s="56"/>
      <c r="AM25" s="57"/>
      <c r="AN25" s="10">
        <v>987050.5</v>
      </c>
      <c r="AO25" s="15">
        <v>0.008519330113787256</v>
      </c>
      <c r="AP25" s="11">
        <v>229</v>
      </c>
      <c r="AQ25" s="15">
        <v>0.014107065853508285</v>
      </c>
      <c r="AR25" s="57"/>
      <c r="AS25" s="56"/>
      <c r="AT25" s="57"/>
      <c r="AU25" s="10">
        <v>948348.76</v>
      </c>
      <c r="AV25" s="15">
        <v>0.008377839871879768</v>
      </c>
      <c r="AW25" s="11">
        <v>223</v>
      </c>
      <c r="AX25" s="15">
        <v>0.013998744507219083</v>
      </c>
      <c r="AY25" s="57"/>
      <c r="AZ25" s="56"/>
      <c r="BA25" s="57"/>
      <c r="BB25" s="10">
        <v>934137.0799999994</v>
      </c>
      <c r="BC25" s="15">
        <v>0.009313858418516991</v>
      </c>
      <c r="BD25" s="11">
        <v>203</v>
      </c>
      <c r="BE25" s="15">
        <v>0.014650692840646651</v>
      </c>
      <c r="BF25" s="57"/>
      <c r="BG25" s="56"/>
      <c r="BH25" s="57"/>
      <c r="BI25" s="10">
        <v>1483831.19</v>
      </c>
      <c r="BJ25" s="15">
        <v>0.015167085541748119</v>
      </c>
      <c r="BK25" s="11">
        <v>293</v>
      </c>
      <c r="BL25" s="15">
        <v>0.021794108896161856</v>
      </c>
      <c r="BM25" s="57"/>
      <c r="BN25" s="56"/>
      <c r="BO25" s="57"/>
      <c r="BP25" s="10">
        <v>751491.81</v>
      </c>
      <c r="BQ25" s="15">
        <v>0.008122550568800464</v>
      </c>
      <c r="BR25" s="11">
        <v>180</v>
      </c>
      <c r="BS25" s="15">
        <v>0.014256296530967844</v>
      </c>
      <c r="BT25" s="57"/>
      <c r="BU25" s="56"/>
      <c r="BV25" s="57"/>
      <c r="BW25" s="10">
        <v>789440.46</v>
      </c>
      <c r="BX25" s="15">
        <v>0.008745845337305755</v>
      </c>
      <c r="BY25" s="11">
        <v>180</v>
      </c>
      <c r="BZ25" s="15">
        <v>0.014668731154755114</v>
      </c>
      <c r="CA25" s="57"/>
      <c r="CB25" s="56"/>
      <c r="CC25" s="57"/>
      <c r="CD25" s="10">
        <v>796753.26</v>
      </c>
      <c r="CE25" s="15">
        <v>0.009513219988573464</v>
      </c>
      <c r="CF25" s="11">
        <v>175</v>
      </c>
      <c r="CG25" s="15">
        <v>0.015082306300094803</v>
      </c>
      <c r="CH25" s="57"/>
      <c r="CI25" s="56"/>
      <c r="CJ25" s="57"/>
      <c r="CK25" s="10">
        <v>713590.5</v>
      </c>
      <c r="CL25" s="15">
        <v>0.009029315970398362</v>
      </c>
      <c r="CM25" s="11">
        <v>156</v>
      </c>
      <c r="CN25" s="15">
        <v>0.01430405281496424</v>
      </c>
      <c r="CO25" s="57"/>
      <c r="CP25" s="56"/>
      <c r="CQ25" s="57"/>
    </row>
    <row r="26" spans="1:95" ht="12.75">
      <c r="A26" s="9" t="s">
        <v>83</v>
      </c>
      <c r="B26" s="9"/>
      <c r="C26" s="9"/>
      <c r="D26" s="10">
        <v>1058427.7</v>
      </c>
      <c r="E26" s="15">
        <v>0.007977136369727529</v>
      </c>
      <c r="F26" s="11">
        <v>255</v>
      </c>
      <c r="G26" s="15">
        <v>0.011537939459752952</v>
      </c>
      <c r="H26" s="9"/>
      <c r="I26" s="9"/>
      <c r="J26" s="10">
        <v>1048243.96</v>
      </c>
      <c r="K26" s="15">
        <v>0.008141750736229691</v>
      </c>
      <c r="L26" s="11">
        <v>229</v>
      </c>
      <c r="M26" s="15">
        <v>0.012249919760350914</v>
      </c>
      <c r="N26" s="57"/>
      <c r="O26" s="56"/>
      <c r="P26" s="57"/>
      <c r="Q26" s="9"/>
      <c r="R26" s="10">
        <v>1027354.47</v>
      </c>
      <c r="S26" s="15">
        <v>0.00820286234518586</v>
      </c>
      <c r="T26" s="11">
        <v>210</v>
      </c>
      <c r="U26" s="15">
        <v>0.01163499362845587</v>
      </c>
      <c r="V26" s="57"/>
      <c r="W26" s="56"/>
      <c r="X26" s="57"/>
      <c r="Y26" s="9"/>
      <c r="Z26" s="10">
        <v>922183.63</v>
      </c>
      <c r="AA26" s="15">
        <v>0.007551036928369658</v>
      </c>
      <c r="AB26" s="11">
        <v>185</v>
      </c>
      <c r="AC26" s="15">
        <v>0.010617539026629935</v>
      </c>
      <c r="AD26" s="57"/>
      <c r="AE26" s="56"/>
      <c r="AF26" s="57"/>
      <c r="AG26" s="10">
        <v>928824.22</v>
      </c>
      <c r="AH26" s="15">
        <v>0.007814781824660052</v>
      </c>
      <c r="AI26" s="11">
        <v>180</v>
      </c>
      <c r="AJ26" s="15">
        <v>0.010683760683760684</v>
      </c>
      <c r="AK26" s="57"/>
      <c r="AL26" s="56"/>
      <c r="AM26" s="57"/>
      <c r="AN26" s="10">
        <v>850156.42</v>
      </c>
      <c r="AO26" s="15">
        <v>0.007337783821937749</v>
      </c>
      <c r="AP26" s="11">
        <v>169</v>
      </c>
      <c r="AQ26" s="15">
        <v>0.0104108913940738</v>
      </c>
      <c r="AR26" s="57"/>
      <c r="AS26" s="56"/>
      <c r="AT26" s="57"/>
      <c r="AU26" s="10">
        <v>928437.59</v>
      </c>
      <c r="AV26" s="15">
        <v>0.008201941931208896</v>
      </c>
      <c r="AW26" s="11">
        <v>191</v>
      </c>
      <c r="AX26" s="15">
        <v>0.011989956057752668</v>
      </c>
      <c r="AY26" s="57"/>
      <c r="AZ26" s="56"/>
      <c r="BA26" s="57"/>
      <c r="BB26" s="10">
        <v>783659.15</v>
      </c>
      <c r="BC26" s="15">
        <v>0.007813511022895457</v>
      </c>
      <c r="BD26" s="11">
        <v>148</v>
      </c>
      <c r="BE26" s="15">
        <v>0.010681293302540416</v>
      </c>
      <c r="BF26" s="57"/>
      <c r="BG26" s="56"/>
      <c r="BH26" s="57"/>
      <c r="BI26" s="10">
        <v>897214.27</v>
      </c>
      <c r="BJ26" s="15">
        <v>0.009170939170221307</v>
      </c>
      <c r="BK26" s="11">
        <v>195</v>
      </c>
      <c r="BL26" s="15">
        <v>0.014504611722701576</v>
      </c>
      <c r="BM26" s="57"/>
      <c r="BN26" s="56"/>
      <c r="BO26" s="57"/>
      <c r="BP26" s="10">
        <v>797731.74</v>
      </c>
      <c r="BQ26" s="15">
        <v>0.008622338011224882</v>
      </c>
      <c r="BR26" s="11">
        <v>162</v>
      </c>
      <c r="BS26" s="15">
        <v>0.01283066687787106</v>
      </c>
      <c r="BT26" s="57"/>
      <c r="BU26" s="56"/>
      <c r="BV26" s="57"/>
      <c r="BW26" s="10">
        <v>696107.74</v>
      </c>
      <c r="BX26" s="15">
        <v>0.0077118553464328955</v>
      </c>
      <c r="BY26" s="11">
        <v>141</v>
      </c>
      <c r="BZ26" s="15">
        <v>0.01149050607122484</v>
      </c>
      <c r="CA26" s="57"/>
      <c r="CB26" s="56"/>
      <c r="CC26" s="57"/>
      <c r="CD26" s="10">
        <v>686435.74</v>
      </c>
      <c r="CE26" s="15">
        <v>0.008196030729311628</v>
      </c>
      <c r="CF26" s="11">
        <v>135</v>
      </c>
      <c r="CG26" s="15">
        <v>0.011634922002930276</v>
      </c>
      <c r="CH26" s="57"/>
      <c r="CI26" s="56"/>
      <c r="CJ26" s="57"/>
      <c r="CK26" s="10">
        <v>685092.78</v>
      </c>
      <c r="CL26" s="15">
        <v>0.008668724120708739</v>
      </c>
      <c r="CM26" s="11">
        <v>125</v>
      </c>
      <c r="CN26" s="15">
        <v>0.011461580781221345</v>
      </c>
      <c r="CO26" s="57"/>
      <c r="CP26" s="56"/>
      <c r="CQ26" s="57"/>
    </row>
    <row r="27" spans="1:95" ht="12.75">
      <c r="A27" s="9" t="s">
        <v>84</v>
      </c>
      <c r="B27" s="9"/>
      <c r="C27" s="9"/>
      <c r="D27" s="10">
        <v>949642.75</v>
      </c>
      <c r="E27" s="15">
        <v>0.007157248170350298</v>
      </c>
      <c r="F27" s="11">
        <v>183</v>
      </c>
      <c r="G27" s="15">
        <v>0.008280168318175648</v>
      </c>
      <c r="H27" s="9"/>
      <c r="I27" s="9"/>
      <c r="J27" s="10">
        <v>922094.76</v>
      </c>
      <c r="K27" s="15">
        <v>0.007161945098260849</v>
      </c>
      <c r="L27" s="11">
        <v>163</v>
      </c>
      <c r="M27" s="15">
        <v>0.008719375200599122</v>
      </c>
      <c r="N27" s="57"/>
      <c r="O27" s="56"/>
      <c r="P27" s="57"/>
      <c r="Q27" s="9"/>
      <c r="R27" s="10">
        <v>855544.05</v>
      </c>
      <c r="S27" s="15">
        <v>0.006831050311576304</v>
      </c>
      <c r="T27" s="11">
        <v>157</v>
      </c>
      <c r="U27" s="15">
        <v>0.008698542855559864</v>
      </c>
      <c r="V27" s="57"/>
      <c r="W27" s="56"/>
      <c r="X27" s="57"/>
      <c r="Y27" s="9"/>
      <c r="Z27" s="10">
        <v>847770.77</v>
      </c>
      <c r="AA27" s="15">
        <v>0.006941728504834096</v>
      </c>
      <c r="AB27" s="11">
        <v>145</v>
      </c>
      <c r="AC27" s="15">
        <v>0.008321854912764003</v>
      </c>
      <c r="AD27" s="57"/>
      <c r="AE27" s="56"/>
      <c r="AF27" s="57"/>
      <c r="AG27" s="10">
        <v>816963.26</v>
      </c>
      <c r="AH27" s="15">
        <v>0.006873625276118473</v>
      </c>
      <c r="AI27" s="11">
        <v>137</v>
      </c>
      <c r="AJ27" s="15">
        <v>0.008131528964862298</v>
      </c>
      <c r="AK27" s="57"/>
      <c r="AL27" s="56"/>
      <c r="AM27" s="57"/>
      <c r="AN27" s="10">
        <v>822096.98</v>
      </c>
      <c r="AO27" s="15">
        <v>0.007095600030765961</v>
      </c>
      <c r="AP27" s="11">
        <v>132</v>
      </c>
      <c r="AQ27" s="15">
        <v>0.008131583810755868</v>
      </c>
      <c r="AR27" s="57"/>
      <c r="AS27" s="56"/>
      <c r="AT27" s="57"/>
      <c r="AU27" s="10">
        <v>763536.56</v>
      </c>
      <c r="AV27" s="15">
        <v>0.00674518416200167</v>
      </c>
      <c r="AW27" s="11">
        <v>142</v>
      </c>
      <c r="AX27" s="15">
        <v>0.008913998744507219</v>
      </c>
      <c r="AY27" s="57"/>
      <c r="AZ27" s="56"/>
      <c r="BA27" s="57"/>
      <c r="BB27" s="10">
        <v>17541907.590000037</v>
      </c>
      <c r="BC27" s="15">
        <v>0.17490242832879418</v>
      </c>
      <c r="BD27" s="11">
        <v>2672</v>
      </c>
      <c r="BE27" s="15">
        <v>0.1928406466512702</v>
      </c>
      <c r="BF27" s="57"/>
      <c r="BG27" s="56"/>
      <c r="BH27" s="57"/>
      <c r="BI27" s="10">
        <v>808013.15</v>
      </c>
      <c r="BJ27" s="15">
        <v>0.008259163608029666</v>
      </c>
      <c r="BK27" s="11">
        <v>144</v>
      </c>
      <c r="BL27" s="15">
        <v>0.010711097887533471</v>
      </c>
      <c r="BM27" s="57"/>
      <c r="BN27" s="56"/>
      <c r="BO27" s="57"/>
      <c r="BP27" s="10">
        <v>701471.92</v>
      </c>
      <c r="BQ27" s="15">
        <v>0.007581907170476755</v>
      </c>
      <c r="BR27" s="11">
        <v>125</v>
      </c>
      <c r="BS27" s="15">
        <v>0.009900205924283225</v>
      </c>
      <c r="BT27" s="57"/>
      <c r="BU27" s="56"/>
      <c r="BV27" s="57"/>
      <c r="BW27" s="10">
        <v>686410.65</v>
      </c>
      <c r="BX27" s="15">
        <v>0.007604425776175076</v>
      </c>
      <c r="BY27" s="11">
        <v>117</v>
      </c>
      <c r="BZ27" s="15">
        <v>0.009534675250590824</v>
      </c>
      <c r="CA27" s="57"/>
      <c r="CB27" s="56"/>
      <c r="CC27" s="57"/>
      <c r="CD27" s="10">
        <v>15106514.09999999</v>
      </c>
      <c r="CE27" s="15">
        <v>0.1803715141294643</v>
      </c>
      <c r="CF27" s="11">
        <v>2325</v>
      </c>
      <c r="CG27" s="15">
        <v>0.2003792122726881</v>
      </c>
      <c r="CH27" s="57"/>
      <c r="CI27" s="56"/>
      <c r="CJ27" s="57"/>
      <c r="CK27" s="10">
        <v>13929277.38999998</v>
      </c>
      <c r="CL27" s="15">
        <v>0.17625213171088405</v>
      </c>
      <c r="CM27" s="11">
        <v>2134</v>
      </c>
      <c r="CN27" s="15">
        <v>0.19567210709701083</v>
      </c>
      <c r="CO27" s="57"/>
      <c r="CP27" s="56"/>
      <c r="CQ27" s="57"/>
    </row>
    <row r="28" spans="1:95" ht="12.75">
      <c r="A28" s="9" t="s">
        <v>85</v>
      </c>
      <c r="B28" s="9"/>
      <c r="C28" s="9"/>
      <c r="D28" s="10">
        <v>20970321.17000005</v>
      </c>
      <c r="E28" s="15">
        <v>0.15804869023181717</v>
      </c>
      <c r="F28" s="11">
        <v>3289</v>
      </c>
      <c r="G28" s="15">
        <v>0.1488167956201077</v>
      </c>
      <c r="H28" s="9"/>
      <c r="I28" s="9"/>
      <c r="J28" s="10">
        <v>20559436.849999998</v>
      </c>
      <c r="K28" s="15">
        <v>0.15968592855994637</v>
      </c>
      <c r="L28" s="11">
        <v>3213</v>
      </c>
      <c r="M28" s="15">
        <v>0.17187332834064406</v>
      </c>
      <c r="N28" s="57"/>
      <c r="O28" s="56"/>
      <c r="P28" s="57"/>
      <c r="Q28" s="9"/>
      <c r="R28" s="10">
        <v>20282014.589999992</v>
      </c>
      <c r="S28" s="15">
        <v>0.1619407698346036</v>
      </c>
      <c r="T28" s="11">
        <v>3174</v>
      </c>
      <c r="U28" s="15">
        <v>0.17585461798437588</v>
      </c>
      <c r="V28" s="57"/>
      <c r="W28" s="56"/>
      <c r="X28" s="57"/>
      <c r="Y28" s="9"/>
      <c r="Z28" s="10">
        <v>19978736.379999984</v>
      </c>
      <c r="AA28" s="15">
        <v>0.1635901693326981</v>
      </c>
      <c r="AB28" s="11">
        <v>3119</v>
      </c>
      <c r="AC28" s="15">
        <v>0.17900596877869604</v>
      </c>
      <c r="AD28" s="57"/>
      <c r="AE28" s="56"/>
      <c r="AF28" s="57"/>
      <c r="AG28" s="10">
        <v>19650832.759999968</v>
      </c>
      <c r="AH28" s="15">
        <v>0.16533480435327377</v>
      </c>
      <c r="AI28" s="11">
        <v>3067</v>
      </c>
      <c r="AJ28" s="15">
        <v>0.18203941120607786</v>
      </c>
      <c r="AK28" s="57"/>
      <c r="AL28" s="56"/>
      <c r="AM28" s="57"/>
      <c r="AN28" s="10">
        <v>19411297.32</v>
      </c>
      <c r="AO28" s="15">
        <v>0.16754081965001166</v>
      </c>
      <c r="AP28" s="11">
        <v>3030</v>
      </c>
      <c r="AQ28" s="15">
        <v>0.1866568102014415</v>
      </c>
      <c r="AR28" s="57"/>
      <c r="AS28" s="56"/>
      <c r="AT28" s="57"/>
      <c r="AU28" s="10">
        <v>19393125.020000003</v>
      </c>
      <c r="AV28" s="15">
        <v>0.17132146198293674</v>
      </c>
      <c r="AW28" s="11">
        <v>3029</v>
      </c>
      <c r="AX28" s="15">
        <v>0.1901443816698054</v>
      </c>
      <c r="AY28" s="57"/>
      <c r="AZ28" s="56"/>
      <c r="BA28" s="57"/>
      <c r="BB28" s="10">
        <v>183261.42</v>
      </c>
      <c r="BC28" s="15">
        <v>0.001827216750090232</v>
      </c>
      <c r="BD28" s="11">
        <v>14</v>
      </c>
      <c r="BE28" s="15">
        <v>0.0010103926096997691</v>
      </c>
      <c r="BF28" s="57"/>
      <c r="BG28" s="56"/>
      <c r="BH28" s="57"/>
      <c r="BI28" s="10">
        <v>17241787.129999984</v>
      </c>
      <c r="BJ28" s="15">
        <v>0.17623814761119933</v>
      </c>
      <c r="BK28" s="11">
        <v>2633</v>
      </c>
      <c r="BL28" s="15">
        <v>0.19584944956858077</v>
      </c>
      <c r="BM28" s="57"/>
      <c r="BN28" s="56"/>
      <c r="BO28" s="57"/>
      <c r="BP28" s="10">
        <v>16050046.249999985</v>
      </c>
      <c r="BQ28" s="15">
        <v>0.17347802140014165</v>
      </c>
      <c r="BR28" s="11">
        <v>2445</v>
      </c>
      <c r="BS28" s="15">
        <v>0.1936480278789799</v>
      </c>
      <c r="BT28" s="57"/>
      <c r="BU28" s="56"/>
      <c r="BV28" s="57"/>
      <c r="BW28" s="10">
        <v>15619315.369999979</v>
      </c>
      <c r="BX28" s="15">
        <v>0.17303916308092746</v>
      </c>
      <c r="BY28" s="11">
        <v>2383</v>
      </c>
      <c r="BZ28" s="15">
        <v>0.19419770189878577</v>
      </c>
      <c r="CA28" s="57"/>
      <c r="CB28" s="56"/>
      <c r="CC28" s="57"/>
      <c r="CD28" s="10">
        <v>114305.37</v>
      </c>
      <c r="CE28" s="15">
        <v>0.001364804118511276</v>
      </c>
      <c r="CF28" s="11">
        <v>9</v>
      </c>
      <c r="CG28" s="15">
        <v>0.0007756614668620184</v>
      </c>
      <c r="CH28" s="57"/>
      <c r="CI28" s="56"/>
      <c r="CJ28" s="57"/>
      <c r="CK28" s="10">
        <v>167535.39</v>
      </c>
      <c r="CL28" s="15">
        <v>0.0021198852458572774</v>
      </c>
      <c r="CM28" s="11">
        <v>13</v>
      </c>
      <c r="CN28" s="15">
        <v>0.00119200440124702</v>
      </c>
      <c r="CO28" s="57"/>
      <c r="CP28" s="56"/>
      <c r="CQ28" s="57"/>
    </row>
    <row r="29" spans="1:95" ht="12.75">
      <c r="A29" s="9" t="s">
        <v>6</v>
      </c>
      <c r="B29" s="9"/>
      <c r="C29" s="9"/>
      <c r="D29" s="10">
        <v>1905691.26</v>
      </c>
      <c r="E29" s="15">
        <v>0.014362775142428617</v>
      </c>
      <c r="F29" s="11">
        <v>126</v>
      </c>
      <c r="G29" s="15">
        <v>0.005701099497760282</v>
      </c>
      <c r="H29" s="9"/>
      <c r="I29" s="9"/>
      <c r="J29" s="10">
        <v>1936002.08</v>
      </c>
      <c r="K29" s="15">
        <v>0.015037001844668114</v>
      </c>
      <c r="L29" s="11">
        <v>127</v>
      </c>
      <c r="M29" s="15">
        <v>0.00679362362255269</v>
      </c>
      <c r="N29" s="57"/>
      <c r="O29" s="56"/>
      <c r="P29" s="57"/>
      <c r="Q29" s="9"/>
      <c r="R29" s="10">
        <v>2002762.35</v>
      </c>
      <c r="S29" s="15">
        <v>0.015990959641389347</v>
      </c>
      <c r="T29" s="11">
        <v>130</v>
      </c>
      <c r="U29" s="15">
        <v>0.007202615103329825</v>
      </c>
      <c r="V29" s="57"/>
      <c r="W29" s="56"/>
      <c r="X29" s="57"/>
      <c r="Y29" s="9"/>
      <c r="Z29" s="10">
        <v>1964642.6</v>
      </c>
      <c r="AA29" s="15">
        <v>0.016086914082012252</v>
      </c>
      <c r="AB29" s="11">
        <v>127</v>
      </c>
      <c r="AC29" s="15">
        <v>0.007288797061524334</v>
      </c>
      <c r="AD29" s="57"/>
      <c r="AE29" s="56"/>
      <c r="AF29" s="57"/>
      <c r="AG29" s="10">
        <v>1948770.37</v>
      </c>
      <c r="AH29" s="15">
        <v>0.016396229706318436</v>
      </c>
      <c r="AI29" s="11">
        <v>128</v>
      </c>
      <c r="AJ29" s="15">
        <v>0.007597340930674264</v>
      </c>
      <c r="AK29" s="57"/>
      <c r="AL29" s="56"/>
      <c r="AM29" s="57"/>
      <c r="AN29" s="10">
        <v>1058037.12</v>
      </c>
      <c r="AO29" s="15">
        <v>0.009132022624901905</v>
      </c>
      <c r="AP29" s="11">
        <v>75</v>
      </c>
      <c r="AQ29" s="15">
        <v>0.004620218074293107</v>
      </c>
      <c r="AR29" s="57"/>
      <c r="AS29" s="56"/>
      <c r="AT29" s="57"/>
      <c r="AU29" s="10">
        <v>954159.33</v>
      </c>
      <c r="AV29" s="15">
        <v>0.008429171224940586</v>
      </c>
      <c r="AW29" s="11">
        <v>69</v>
      </c>
      <c r="AX29" s="15">
        <v>0.004331450094161958</v>
      </c>
      <c r="AY29" s="57"/>
      <c r="AZ29" s="56"/>
      <c r="BA29" s="57"/>
      <c r="BB29" s="10">
        <v>998963.82</v>
      </c>
      <c r="BC29" s="15">
        <v>0.009960216529142488</v>
      </c>
      <c r="BD29" s="11">
        <v>68</v>
      </c>
      <c r="BE29" s="15">
        <v>0.004907621247113164</v>
      </c>
      <c r="BF29" s="57"/>
      <c r="BG29" s="56"/>
      <c r="BH29" s="57"/>
      <c r="BI29" s="10">
        <v>770769.92</v>
      </c>
      <c r="BJ29" s="15">
        <v>0.007878479296318306</v>
      </c>
      <c r="BK29" s="11">
        <v>55</v>
      </c>
      <c r="BL29" s="15">
        <v>0.004091044332044035</v>
      </c>
      <c r="BM29" s="57"/>
      <c r="BN29" s="56"/>
      <c r="BO29" s="57"/>
      <c r="BP29" s="10">
        <v>810686.44</v>
      </c>
      <c r="BQ29" s="15">
        <v>0.008762359771214041</v>
      </c>
      <c r="BR29" s="11">
        <v>59</v>
      </c>
      <c r="BS29" s="15">
        <v>0.004672897196261682</v>
      </c>
      <c r="BT29" s="57"/>
      <c r="BU29" s="56"/>
      <c r="BV29" s="57"/>
      <c r="BW29" s="10">
        <v>854952.27</v>
      </c>
      <c r="BX29" s="15">
        <v>0.009471620347655437</v>
      </c>
      <c r="BY29" s="11">
        <v>61</v>
      </c>
      <c r="BZ29" s="15">
        <v>0.0049710700024447885</v>
      </c>
      <c r="CA29" s="57"/>
      <c r="CB29" s="56"/>
      <c r="CC29" s="57"/>
      <c r="CD29" s="10">
        <v>893858.77</v>
      </c>
      <c r="CE29" s="15">
        <v>0.010672658079523502</v>
      </c>
      <c r="CF29" s="11">
        <v>62</v>
      </c>
      <c r="CG29" s="15">
        <v>0.005343445660605016</v>
      </c>
      <c r="CH29" s="57"/>
      <c r="CI29" s="56"/>
      <c r="CJ29" s="57"/>
      <c r="CK29" s="10">
        <v>842317.37</v>
      </c>
      <c r="CL29" s="15">
        <v>0.010658143124221729</v>
      </c>
      <c r="CM29" s="11">
        <v>56</v>
      </c>
      <c r="CN29" s="15">
        <v>0.005134788189987163</v>
      </c>
      <c r="CO29" s="57"/>
      <c r="CP29" s="56"/>
      <c r="CQ29" s="57"/>
    </row>
    <row r="30" spans="1:95" ht="12.75">
      <c r="A30" s="9" t="s">
        <v>140</v>
      </c>
      <c r="B30" s="9"/>
      <c r="C30" s="9"/>
      <c r="D30" s="10">
        <v>31262619.910000063</v>
      </c>
      <c r="E30" s="15">
        <v>0.23561947811553846</v>
      </c>
      <c r="F30" s="11">
        <v>1639</v>
      </c>
      <c r="G30" s="15">
        <v>0.07415954029229446</v>
      </c>
      <c r="H30" s="9"/>
      <c r="I30" s="9"/>
      <c r="J30" s="10">
        <v>30666513.580000024</v>
      </c>
      <c r="K30" s="15">
        <v>0.23818797822365984</v>
      </c>
      <c r="L30" s="11">
        <v>1567</v>
      </c>
      <c r="M30" s="15">
        <v>0.08382368674440997</v>
      </c>
      <c r="N30" s="57"/>
      <c r="O30" s="56"/>
      <c r="P30" s="57"/>
      <c r="Q30" s="9"/>
      <c r="R30" s="10">
        <v>30201386.170000017</v>
      </c>
      <c r="S30" s="15">
        <v>0.24114151504719702</v>
      </c>
      <c r="T30" s="11">
        <v>1550</v>
      </c>
      <c r="U30" s="15">
        <v>0.08587733392431714</v>
      </c>
      <c r="V30" s="57"/>
      <c r="W30" s="56"/>
      <c r="X30" s="57"/>
      <c r="Y30" s="9"/>
      <c r="Z30" s="10">
        <v>29887294.48000002</v>
      </c>
      <c r="AA30" s="15">
        <v>0.24472356368713546</v>
      </c>
      <c r="AB30" s="11">
        <v>1543</v>
      </c>
      <c r="AC30" s="15">
        <v>0.08855601469237832</v>
      </c>
      <c r="AD30" s="57"/>
      <c r="AE30" s="56"/>
      <c r="AF30" s="57"/>
      <c r="AG30" s="10">
        <v>29392428.710000064</v>
      </c>
      <c r="AH30" s="15">
        <v>0.24729697258058675</v>
      </c>
      <c r="AI30" s="11">
        <v>1524</v>
      </c>
      <c r="AJ30" s="15">
        <v>0.09045584045584046</v>
      </c>
      <c r="AK30" s="57"/>
      <c r="AL30" s="56"/>
      <c r="AM30" s="57"/>
      <c r="AN30" s="10">
        <v>29973671.660000004</v>
      </c>
      <c r="AO30" s="15">
        <v>0.25870571322724584</v>
      </c>
      <c r="AP30" s="11">
        <v>1558</v>
      </c>
      <c r="AQ30" s="15">
        <v>0.09597733012998214</v>
      </c>
      <c r="AR30" s="57"/>
      <c r="AS30" s="56"/>
      <c r="AT30" s="57"/>
      <c r="AU30" s="10">
        <v>29940540.37999999</v>
      </c>
      <c r="AV30" s="15">
        <v>0.26449874092859066</v>
      </c>
      <c r="AW30" s="11">
        <v>1561</v>
      </c>
      <c r="AX30" s="15">
        <v>0.09799121155053359</v>
      </c>
      <c r="AY30" s="57"/>
      <c r="AZ30" s="56"/>
      <c r="BA30" s="57"/>
      <c r="BB30" s="10">
        <v>26265302.730000004</v>
      </c>
      <c r="BC30" s="15">
        <v>0.2618794566496686</v>
      </c>
      <c r="BD30" s="11">
        <v>1383</v>
      </c>
      <c r="BE30" s="15">
        <v>0.09981235565819861</v>
      </c>
      <c r="BF30" s="57"/>
      <c r="BG30" s="56"/>
      <c r="BH30" s="57"/>
      <c r="BI30" s="10">
        <v>26410758.589999992</v>
      </c>
      <c r="BJ30" s="15">
        <v>0.2699594384162991</v>
      </c>
      <c r="BK30" s="11">
        <v>1394</v>
      </c>
      <c r="BL30" s="15">
        <v>0.10368937816126153</v>
      </c>
      <c r="BM30" s="57"/>
      <c r="BN30" s="56"/>
      <c r="BO30" s="57"/>
      <c r="BP30" s="10">
        <v>25197874.059999984</v>
      </c>
      <c r="BQ30" s="15">
        <v>0.2723529432458025</v>
      </c>
      <c r="BR30" s="11">
        <v>1327</v>
      </c>
      <c r="BS30" s="15">
        <v>0.10510058609219072</v>
      </c>
      <c r="BT30" s="57"/>
      <c r="BU30" s="56"/>
      <c r="BV30" s="57"/>
      <c r="BW30" s="10">
        <v>24777215.96999999</v>
      </c>
      <c r="BX30" s="15">
        <v>0.2744953036263711</v>
      </c>
      <c r="BY30" s="11">
        <v>1304</v>
      </c>
      <c r="BZ30" s="15">
        <v>0.10626680792111483</v>
      </c>
      <c r="CA30" s="57"/>
      <c r="CB30" s="56"/>
      <c r="CC30" s="57"/>
      <c r="CD30" s="10">
        <v>21623821.10999997</v>
      </c>
      <c r="CE30" s="15">
        <v>0.25818804583615823</v>
      </c>
      <c r="CF30" s="11">
        <v>1156</v>
      </c>
      <c r="CG30" s="15">
        <v>0.09962940618805481</v>
      </c>
      <c r="CH30" s="57"/>
      <c r="CI30" s="56"/>
      <c r="CJ30" s="57"/>
      <c r="CK30" s="10">
        <v>20118112.609999977</v>
      </c>
      <c r="CL30" s="15">
        <v>0.25456167855898504</v>
      </c>
      <c r="CM30" s="11">
        <v>1087</v>
      </c>
      <c r="CN30" s="15">
        <v>0.09966990647350082</v>
      </c>
      <c r="CO30" s="57"/>
      <c r="CP30" s="56"/>
      <c r="CQ30" s="57"/>
    </row>
    <row r="31" spans="1:95" ht="12.75">
      <c r="A31" s="9"/>
      <c r="B31" s="9"/>
      <c r="C31" s="9"/>
      <c r="D31" s="10"/>
      <c r="E31" s="9"/>
      <c r="F31" s="11"/>
      <c r="G31" s="9"/>
      <c r="H31" s="9"/>
      <c r="I31" s="9"/>
      <c r="J31" s="10"/>
      <c r="K31" s="9"/>
      <c r="L31" s="11"/>
      <c r="M31" s="9"/>
      <c r="N31" s="55"/>
      <c r="O31" s="56"/>
      <c r="P31" s="55"/>
      <c r="Q31" s="9"/>
      <c r="R31" s="10"/>
      <c r="S31" s="9"/>
      <c r="T31" s="11"/>
      <c r="U31" s="9"/>
      <c r="V31" s="55"/>
      <c r="W31" s="56"/>
      <c r="X31" s="55"/>
      <c r="Y31" s="9"/>
      <c r="Z31" s="10"/>
      <c r="AA31" s="9"/>
      <c r="AB31" s="11"/>
      <c r="AC31" s="9"/>
      <c r="AD31" s="55"/>
      <c r="AE31" s="56"/>
      <c r="AF31" s="55"/>
      <c r="AG31" s="10"/>
      <c r="AH31" s="9"/>
      <c r="AI31" s="11"/>
      <c r="AJ31" s="9"/>
      <c r="AK31" s="55"/>
      <c r="AL31" s="56"/>
      <c r="AM31" s="55"/>
      <c r="AN31" s="10"/>
      <c r="AO31" s="9"/>
      <c r="AP31" s="11"/>
      <c r="AQ31" s="9"/>
      <c r="AR31" s="55"/>
      <c r="AS31" s="56"/>
      <c r="AT31" s="55"/>
      <c r="AU31" s="10"/>
      <c r="AV31" s="9"/>
      <c r="AW31" s="11"/>
      <c r="AX31" s="9"/>
      <c r="AY31" s="55"/>
      <c r="AZ31" s="56"/>
      <c r="BA31" s="55"/>
      <c r="BB31" s="10"/>
      <c r="BC31" s="9"/>
      <c r="BD31" s="11"/>
      <c r="BE31" s="9"/>
      <c r="BF31" s="55"/>
      <c r="BG31" s="56"/>
      <c r="BH31" s="55"/>
      <c r="BI31" s="10"/>
      <c r="BJ31" s="9"/>
      <c r="BK31" s="11"/>
      <c r="BL31" s="9"/>
      <c r="BM31" s="55"/>
      <c r="BN31" s="56"/>
      <c r="BO31" s="55"/>
      <c r="BP31" s="10"/>
      <c r="BQ31" s="9"/>
      <c r="BR31" s="11"/>
      <c r="BS31" s="9"/>
      <c r="BT31" s="55"/>
      <c r="BU31" s="56"/>
      <c r="BV31" s="55"/>
      <c r="BW31" s="10"/>
      <c r="BX31" s="9"/>
      <c r="BY31" s="11"/>
      <c r="BZ31" s="9"/>
      <c r="CA31" s="55"/>
      <c r="CB31" s="56"/>
      <c r="CC31" s="55"/>
      <c r="CD31" s="10"/>
      <c r="CE31" s="9"/>
      <c r="CF31" s="11"/>
      <c r="CG31" s="9"/>
      <c r="CH31" s="55"/>
      <c r="CI31" s="56"/>
      <c r="CJ31" s="55"/>
      <c r="CK31" s="10"/>
      <c r="CL31" s="9"/>
      <c r="CM31" s="11"/>
      <c r="CN31" s="9"/>
      <c r="CO31" s="55"/>
      <c r="CP31" s="56"/>
      <c r="CQ31" s="55"/>
    </row>
    <row r="32" spans="1:95" ht="13.5" thickBot="1">
      <c r="A32" s="9"/>
      <c r="B32" s="13"/>
      <c r="C32" s="13"/>
      <c r="D32" s="22">
        <f>SUM(D19:D30)</f>
        <v>132682663.42000008</v>
      </c>
      <c r="E32" s="13"/>
      <c r="F32" s="23">
        <f>SUM(F19:F30)</f>
        <v>22101</v>
      </c>
      <c r="G32" s="24"/>
      <c r="H32" s="9"/>
      <c r="I32" s="9"/>
      <c r="J32" s="22">
        <f>SUM(J19:J30)</f>
        <v>128749208.12000006</v>
      </c>
      <c r="K32" s="13"/>
      <c r="L32" s="23">
        <f>SUM(L19:L30)</f>
        <v>18694</v>
      </c>
      <c r="M32" s="24"/>
      <c r="N32" s="54"/>
      <c r="O32" s="32"/>
      <c r="P32" s="58"/>
      <c r="Q32" s="9"/>
      <c r="R32" s="22">
        <f>SUM(R19:R30)</f>
        <v>125243412.21000001</v>
      </c>
      <c r="S32" s="13"/>
      <c r="T32" s="23">
        <f>SUM(T19:T30)</f>
        <v>18049</v>
      </c>
      <c r="U32" s="24"/>
      <c r="V32" s="54"/>
      <c r="W32" s="32"/>
      <c r="X32" s="58"/>
      <c r="Y32" s="9"/>
      <c r="Z32" s="22">
        <f>SUM(Z19:Z30)</f>
        <v>122126754.08000003</v>
      </c>
      <c r="AA32" s="13"/>
      <c r="AB32" s="23">
        <f>SUM(AB19:AB30)</f>
        <v>17424</v>
      </c>
      <c r="AC32" s="24"/>
      <c r="AD32" s="54"/>
      <c r="AE32" s="32"/>
      <c r="AF32" s="58"/>
      <c r="AG32" s="22">
        <f>SUM(AG19:AG30)</f>
        <v>118854785.82000005</v>
      </c>
      <c r="AH32" s="13"/>
      <c r="AI32" s="23">
        <f>SUM(AI19:AI30)</f>
        <v>16848</v>
      </c>
      <c r="AJ32" s="24"/>
      <c r="AK32" s="54"/>
      <c r="AL32" s="32"/>
      <c r="AM32" s="58"/>
      <c r="AN32" s="22">
        <f>SUM(AN19:AN30)</f>
        <v>115860107.17000005</v>
      </c>
      <c r="AO32" s="13"/>
      <c r="AP32" s="23">
        <f>SUM(AP19:AP30)</f>
        <v>16233</v>
      </c>
      <c r="AQ32" s="24"/>
      <c r="AR32" s="54"/>
      <c r="AS32" s="32"/>
      <c r="AT32" s="58"/>
      <c r="AU32" s="22">
        <f>SUM(AU19:AU30)</f>
        <v>113197288.86000003</v>
      </c>
      <c r="AV32" s="13"/>
      <c r="AW32" s="23">
        <f>SUM(AW19:AW30)</f>
        <v>15930</v>
      </c>
      <c r="AX32" s="24"/>
      <c r="AY32" s="54"/>
      <c r="AZ32" s="32"/>
      <c r="BA32" s="58"/>
      <c r="BB32" s="22">
        <f>SUM(BB19:BB30)</f>
        <v>100295391.88000007</v>
      </c>
      <c r="BC32" s="13"/>
      <c r="BD32" s="23">
        <f>SUM(BD19:BD30)</f>
        <v>13856</v>
      </c>
      <c r="BE32" s="24"/>
      <c r="BF32" s="54"/>
      <c r="BG32" s="32"/>
      <c r="BH32" s="58"/>
      <c r="BI32" s="22">
        <f>SUM(BI19:BI30)</f>
        <v>97832321.57000002</v>
      </c>
      <c r="BJ32" s="13"/>
      <c r="BK32" s="23">
        <f>SUM(BK19:BK30)</f>
        <v>13444</v>
      </c>
      <c r="BL32" s="24"/>
      <c r="BM32" s="54"/>
      <c r="BN32" s="32"/>
      <c r="BO32" s="58"/>
      <c r="BP32" s="22">
        <f>SUM(BP19:BP30)</f>
        <v>92519191.31000003</v>
      </c>
      <c r="BQ32" s="13"/>
      <c r="BR32" s="23">
        <f>SUM(BR19:BR30)</f>
        <v>12626</v>
      </c>
      <c r="BS32" s="24"/>
      <c r="BT32" s="54"/>
      <c r="BU32" s="32"/>
      <c r="BV32" s="58"/>
      <c r="BW32" s="22">
        <f>SUM(BW19:BW30)</f>
        <v>90264626.18000002</v>
      </c>
      <c r="BX32" s="13"/>
      <c r="BY32" s="23">
        <f>SUM(BY19:BY30)</f>
        <v>12271</v>
      </c>
      <c r="BZ32" s="24"/>
      <c r="CA32" s="54"/>
      <c r="CB32" s="32"/>
      <c r="CC32" s="58"/>
      <c r="CD32" s="22">
        <f>SUM(CD19:CD30)</f>
        <v>83752216.49</v>
      </c>
      <c r="CE32" s="13"/>
      <c r="CF32" s="23">
        <f>SUM(CF19:CF30)</f>
        <v>11603</v>
      </c>
      <c r="CG32" s="24"/>
      <c r="CH32" s="54"/>
      <c r="CI32" s="32"/>
      <c r="CJ32" s="58"/>
      <c r="CK32" s="22">
        <f>SUM(CK19:CK30)</f>
        <v>79030405.22000001</v>
      </c>
      <c r="CL32" s="13"/>
      <c r="CM32" s="23">
        <f>SUM(CM19:CM30)</f>
        <v>10906</v>
      </c>
      <c r="CN32" s="24"/>
      <c r="CO32" s="54"/>
      <c r="CP32" s="32"/>
      <c r="CQ32" s="58"/>
    </row>
    <row r="33" spans="1:95" ht="13.5" thickTop="1">
      <c r="A33" s="9"/>
      <c r="B33" s="9"/>
      <c r="C33" s="9"/>
      <c r="D33" s="10"/>
      <c r="E33" s="9"/>
      <c r="F33" s="11"/>
      <c r="G33" s="9"/>
      <c r="H33" s="9"/>
      <c r="I33" s="9"/>
      <c r="J33" s="9"/>
      <c r="K33" s="9"/>
      <c r="L33" s="9"/>
      <c r="M33" s="10"/>
      <c r="N33" s="55"/>
      <c r="O33" s="56"/>
      <c r="P33" s="55"/>
      <c r="Q33" s="9"/>
      <c r="R33" s="9"/>
      <c r="S33" s="9"/>
      <c r="T33" s="9"/>
      <c r="U33" s="10"/>
      <c r="V33" s="55"/>
      <c r="W33" s="56"/>
      <c r="X33" s="55"/>
      <c r="Y33" s="9"/>
      <c r="Z33" s="9"/>
      <c r="AA33" s="9"/>
      <c r="AB33" s="9"/>
      <c r="AC33" s="10"/>
      <c r="AD33" s="55"/>
      <c r="AE33" s="56"/>
      <c r="AF33" s="55"/>
      <c r="AG33" s="9"/>
      <c r="AH33" s="9"/>
      <c r="AI33" s="9"/>
      <c r="AJ33" s="10"/>
      <c r="AK33" s="55"/>
      <c r="AL33" s="56"/>
      <c r="AM33" s="55"/>
      <c r="AN33" s="9"/>
      <c r="AO33" s="9"/>
      <c r="AP33" s="9"/>
      <c r="AQ33" s="10"/>
      <c r="AR33" s="55"/>
      <c r="AS33" s="56"/>
      <c r="AT33" s="55"/>
      <c r="AU33" s="9"/>
      <c r="AV33" s="9"/>
      <c r="AW33" s="9"/>
      <c r="AX33" s="10"/>
      <c r="AY33" s="55"/>
      <c r="AZ33" s="56"/>
      <c r="BA33" s="55"/>
      <c r="BB33" s="9"/>
      <c r="BC33" s="9"/>
      <c r="BD33" s="9"/>
      <c r="BE33" s="10"/>
      <c r="BF33" s="55"/>
      <c r="BG33" s="56"/>
      <c r="BH33" s="55"/>
      <c r="BI33" s="9"/>
      <c r="BJ33" s="9"/>
      <c r="BK33" s="9"/>
      <c r="BL33" s="10"/>
      <c r="BM33" s="55"/>
      <c r="BN33" s="56"/>
      <c r="BO33" s="55"/>
      <c r="BP33" s="9"/>
      <c r="BQ33" s="9"/>
      <c r="BR33" s="9"/>
      <c r="BS33" s="10"/>
      <c r="BT33" s="55"/>
      <c r="BU33" s="56"/>
      <c r="BV33" s="55"/>
      <c r="BW33" s="9"/>
      <c r="BX33" s="9"/>
      <c r="BY33" s="9"/>
      <c r="BZ33" s="10"/>
      <c r="CA33" s="55"/>
      <c r="CB33" s="56"/>
      <c r="CC33" s="55"/>
      <c r="CD33" s="9"/>
      <c r="CE33" s="9"/>
      <c r="CF33" s="9"/>
      <c r="CG33" s="10"/>
      <c r="CH33" s="55"/>
      <c r="CI33" s="56"/>
      <c r="CJ33" s="55"/>
      <c r="CK33" s="9"/>
      <c r="CL33" s="9"/>
      <c r="CM33" s="9"/>
      <c r="CN33" s="10"/>
      <c r="CO33" s="55"/>
      <c r="CP33" s="56"/>
      <c r="CQ33" s="55"/>
    </row>
    <row r="34" spans="1:95" ht="12.75">
      <c r="A34" s="9"/>
      <c r="B34" s="9"/>
      <c r="C34" s="9"/>
      <c r="D34" s="10"/>
      <c r="E34" s="9"/>
      <c r="F34" s="11"/>
      <c r="G34" s="9"/>
      <c r="H34" s="9"/>
      <c r="I34" s="9"/>
      <c r="J34" s="9"/>
      <c r="K34" s="9"/>
      <c r="L34" s="9"/>
      <c r="M34" s="10"/>
      <c r="N34" s="9"/>
      <c r="O34" s="11"/>
      <c r="P34" s="9"/>
      <c r="Q34" s="9"/>
      <c r="R34" s="9"/>
      <c r="S34" s="9"/>
      <c r="T34" s="9"/>
      <c r="U34" s="10"/>
      <c r="V34" s="9"/>
      <c r="W34" s="11"/>
      <c r="X34" s="9"/>
      <c r="Y34" s="9"/>
      <c r="Z34" s="9"/>
      <c r="AA34" s="9"/>
      <c r="AB34" s="9"/>
      <c r="AC34" s="10"/>
      <c r="AD34" s="9"/>
      <c r="AE34" s="11"/>
      <c r="AF34" s="9"/>
      <c r="AG34" s="9"/>
      <c r="AH34" s="9"/>
      <c r="AI34" s="9"/>
      <c r="AJ34" s="10"/>
      <c r="AK34" s="9"/>
      <c r="AL34" s="11"/>
      <c r="AM34" s="9"/>
      <c r="AN34" s="9"/>
      <c r="AO34" s="9"/>
      <c r="AP34" s="9"/>
      <c r="AQ34" s="10"/>
      <c r="AR34" s="9"/>
      <c r="AS34" s="11"/>
      <c r="AT34" s="9"/>
      <c r="AU34" s="9"/>
      <c r="AV34" s="9"/>
      <c r="AW34" s="9"/>
      <c r="AX34" s="10"/>
      <c r="AY34" s="9"/>
      <c r="AZ34" s="11"/>
      <c r="BA34" s="9"/>
      <c r="BB34" s="9"/>
      <c r="BC34" s="9"/>
      <c r="BD34" s="9"/>
      <c r="BE34" s="10"/>
      <c r="BF34" s="9"/>
      <c r="BG34" s="11"/>
      <c r="BH34" s="9"/>
      <c r="BI34" s="9"/>
      <c r="BJ34" s="9"/>
      <c r="BK34" s="9"/>
      <c r="BL34" s="10"/>
      <c r="BM34" s="9"/>
      <c r="BN34" s="11"/>
      <c r="BO34" s="9"/>
      <c r="BP34" s="9"/>
      <c r="BQ34" s="9"/>
      <c r="BR34" s="9"/>
      <c r="BS34" s="10"/>
      <c r="BT34" s="9"/>
      <c r="BU34" s="11"/>
      <c r="BV34" s="9"/>
      <c r="BW34" s="9"/>
      <c r="BX34" s="9"/>
      <c r="BY34" s="9"/>
      <c r="BZ34" s="10"/>
      <c r="CA34" s="9"/>
      <c r="CB34" s="11"/>
      <c r="CC34" s="9"/>
      <c r="CD34" s="9"/>
      <c r="CE34" s="9"/>
      <c r="CF34" s="9"/>
      <c r="CG34" s="10"/>
      <c r="CH34" s="9"/>
      <c r="CI34" s="11"/>
      <c r="CJ34" s="9"/>
      <c r="CK34" s="9"/>
      <c r="CL34" s="9"/>
      <c r="CM34" s="9"/>
      <c r="CN34" s="10"/>
      <c r="CO34" s="9"/>
      <c r="CP34" s="11"/>
      <c r="CQ34" s="9"/>
    </row>
    <row r="35" spans="1:95" ht="12.75">
      <c r="A35" s="20" t="s">
        <v>107</v>
      </c>
      <c r="B35" s="9"/>
      <c r="C35" s="9"/>
      <c r="D35" s="10"/>
      <c r="E35" s="9"/>
      <c r="F35" s="11"/>
      <c r="G35" s="9"/>
      <c r="H35" s="9"/>
      <c r="I35" s="9"/>
      <c r="J35" s="20" t="s">
        <v>107</v>
      </c>
      <c r="K35" s="9"/>
      <c r="L35" s="9"/>
      <c r="M35" s="10"/>
      <c r="N35" s="9"/>
      <c r="O35" s="11"/>
      <c r="P35" s="9"/>
      <c r="Q35" s="9"/>
      <c r="R35" s="20" t="s">
        <v>107</v>
      </c>
      <c r="S35" s="9"/>
      <c r="T35" s="9"/>
      <c r="U35" s="10"/>
      <c r="V35" s="9"/>
      <c r="W35" s="11"/>
      <c r="X35" s="9"/>
      <c r="Y35" s="9"/>
      <c r="Z35" s="20" t="s">
        <v>107</v>
      </c>
      <c r="AA35" s="9"/>
      <c r="AB35" s="9"/>
      <c r="AC35" s="10"/>
      <c r="AD35" s="9"/>
      <c r="AE35" s="11"/>
      <c r="AF35" s="9"/>
      <c r="AG35" s="20" t="s">
        <v>107</v>
      </c>
      <c r="AH35" s="9"/>
      <c r="AI35" s="9"/>
      <c r="AJ35" s="10"/>
      <c r="AK35" s="9"/>
      <c r="AL35" s="11"/>
      <c r="AM35" s="9"/>
      <c r="AN35" s="20" t="s">
        <v>107</v>
      </c>
      <c r="AO35" s="9"/>
      <c r="AP35" s="9"/>
      <c r="AQ35" s="10"/>
      <c r="AR35" s="9"/>
      <c r="AS35" s="11"/>
      <c r="AT35" s="9"/>
      <c r="AU35" s="20" t="s">
        <v>107</v>
      </c>
      <c r="AV35" s="9"/>
      <c r="AW35" s="9"/>
      <c r="AX35" s="10"/>
      <c r="AY35" s="9"/>
      <c r="AZ35" s="11"/>
      <c r="BA35" s="9"/>
      <c r="BB35" s="20" t="s">
        <v>107</v>
      </c>
      <c r="BC35" s="9"/>
      <c r="BD35" s="9"/>
      <c r="BE35" s="10"/>
      <c r="BF35" s="9"/>
      <c r="BG35" s="11"/>
      <c r="BH35" s="9"/>
      <c r="BI35" s="20" t="s">
        <v>107</v>
      </c>
      <c r="BJ35" s="9"/>
      <c r="BK35" s="9"/>
      <c r="BL35" s="10"/>
      <c r="BM35" s="9"/>
      <c r="BN35" s="11"/>
      <c r="BO35" s="9"/>
      <c r="BP35" s="20" t="s">
        <v>107</v>
      </c>
      <c r="BQ35" s="9"/>
      <c r="BR35" s="9"/>
      <c r="BS35" s="10"/>
      <c r="BT35" s="9"/>
      <c r="BU35" s="11"/>
      <c r="BV35" s="9"/>
      <c r="BW35" s="20" t="s">
        <v>107</v>
      </c>
      <c r="BX35" s="9"/>
      <c r="BY35" s="9"/>
      <c r="BZ35" s="10"/>
      <c r="CA35" s="9"/>
      <c r="CB35" s="11"/>
      <c r="CC35" s="9"/>
      <c r="CD35" s="20" t="s">
        <v>107</v>
      </c>
      <c r="CE35" s="9"/>
      <c r="CF35" s="9"/>
      <c r="CG35" s="10"/>
      <c r="CH35" s="9"/>
      <c r="CI35" s="11"/>
      <c r="CJ35" s="9"/>
      <c r="CK35" s="20" t="s">
        <v>107</v>
      </c>
      <c r="CL35" s="9"/>
      <c r="CM35" s="9"/>
      <c r="CN35" s="10"/>
      <c r="CO35" s="9"/>
      <c r="CP35" s="11"/>
      <c r="CQ35" s="9"/>
    </row>
    <row r="36" spans="1:95" ht="12.75">
      <c r="A36" s="20"/>
      <c r="B36" s="9"/>
      <c r="C36" s="9"/>
      <c r="D36" s="10"/>
      <c r="E36" s="9"/>
      <c r="F36" s="11"/>
      <c r="G36" s="9"/>
      <c r="H36" s="9"/>
      <c r="I36" s="9"/>
      <c r="J36" s="20"/>
      <c r="K36" s="9"/>
      <c r="L36" s="9"/>
      <c r="M36" s="10"/>
      <c r="N36" s="9"/>
      <c r="O36" s="11"/>
      <c r="P36" s="9"/>
      <c r="Q36" s="9"/>
      <c r="R36" s="20"/>
      <c r="S36" s="9"/>
      <c r="T36" s="9"/>
      <c r="U36" s="10"/>
      <c r="V36" s="9"/>
      <c r="W36" s="11"/>
      <c r="X36" s="9"/>
      <c r="Y36" s="9"/>
      <c r="Z36" s="20"/>
      <c r="AA36" s="9"/>
      <c r="AB36" s="9"/>
      <c r="AC36" s="10"/>
      <c r="AD36" s="9"/>
      <c r="AE36" s="11"/>
      <c r="AF36" s="9"/>
      <c r="AG36" s="20"/>
      <c r="AH36" s="9"/>
      <c r="AI36" s="9"/>
      <c r="AJ36" s="10"/>
      <c r="AK36" s="9"/>
      <c r="AL36" s="11"/>
      <c r="AM36" s="9"/>
      <c r="AN36" s="20"/>
      <c r="AO36" s="9"/>
      <c r="AP36" s="9"/>
      <c r="AQ36" s="10"/>
      <c r="AR36" s="9"/>
      <c r="AS36" s="11"/>
      <c r="AT36" s="9"/>
      <c r="AU36" s="20"/>
      <c r="AV36" s="9"/>
      <c r="AW36" s="9"/>
      <c r="AX36" s="10"/>
      <c r="AY36" s="9"/>
      <c r="AZ36" s="11"/>
      <c r="BA36" s="9"/>
      <c r="BB36" s="20"/>
      <c r="BC36" s="9"/>
      <c r="BD36" s="9"/>
      <c r="BE36" s="10"/>
      <c r="BF36" s="9"/>
      <c r="BG36" s="11"/>
      <c r="BH36" s="9"/>
      <c r="BI36" s="20"/>
      <c r="BJ36" s="9"/>
      <c r="BK36" s="9"/>
      <c r="BL36" s="10"/>
      <c r="BM36" s="9"/>
      <c r="BN36" s="11"/>
      <c r="BO36" s="9"/>
      <c r="BP36" s="20"/>
      <c r="BQ36" s="9"/>
      <c r="BR36" s="9"/>
      <c r="BS36" s="10"/>
      <c r="BT36" s="9"/>
      <c r="BU36" s="11"/>
      <c r="BV36" s="9"/>
      <c r="BW36" s="20"/>
      <c r="BX36" s="9"/>
      <c r="BY36" s="9"/>
      <c r="BZ36" s="10"/>
      <c r="CA36" s="9"/>
      <c r="CB36" s="11"/>
      <c r="CC36" s="9"/>
      <c r="CD36" s="20"/>
      <c r="CE36" s="9"/>
      <c r="CF36" s="9"/>
      <c r="CG36" s="10"/>
      <c r="CH36" s="9"/>
      <c r="CI36" s="11"/>
      <c r="CJ36" s="9"/>
      <c r="CK36" s="20"/>
      <c r="CL36" s="9"/>
      <c r="CM36" s="9"/>
      <c r="CN36" s="10"/>
      <c r="CO36" s="9"/>
      <c r="CP36" s="11"/>
      <c r="CQ36" s="9"/>
    </row>
    <row r="37" spans="1:95" s="30" customFormat="1" ht="12.75">
      <c r="A37" s="26"/>
      <c r="B37" s="27"/>
      <c r="C37" s="27"/>
      <c r="D37" s="28" t="s">
        <v>143</v>
      </c>
      <c r="E37" s="27" t="s">
        <v>96</v>
      </c>
      <c r="F37" s="29" t="s">
        <v>97</v>
      </c>
      <c r="G37" s="27" t="s">
        <v>96</v>
      </c>
      <c r="H37" s="26"/>
      <c r="I37" s="26"/>
      <c r="J37" s="28" t="s">
        <v>143</v>
      </c>
      <c r="K37" s="27" t="s">
        <v>96</v>
      </c>
      <c r="L37" s="29" t="s">
        <v>97</v>
      </c>
      <c r="M37" s="27" t="s">
        <v>96</v>
      </c>
      <c r="N37" s="65"/>
      <c r="O37" s="66"/>
      <c r="P37" s="65"/>
      <c r="Q37" s="26"/>
      <c r="R37" s="28" t="s">
        <v>143</v>
      </c>
      <c r="S37" s="27" t="s">
        <v>96</v>
      </c>
      <c r="T37" s="29" t="s">
        <v>97</v>
      </c>
      <c r="U37" s="27" t="s">
        <v>96</v>
      </c>
      <c r="V37" s="65"/>
      <c r="W37" s="66"/>
      <c r="X37" s="65"/>
      <c r="Y37" s="26"/>
      <c r="Z37" s="28" t="s">
        <v>143</v>
      </c>
      <c r="AA37" s="27" t="s">
        <v>96</v>
      </c>
      <c r="AB37" s="29" t="s">
        <v>97</v>
      </c>
      <c r="AC37" s="27" t="s">
        <v>96</v>
      </c>
      <c r="AD37" s="65"/>
      <c r="AE37" s="66"/>
      <c r="AF37" s="65"/>
      <c r="AG37" s="28" t="s">
        <v>143</v>
      </c>
      <c r="AH37" s="27" t="s">
        <v>96</v>
      </c>
      <c r="AI37" s="29" t="s">
        <v>97</v>
      </c>
      <c r="AJ37" s="27" t="s">
        <v>96</v>
      </c>
      <c r="AK37" s="65"/>
      <c r="AL37" s="66"/>
      <c r="AM37" s="65"/>
      <c r="AN37" s="28" t="s">
        <v>143</v>
      </c>
      <c r="AO37" s="27" t="s">
        <v>96</v>
      </c>
      <c r="AP37" s="29" t="s">
        <v>97</v>
      </c>
      <c r="AQ37" s="27" t="s">
        <v>96</v>
      </c>
      <c r="AR37" s="65"/>
      <c r="AS37" s="66"/>
      <c r="AT37" s="65"/>
      <c r="AU37" s="94" t="s">
        <v>143</v>
      </c>
      <c r="AV37" s="45" t="s">
        <v>96</v>
      </c>
      <c r="AW37" s="93" t="s">
        <v>97</v>
      </c>
      <c r="AX37" s="45" t="s">
        <v>96</v>
      </c>
      <c r="AY37" s="65"/>
      <c r="AZ37" s="66"/>
      <c r="BA37" s="65"/>
      <c r="BB37" s="94" t="s">
        <v>143</v>
      </c>
      <c r="BC37" s="45" t="s">
        <v>96</v>
      </c>
      <c r="BD37" s="93" t="s">
        <v>97</v>
      </c>
      <c r="BE37" s="45" t="s">
        <v>96</v>
      </c>
      <c r="BF37" s="65"/>
      <c r="BG37" s="66"/>
      <c r="BH37" s="65"/>
      <c r="BI37" s="94" t="s">
        <v>143</v>
      </c>
      <c r="BJ37" s="45" t="s">
        <v>96</v>
      </c>
      <c r="BK37" s="93" t="s">
        <v>97</v>
      </c>
      <c r="BL37" s="45" t="s">
        <v>96</v>
      </c>
      <c r="BM37" s="65"/>
      <c r="BN37" s="66"/>
      <c r="BO37" s="65"/>
      <c r="BP37" s="94" t="s">
        <v>143</v>
      </c>
      <c r="BQ37" s="45" t="s">
        <v>96</v>
      </c>
      <c r="BR37" s="93" t="s">
        <v>97</v>
      </c>
      <c r="BS37" s="45" t="s">
        <v>96</v>
      </c>
      <c r="BT37" s="65"/>
      <c r="BU37" s="66"/>
      <c r="BV37" s="65"/>
      <c r="BW37" s="94" t="s">
        <v>143</v>
      </c>
      <c r="BX37" s="45" t="s">
        <v>96</v>
      </c>
      <c r="BY37" s="93" t="s">
        <v>97</v>
      </c>
      <c r="BZ37" s="45" t="s">
        <v>96</v>
      </c>
      <c r="CA37" s="65"/>
      <c r="CB37" s="66"/>
      <c r="CC37" s="65"/>
      <c r="CD37" s="94" t="s">
        <v>143</v>
      </c>
      <c r="CE37" s="45" t="s">
        <v>96</v>
      </c>
      <c r="CF37" s="93" t="s">
        <v>97</v>
      </c>
      <c r="CG37" s="45" t="s">
        <v>96</v>
      </c>
      <c r="CH37" s="65"/>
      <c r="CI37" s="66"/>
      <c r="CJ37" s="65"/>
      <c r="CK37" s="94" t="s">
        <v>143</v>
      </c>
      <c r="CL37" s="45" t="s">
        <v>96</v>
      </c>
      <c r="CM37" s="93" t="s">
        <v>97</v>
      </c>
      <c r="CN37" s="45" t="s">
        <v>96</v>
      </c>
      <c r="CO37" s="65"/>
      <c r="CP37" s="66"/>
      <c r="CQ37" s="65"/>
    </row>
    <row r="38" spans="1:95" ht="12.75">
      <c r="A38" s="13"/>
      <c r="B38" s="9"/>
      <c r="C38" s="9"/>
      <c r="D38" s="10"/>
      <c r="E38" s="9"/>
      <c r="F38" s="11"/>
      <c r="G38" s="9"/>
      <c r="H38" s="9"/>
      <c r="I38" s="9"/>
      <c r="J38" s="10"/>
      <c r="K38" s="9"/>
      <c r="L38" s="11"/>
      <c r="M38" s="9"/>
      <c r="N38" s="55"/>
      <c r="O38" s="56"/>
      <c r="P38" s="55"/>
      <c r="Q38" s="9"/>
      <c r="R38" s="10"/>
      <c r="S38" s="9"/>
      <c r="T38" s="11"/>
      <c r="U38" s="9"/>
      <c r="V38" s="55"/>
      <c r="W38" s="56"/>
      <c r="X38" s="55"/>
      <c r="Y38" s="9"/>
      <c r="Z38" s="10"/>
      <c r="AA38" s="9"/>
      <c r="AB38" s="11"/>
      <c r="AC38" s="9"/>
      <c r="AD38" s="55"/>
      <c r="AE38" s="56"/>
      <c r="AF38" s="55"/>
      <c r="AG38" s="10"/>
      <c r="AH38" s="9"/>
      <c r="AI38" s="11"/>
      <c r="AJ38" s="9"/>
      <c r="AK38" s="55"/>
      <c r="AL38" s="56"/>
      <c r="AM38" s="55"/>
      <c r="AN38" s="10"/>
      <c r="AO38" s="9"/>
      <c r="AP38" s="11"/>
      <c r="AQ38" s="9"/>
      <c r="AR38" s="55"/>
      <c r="AS38" s="56"/>
      <c r="AT38" s="55"/>
      <c r="AU38" s="10"/>
      <c r="AV38" s="9"/>
      <c r="AW38" s="11"/>
      <c r="AX38" s="9"/>
      <c r="AY38" s="55"/>
      <c r="AZ38" s="56"/>
      <c r="BA38" s="55"/>
      <c r="BB38" s="10"/>
      <c r="BC38" s="9"/>
      <c r="BD38" s="11"/>
      <c r="BE38" s="9"/>
      <c r="BF38" s="55"/>
      <c r="BG38" s="56"/>
      <c r="BH38" s="55"/>
      <c r="BI38" s="10"/>
      <c r="BJ38" s="9"/>
      <c r="BK38" s="11"/>
      <c r="BL38" s="9"/>
      <c r="BM38" s="55"/>
      <c r="BN38" s="56"/>
      <c r="BO38" s="55"/>
      <c r="BP38" s="10"/>
      <c r="BQ38" s="9"/>
      <c r="BR38" s="11"/>
      <c r="BS38" s="9"/>
      <c r="BT38" s="55"/>
      <c r="BU38" s="56"/>
      <c r="BV38" s="55"/>
      <c r="BW38" s="10"/>
      <c r="BX38" s="9"/>
      <c r="BY38" s="11"/>
      <c r="BZ38" s="9"/>
      <c r="CA38" s="55"/>
      <c r="CB38" s="56"/>
      <c r="CC38" s="55"/>
      <c r="CD38" s="10"/>
      <c r="CE38" s="9"/>
      <c r="CF38" s="11"/>
      <c r="CG38" s="9"/>
      <c r="CH38" s="55"/>
      <c r="CI38" s="56"/>
      <c r="CJ38" s="55"/>
      <c r="CK38" s="10"/>
      <c r="CL38" s="9"/>
      <c r="CM38" s="11"/>
      <c r="CN38" s="9"/>
      <c r="CO38" s="55"/>
      <c r="CP38" s="56"/>
      <c r="CQ38" s="55"/>
    </row>
    <row r="39" spans="1:95" ht="12.75">
      <c r="A39" s="9" t="s">
        <v>29</v>
      </c>
      <c r="B39" s="9"/>
      <c r="C39" s="9"/>
      <c r="D39" s="10">
        <v>9434115.49999999</v>
      </c>
      <c r="E39" s="15">
        <v>0.07110284988881171</v>
      </c>
      <c r="F39" s="11">
        <v>1412</v>
      </c>
      <c r="G39" s="15">
        <v>0.0638885118320438</v>
      </c>
      <c r="H39" s="9"/>
      <c r="I39" s="9"/>
      <c r="J39" s="10">
        <v>9303086.470000008</v>
      </c>
      <c r="K39" s="15">
        <v>0.072257426712319</v>
      </c>
      <c r="L39" s="11">
        <v>1187</v>
      </c>
      <c r="M39" s="15">
        <v>0.06349630897614207</v>
      </c>
      <c r="N39" s="57"/>
      <c r="O39" s="56"/>
      <c r="P39" s="57"/>
      <c r="Q39" s="9"/>
      <c r="R39" s="10">
        <v>9146936.710000006</v>
      </c>
      <c r="S39" s="15">
        <v>0.07303327615078882</v>
      </c>
      <c r="T39" s="11">
        <v>1158</v>
      </c>
      <c r="U39" s="15">
        <v>0.06415867915119951</v>
      </c>
      <c r="V39" s="57"/>
      <c r="W39" s="56"/>
      <c r="X39" s="57"/>
      <c r="Y39" s="9"/>
      <c r="Z39" s="10">
        <v>8923978.770000013</v>
      </c>
      <c r="AA39" s="15">
        <v>0.073071448080527</v>
      </c>
      <c r="AB39" s="11">
        <v>1126</v>
      </c>
      <c r="AC39" s="15">
        <v>0.06462350780532598</v>
      </c>
      <c r="AD39" s="57"/>
      <c r="AE39" s="56"/>
      <c r="AF39" s="57"/>
      <c r="AG39" s="10">
        <v>8701759.83</v>
      </c>
      <c r="AH39" s="15">
        <f>+AG39/$AG$53</f>
        <v>0.0732133735294295</v>
      </c>
      <c r="AI39" s="11">
        <v>1099</v>
      </c>
      <c r="AJ39" s="15">
        <f>+AI39/$AI$53</f>
        <v>0.06523029439696107</v>
      </c>
      <c r="AK39" s="57"/>
      <c r="AL39" s="56"/>
      <c r="AM39" s="57"/>
      <c r="AN39" s="10">
        <v>8569140.510000002</v>
      </c>
      <c r="AO39" s="15">
        <v>0.07396109600888436</v>
      </c>
      <c r="AP39" s="11">
        <v>1065</v>
      </c>
      <c r="AQ39" s="15">
        <v>0.06560709665496212</v>
      </c>
      <c r="AR39" s="57"/>
      <c r="AS39" s="56"/>
      <c r="AT39" s="57"/>
      <c r="AU39" s="10">
        <v>8312477.800000007</v>
      </c>
      <c r="AV39" s="15">
        <v>0.07343354141882942</v>
      </c>
      <c r="AW39" s="11">
        <v>1037</v>
      </c>
      <c r="AX39" s="15">
        <v>0.06509730069052103</v>
      </c>
      <c r="AY39" s="57"/>
      <c r="AZ39" s="56"/>
      <c r="BA39" s="57"/>
      <c r="BB39" s="10">
        <v>7647321.09</v>
      </c>
      <c r="BC39" s="15">
        <v>0.07624798055677132</v>
      </c>
      <c r="BD39" s="11">
        <v>949</v>
      </c>
      <c r="BE39" s="15">
        <v>0.06849018475750578</v>
      </c>
      <c r="BF39" s="57"/>
      <c r="BG39" s="56"/>
      <c r="BH39" s="57"/>
      <c r="BI39" s="10">
        <v>7439706.750000003</v>
      </c>
      <c r="BJ39" s="15">
        <v>0.07604548916563139</v>
      </c>
      <c r="BK39" s="11">
        <v>916</v>
      </c>
      <c r="BL39" s="15">
        <v>0.06813448378458792</v>
      </c>
      <c r="BM39" s="57"/>
      <c r="BN39" s="56"/>
      <c r="BO39" s="57"/>
      <c r="BP39" s="10">
        <v>7074613.469999999</v>
      </c>
      <c r="BQ39" s="15">
        <v>0.07646644301391915</v>
      </c>
      <c r="BR39" s="11">
        <v>864</v>
      </c>
      <c r="BS39" s="15">
        <v>0.06843022334864565</v>
      </c>
      <c r="BT39" s="57"/>
      <c r="BU39" s="56"/>
      <c r="BV39" s="57"/>
      <c r="BW39" s="10">
        <v>6964275.479999999</v>
      </c>
      <c r="BX39" s="15">
        <v>0.0771539835119051</v>
      </c>
      <c r="BY39" s="11">
        <v>841</v>
      </c>
      <c r="BZ39" s="15">
        <v>0.06853557167305029</v>
      </c>
      <c r="CA39" s="57"/>
      <c r="CB39" s="56"/>
      <c r="CC39" s="57"/>
      <c r="CD39" s="10">
        <v>6631853.179999999</v>
      </c>
      <c r="CE39" s="15">
        <v>0.07918421097299365</v>
      </c>
      <c r="CF39" s="11">
        <v>796</v>
      </c>
      <c r="CG39" s="15">
        <v>0.06860294751357407</v>
      </c>
      <c r="CH39" s="57"/>
      <c r="CI39" s="56"/>
      <c r="CJ39" s="57"/>
      <c r="CK39" s="10">
        <v>6285335.709999999</v>
      </c>
      <c r="CL39" s="15">
        <v>0.0795306020828726</v>
      </c>
      <c r="CM39" s="11">
        <v>751</v>
      </c>
      <c r="CN39" s="15">
        <v>0.06886117733357784</v>
      </c>
      <c r="CO39" s="57"/>
      <c r="CP39" s="56"/>
      <c r="CQ39" s="57"/>
    </row>
    <row r="40" spans="1:95" ht="12.75">
      <c r="A40" s="9" t="s">
        <v>30</v>
      </c>
      <c r="B40" s="9"/>
      <c r="C40" s="9"/>
      <c r="D40" s="10">
        <v>13574300.83000002</v>
      </c>
      <c r="E40" s="15">
        <v>0.10230651450695773</v>
      </c>
      <c r="F40" s="11">
        <v>2303</v>
      </c>
      <c r="G40" s="15">
        <v>0.10420342970906293</v>
      </c>
      <c r="H40" s="9"/>
      <c r="I40" s="9"/>
      <c r="J40" s="10">
        <v>13220311.570000023</v>
      </c>
      <c r="K40" s="15">
        <v>0.10268266316386272</v>
      </c>
      <c r="L40" s="11">
        <v>1966</v>
      </c>
      <c r="M40" s="15">
        <v>0.10516743340109126</v>
      </c>
      <c r="N40" s="57"/>
      <c r="O40" s="56"/>
      <c r="P40" s="57"/>
      <c r="Q40" s="9"/>
      <c r="R40" s="10">
        <v>12875769.75000002</v>
      </c>
      <c r="S40" s="15">
        <v>0.1028059641844536</v>
      </c>
      <c r="T40" s="11">
        <v>1908</v>
      </c>
      <c r="U40" s="15">
        <v>0.1057122278242562</v>
      </c>
      <c r="V40" s="57"/>
      <c r="W40" s="56"/>
      <c r="X40" s="57"/>
      <c r="Y40" s="9"/>
      <c r="Z40" s="10">
        <v>12627665.94000002</v>
      </c>
      <c r="AA40" s="15">
        <v>0.10339803129237492</v>
      </c>
      <c r="AB40" s="11">
        <v>1838</v>
      </c>
      <c r="AC40" s="15">
        <v>0.10548668503213958</v>
      </c>
      <c r="AD40" s="57"/>
      <c r="AE40" s="56"/>
      <c r="AF40" s="57"/>
      <c r="AG40" s="10">
        <v>12295749.2</v>
      </c>
      <c r="AH40" s="15">
        <f aca="true" t="shared" si="0" ref="AH40:AH51">+AG40/$AG$53</f>
        <v>0.10345186451828145</v>
      </c>
      <c r="AI40" s="11">
        <v>1781</v>
      </c>
      <c r="AJ40" s="15">
        <f aca="true" t="shared" si="1" ref="AJ40:AJ51">+AI40/$AI$53</f>
        <v>0.10570987654320987</v>
      </c>
      <c r="AK40" s="57"/>
      <c r="AL40" s="56"/>
      <c r="AM40" s="57"/>
      <c r="AN40" s="10">
        <v>12018962.090000015</v>
      </c>
      <c r="AO40" s="15">
        <v>0.1037368459565185</v>
      </c>
      <c r="AP40" s="11">
        <v>1727</v>
      </c>
      <c r="AQ40" s="15">
        <v>0.10638822152405593</v>
      </c>
      <c r="AR40" s="57"/>
      <c r="AS40" s="56"/>
      <c r="AT40" s="57"/>
      <c r="AU40" s="10">
        <v>11840709.27000001</v>
      </c>
      <c r="AV40" s="15">
        <v>0.10460241043974428</v>
      </c>
      <c r="AW40" s="11">
        <v>1694</v>
      </c>
      <c r="AX40" s="15">
        <v>0.10634023854362837</v>
      </c>
      <c r="AY40" s="57"/>
      <c r="AZ40" s="56"/>
      <c r="BA40" s="57"/>
      <c r="BB40" s="10">
        <v>10745549.190000003</v>
      </c>
      <c r="BC40" s="15">
        <v>0.1071390119583628</v>
      </c>
      <c r="BD40" s="11">
        <v>1523</v>
      </c>
      <c r="BE40" s="15">
        <v>0.1099162817551963</v>
      </c>
      <c r="BF40" s="57"/>
      <c r="BG40" s="56"/>
      <c r="BH40" s="57"/>
      <c r="BI40" s="10">
        <v>10525975.920000006</v>
      </c>
      <c r="BJ40" s="15">
        <v>0.10759200794870806</v>
      </c>
      <c r="BK40" s="11">
        <v>1493</v>
      </c>
      <c r="BL40" s="15">
        <v>0.11105325795894079</v>
      </c>
      <c r="BM40" s="57"/>
      <c r="BN40" s="56"/>
      <c r="BO40" s="57"/>
      <c r="BP40" s="10">
        <v>9971498.129999993</v>
      </c>
      <c r="BQ40" s="15">
        <v>0.10777761877088755</v>
      </c>
      <c r="BR40" s="11">
        <v>1404</v>
      </c>
      <c r="BS40" s="15">
        <v>0.11119911294154919</v>
      </c>
      <c r="BT40" s="57"/>
      <c r="BU40" s="56"/>
      <c r="BV40" s="57"/>
      <c r="BW40" s="10">
        <v>9673126.399999999</v>
      </c>
      <c r="BX40" s="15">
        <v>0.1071640886288108</v>
      </c>
      <c r="BY40" s="11">
        <v>1351</v>
      </c>
      <c r="BZ40" s="15">
        <v>0.11009697661152311</v>
      </c>
      <c r="CA40" s="57"/>
      <c r="CB40" s="56"/>
      <c r="CC40" s="57"/>
      <c r="CD40" s="10">
        <v>9148437.540000005</v>
      </c>
      <c r="CE40" s="15">
        <v>0.10923218421440017</v>
      </c>
      <c r="CF40" s="11">
        <v>1292</v>
      </c>
      <c r="CG40" s="15">
        <v>0.11135051279841421</v>
      </c>
      <c r="CH40" s="57"/>
      <c r="CI40" s="56"/>
      <c r="CJ40" s="57"/>
      <c r="CK40" s="10">
        <v>8733966.469999999</v>
      </c>
      <c r="CL40" s="15">
        <v>0.11051400338498729</v>
      </c>
      <c r="CM40" s="11">
        <v>1215</v>
      </c>
      <c r="CN40" s="15">
        <v>0.11140656519347149</v>
      </c>
      <c r="CO40" s="57"/>
      <c r="CP40" s="56"/>
      <c r="CQ40" s="57"/>
    </row>
    <row r="41" spans="1:95" ht="12.75">
      <c r="A41" s="9" t="s">
        <v>31</v>
      </c>
      <c r="B41" s="9"/>
      <c r="C41" s="9"/>
      <c r="D41" s="10">
        <v>11985734.269999994</v>
      </c>
      <c r="E41" s="15">
        <v>0.09033383835580523</v>
      </c>
      <c r="F41" s="11">
        <v>1785</v>
      </c>
      <c r="G41" s="15">
        <v>0.08076557621827067</v>
      </c>
      <c r="H41" s="9"/>
      <c r="I41" s="9"/>
      <c r="J41" s="10">
        <v>11705629.939999986</v>
      </c>
      <c r="K41" s="15">
        <v>0.09091807329090378</v>
      </c>
      <c r="L41" s="11">
        <v>1540</v>
      </c>
      <c r="M41" s="15">
        <v>0.08237937306087514</v>
      </c>
      <c r="N41" s="57"/>
      <c r="O41" s="56"/>
      <c r="P41" s="57"/>
      <c r="Q41" s="9"/>
      <c r="R41" s="10">
        <v>11266487.769999983</v>
      </c>
      <c r="S41" s="15">
        <v>0.08995672962909274</v>
      </c>
      <c r="T41" s="11">
        <v>1484</v>
      </c>
      <c r="U41" s="15">
        <v>0.08222062164108815</v>
      </c>
      <c r="V41" s="57"/>
      <c r="W41" s="56"/>
      <c r="X41" s="57"/>
      <c r="Y41" s="9"/>
      <c r="Z41" s="10">
        <v>11126584.360000007</v>
      </c>
      <c r="AA41" s="15">
        <v>0.09110685405354714</v>
      </c>
      <c r="AB41" s="11">
        <v>1444</v>
      </c>
      <c r="AC41" s="15">
        <v>0.08287419651056015</v>
      </c>
      <c r="AD41" s="57"/>
      <c r="AE41" s="56"/>
      <c r="AF41" s="57"/>
      <c r="AG41" s="10">
        <v>10859379.76</v>
      </c>
      <c r="AH41" s="15">
        <f t="shared" si="0"/>
        <v>0.09136678582254165</v>
      </c>
      <c r="AI41" s="11">
        <v>1396</v>
      </c>
      <c r="AJ41" s="15">
        <f t="shared" si="1"/>
        <v>0.08285849952516619</v>
      </c>
      <c r="AK41" s="57"/>
      <c r="AL41" s="56"/>
      <c r="AM41" s="57"/>
      <c r="AN41" s="10">
        <v>10593860.909999989</v>
      </c>
      <c r="AO41" s="15">
        <v>0.09143665726509088</v>
      </c>
      <c r="AP41" s="11">
        <v>1339</v>
      </c>
      <c r="AQ41" s="15">
        <v>0.08248629335304626</v>
      </c>
      <c r="AR41" s="57"/>
      <c r="AS41" s="56"/>
      <c r="AT41" s="57"/>
      <c r="AU41" s="10">
        <v>10362531.179999987</v>
      </c>
      <c r="AV41" s="15">
        <v>0.09154398735482214</v>
      </c>
      <c r="AW41" s="11">
        <v>1302</v>
      </c>
      <c r="AX41" s="15">
        <v>0.08173258003766479</v>
      </c>
      <c r="AY41" s="57"/>
      <c r="AZ41" s="56"/>
      <c r="BA41" s="57"/>
      <c r="BB41" s="10">
        <v>9333827.350000015</v>
      </c>
      <c r="BC41" s="15">
        <v>0.09306337185628248</v>
      </c>
      <c r="BD41" s="11">
        <v>1169</v>
      </c>
      <c r="BE41" s="15">
        <v>0.08436778290993072</v>
      </c>
      <c r="BF41" s="57"/>
      <c r="BG41" s="56"/>
      <c r="BH41" s="57"/>
      <c r="BI41" s="10">
        <v>9091508.449999992</v>
      </c>
      <c r="BJ41" s="15">
        <v>0.09292949716515646</v>
      </c>
      <c r="BK41" s="11">
        <v>1135</v>
      </c>
      <c r="BL41" s="15">
        <v>0.08442427848854507</v>
      </c>
      <c r="BM41" s="57"/>
      <c r="BN41" s="56"/>
      <c r="BO41" s="57"/>
      <c r="BP41" s="10">
        <v>8502112.28</v>
      </c>
      <c r="BQ41" s="15">
        <v>0.09189566142566405</v>
      </c>
      <c r="BR41" s="11">
        <v>1058</v>
      </c>
      <c r="BS41" s="15">
        <v>0.08379534294313322</v>
      </c>
      <c r="BT41" s="57"/>
      <c r="BU41" s="56"/>
      <c r="BV41" s="57"/>
      <c r="BW41" s="10">
        <v>8322033.099999998</v>
      </c>
      <c r="BX41" s="15">
        <v>0.09219595152817367</v>
      </c>
      <c r="BY41" s="11">
        <v>1027</v>
      </c>
      <c r="BZ41" s="15">
        <v>0.0836932605329639</v>
      </c>
      <c r="CA41" s="57"/>
      <c r="CB41" s="56"/>
      <c r="CC41" s="57"/>
      <c r="CD41" s="10">
        <v>7722627.569999998</v>
      </c>
      <c r="CE41" s="15">
        <v>0.0922080381111117</v>
      </c>
      <c r="CF41" s="11">
        <v>974</v>
      </c>
      <c r="CG41" s="15">
        <v>0.08394380763595621</v>
      </c>
      <c r="CH41" s="57"/>
      <c r="CI41" s="56"/>
      <c r="CJ41" s="57"/>
      <c r="CK41" s="10">
        <v>7297477.540000001</v>
      </c>
      <c r="CL41" s="15">
        <v>0.09233759487485517</v>
      </c>
      <c r="CM41" s="11">
        <v>920</v>
      </c>
      <c r="CN41" s="15">
        <v>0.0843572345497891</v>
      </c>
      <c r="CO41" s="57"/>
      <c r="CP41" s="56"/>
      <c r="CQ41" s="57"/>
    </row>
    <row r="42" spans="1:95" ht="12.75">
      <c r="A42" s="9" t="s">
        <v>32</v>
      </c>
      <c r="B42" s="9"/>
      <c r="C42" s="9"/>
      <c r="D42" s="10">
        <v>9296497.759999998</v>
      </c>
      <c r="E42" s="15">
        <v>0.07006565530398212</v>
      </c>
      <c r="F42" s="11">
        <v>1487</v>
      </c>
      <c r="G42" s="15">
        <v>0.06728202343785349</v>
      </c>
      <c r="H42" s="9"/>
      <c r="I42" s="9"/>
      <c r="J42" s="10">
        <v>9044087.68</v>
      </c>
      <c r="K42" s="15">
        <v>0.07024577325221686</v>
      </c>
      <c r="L42" s="11">
        <v>1271</v>
      </c>
      <c r="M42" s="15">
        <v>0.06798972932491709</v>
      </c>
      <c r="N42" s="57"/>
      <c r="O42" s="56"/>
      <c r="P42" s="57"/>
      <c r="Q42" s="9"/>
      <c r="R42" s="10">
        <v>8813947.109999998</v>
      </c>
      <c r="S42" s="15">
        <v>0.07037453670793753</v>
      </c>
      <c r="T42" s="11">
        <v>1230</v>
      </c>
      <c r="U42" s="15">
        <v>0.06814781982381295</v>
      </c>
      <c r="V42" s="57"/>
      <c r="W42" s="56"/>
      <c r="X42" s="57"/>
      <c r="Y42" s="9"/>
      <c r="Z42" s="10">
        <v>8621393.610000003</v>
      </c>
      <c r="AA42" s="15">
        <v>0.07059381603110891</v>
      </c>
      <c r="AB42" s="11">
        <v>1189</v>
      </c>
      <c r="AC42" s="15">
        <v>0.06823921028466483</v>
      </c>
      <c r="AD42" s="57"/>
      <c r="AE42" s="56"/>
      <c r="AF42" s="57"/>
      <c r="AG42" s="10">
        <v>8336477.48</v>
      </c>
      <c r="AH42" s="15">
        <f t="shared" si="0"/>
        <v>0.07014002357991041</v>
      </c>
      <c r="AI42" s="11">
        <v>1144</v>
      </c>
      <c r="AJ42" s="15">
        <f t="shared" si="1"/>
        <v>0.06790123456790123</v>
      </c>
      <c r="AK42" s="57"/>
      <c r="AL42" s="56"/>
      <c r="AM42" s="57"/>
      <c r="AN42" s="10">
        <v>8119737.760000001</v>
      </c>
      <c r="AO42" s="15">
        <v>0.07008225659662146</v>
      </c>
      <c r="AP42" s="11">
        <v>1107</v>
      </c>
      <c r="AQ42" s="15">
        <v>0.06819441877656625</v>
      </c>
      <c r="AR42" s="57"/>
      <c r="AS42" s="56"/>
      <c r="AT42" s="57"/>
      <c r="AU42" s="10">
        <v>7829479.550000004</v>
      </c>
      <c r="AV42" s="15">
        <v>0.06916667023433166</v>
      </c>
      <c r="AW42" s="11">
        <v>1066</v>
      </c>
      <c r="AX42" s="15">
        <v>0.06691776522284996</v>
      </c>
      <c r="AY42" s="57"/>
      <c r="AZ42" s="56"/>
      <c r="BA42" s="57"/>
      <c r="BB42" s="10">
        <v>7137339.070000002</v>
      </c>
      <c r="BC42" s="15">
        <v>0.07116318044342042</v>
      </c>
      <c r="BD42" s="11">
        <v>942</v>
      </c>
      <c r="BE42" s="15">
        <v>0.0679849884526559</v>
      </c>
      <c r="BF42" s="57"/>
      <c r="BG42" s="56"/>
      <c r="BH42" s="57"/>
      <c r="BI42" s="10">
        <v>6927423.940000002</v>
      </c>
      <c r="BJ42" s="15">
        <v>0.07080915416121818</v>
      </c>
      <c r="BK42" s="11">
        <v>919</v>
      </c>
      <c r="BL42" s="15">
        <v>0.06835763165724487</v>
      </c>
      <c r="BM42" s="57"/>
      <c r="BN42" s="56"/>
      <c r="BO42" s="57"/>
      <c r="BP42" s="10">
        <v>6674165.280000001</v>
      </c>
      <c r="BQ42" s="15">
        <v>0.07213817139448579</v>
      </c>
      <c r="BR42" s="11">
        <v>879</v>
      </c>
      <c r="BS42" s="15">
        <v>0.06961824805955964</v>
      </c>
      <c r="BT42" s="57"/>
      <c r="BU42" s="56"/>
      <c r="BV42" s="57"/>
      <c r="BW42" s="10">
        <v>6456901.619999997</v>
      </c>
      <c r="BX42" s="15">
        <v>0.07153302343626895</v>
      </c>
      <c r="BY42" s="11">
        <v>847</v>
      </c>
      <c r="BZ42" s="15">
        <v>0.06902452937820878</v>
      </c>
      <c r="CA42" s="57"/>
      <c r="CB42" s="56"/>
      <c r="CC42" s="57"/>
      <c r="CD42" s="10">
        <v>6019072.570000005</v>
      </c>
      <c r="CE42" s="15">
        <v>0.0718676212075973</v>
      </c>
      <c r="CF42" s="11">
        <v>794</v>
      </c>
      <c r="CG42" s="15">
        <v>0.06843057829871585</v>
      </c>
      <c r="CH42" s="57"/>
      <c r="CI42" s="56"/>
      <c r="CJ42" s="57"/>
      <c r="CK42" s="10">
        <v>5547574.730000002</v>
      </c>
      <c r="CL42" s="15">
        <v>0.07019544837910173</v>
      </c>
      <c r="CM42" s="11">
        <v>741</v>
      </c>
      <c r="CN42" s="15">
        <v>0.06794425087108014</v>
      </c>
      <c r="CO42" s="57"/>
      <c r="CP42" s="56"/>
      <c r="CQ42" s="57"/>
    </row>
    <row r="43" spans="1:95" ht="12.75">
      <c r="A43" s="9" t="s">
        <v>33</v>
      </c>
      <c r="B43" s="9"/>
      <c r="C43" s="9"/>
      <c r="D43" s="10">
        <v>12348945.710000003</v>
      </c>
      <c r="E43" s="15">
        <v>0.09307128295209195</v>
      </c>
      <c r="F43" s="11">
        <v>1924</v>
      </c>
      <c r="G43" s="15">
        <v>0.0870548843943713</v>
      </c>
      <c r="H43" s="9"/>
      <c r="I43" s="9"/>
      <c r="J43" s="10">
        <v>12114450.249999983</v>
      </c>
      <c r="K43" s="15">
        <v>0.09409339619944515</v>
      </c>
      <c r="L43" s="11">
        <v>1677</v>
      </c>
      <c r="M43" s="15">
        <v>0.08970792767732963</v>
      </c>
      <c r="N43" s="57"/>
      <c r="O43" s="56"/>
      <c r="P43" s="57"/>
      <c r="Q43" s="9"/>
      <c r="R43" s="10">
        <v>11860794.669999985</v>
      </c>
      <c r="S43" s="15">
        <v>0.09470194448321621</v>
      </c>
      <c r="T43" s="11">
        <v>1630</v>
      </c>
      <c r="U43" s="15">
        <v>0.09030971244944318</v>
      </c>
      <c r="V43" s="57"/>
      <c r="W43" s="56"/>
      <c r="X43" s="57"/>
      <c r="Y43" s="9"/>
      <c r="Z43" s="10">
        <v>11612054.99999999</v>
      </c>
      <c r="AA43" s="15">
        <v>0.09508199155439297</v>
      </c>
      <c r="AB43" s="11">
        <v>1581</v>
      </c>
      <c r="AC43" s="15">
        <v>0.09073691460055096</v>
      </c>
      <c r="AD43" s="57"/>
      <c r="AE43" s="56"/>
      <c r="AF43" s="57"/>
      <c r="AG43" s="10">
        <v>11375669.66</v>
      </c>
      <c r="AH43" s="15">
        <f t="shared" si="0"/>
        <v>0.09571065718151156</v>
      </c>
      <c r="AI43" s="11">
        <v>1537</v>
      </c>
      <c r="AJ43" s="15">
        <f t="shared" si="1"/>
        <v>0.09122744539411207</v>
      </c>
      <c r="AK43" s="57"/>
      <c r="AL43" s="56"/>
      <c r="AM43" s="57"/>
      <c r="AN43" s="10">
        <v>11084659.349999998</v>
      </c>
      <c r="AO43" s="15">
        <v>0.09567278695621802</v>
      </c>
      <c r="AP43" s="11">
        <v>1487</v>
      </c>
      <c r="AQ43" s="15">
        <v>0.091603523686318</v>
      </c>
      <c r="AR43" s="57"/>
      <c r="AS43" s="56"/>
      <c r="AT43" s="57"/>
      <c r="AU43" s="10">
        <v>10842688.47999999</v>
      </c>
      <c r="AV43" s="15">
        <v>0.09578576120679001</v>
      </c>
      <c r="AW43" s="11">
        <v>1447</v>
      </c>
      <c r="AX43" s="15">
        <v>0.09083490269930948</v>
      </c>
      <c r="AY43" s="57"/>
      <c r="AZ43" s="56"/>
      <c r="BA43" s="57"/>
      <c r="BB43" s="10">
        <v>9833504.490000019</v>
      </c>
      <c r="BC43" s="15">
        <v>0.09804542667090299</v>
      </c>
      <c r="BD43" s="11">
        <v>1300</v>
      </c>
      <c r="BE43" s="15">
        <v>0.09382217090069284</v>
      </c>
      <c r="BF43" s="57"/>
      <c r="BG43" s="56"/>
      <c r="BH43" s="57"/>
      <c r="BI43" s="10">
        <v>9663307.330000004</v>
      </c>
      <c r="BJ43" s="15">
        <v>0.0987741798919267</v>
      </c>
      <c r="BK43" s="11">
        <v>1277</v>
      </c>
      <c r="BL43" s="15">
        <v>0.09498661112764058</v>
      </c>
      <c r="BM43" s="57"/>
      <c r="BN43" s="56"/>
      <c r="BO43" s="57"/>
      <c r="BP43" s="10">
        <v>9092551.27</v>
      </c>
      <c r="BQ43" s="15">
        <v>0.09827746158668839</v>
      </c>
      <c r="BR43" s="11">
        <v>1196</v>
      </c>
      <c r="BS43" s="15">
        <v>0.0947251702835419</v>
      </c>
      <c r="BT43" s="57"/>
      <c r="BU43" s="56"/>
      <c r="BV43" s="57"/>
      <c r="BW43" s="10">
        <v>8872066.390000002</v>
      </c>
      <c r="BX43" s="15">
        <v>0.09828951567702598</v>
      </c>
      <c r="BY43" s="11">
        <v>1163</v>
      </c>
      <c r="BZ43" s="15">
        <v>0.09477630184988999</v>
      </c>
      <c r="CA43" s="57"/>
      <c r="CB43" s="56"/>
      <c r="CC43" s="57"/>
      <c r="CD43" s="10">
        <v>8333245.460000003</v>
      </c>
      <c r="CE43" s="15">
        <v>0.09949880503753582</v>
      </c>
      <c r="CF43" s="11">
        <v>1111</v>
      </c>
      <c r="CG43" s="15">
        <v>0.09575109885374472</v>
      </c>
      <c r="CH43" s="57"/>
      <c r="CI43" s="56"/>
      <c r="CJ43" s="57"/>
      <c r="CK43" s="10">
        <v>7881608.120000002</v>
      </c>
      <c r="CL43" s="15">
        <v>0.09972880814744228</v>
      </c>
      <c r="CM43" s="11">
        <v>1041</v>
      </c>
      <c r="CN43" s="15">
        <v>0.09545204474601136</v>
      </c>
      <c r="CO43" s="57"/>
      <c r="CP43" s="56"/>
      <c r="CQ43" s="57"/>
    </row>
    <row r="44" spans="1:95" ht="12.75">
      <c r="A44" s="9" t="s">
        <v>40</v>
      </c>
      <c r="B44" s="9"/>
      <c r="C44" s="9"/>
      <c r="D44" s="10">
        <v>5676236.780000002</v>
      </c>
      <c r="E44" s="15">
        <v>0.042780545955971444</v>
      </c>
      <c r="F44" s="11">
        <v>953</v>
      </c>
      <c r="G44" s="15">
        <v>0.043120220804488484</v>
      </c>
      <c r="H44" s="9"/>
      <c r="I44" s="9"/>
      <c r="J44" s="10">
        <v>5409891.749999997</v>
      </c>
      <c r="K44" s="15">
        <v>0.04201883513689448</v>
      </c>
      <c r="L44" s="11">
        <v>819</v>
      </c>
      <c r="M44" s="15">
        <v>0.04381084840055633</v>
      </c>
      <c r="N44" s="57"/>
      <c r="O44" s="56"/>
      <c r="P44" s="57"/>
      <c r="Q44" s="9"/>
      <c r="R44" s="10">
        <v>5254478.41</v>
      </c>
      <c r="S44" s="15">
        <v>0.04195413009979024</v>
      </c>
      <c r="T44" s="11">
        <v>783</v>
      </c>
      <c r="U44" s="15">
        <v>0.04338190481467117</v>
      </c>
      <c r="V44" s="57"/>
      <c r="W44" s="56"/>
      <c r="X44" s="57"/>
      <c r="Y44" s="9"/>
      <c r="Z44" s="10">
        <v>5058910.57</v>
      </c>
      <c r="AA44" s="15">
        <v>0.04142344245623789</v>
      </c>
      <c r="AB44" s="11">
        <v>749</v>
      </c>
      <c r="AC44" s="15">
        <v>0.04298668503213958</v>
      </c>
      <c r="AD44" s="57"/>
      <c r="AE44" s="56"/>
      <c r="AF44" s="57"/>
      <c r="AG44" s="10">
        <v>4922780.18</v>
      </c>
      <c r="AH44" s="15">
        <f t="shared" si="0"/>
        <v>0.04141844306930408</v>
      </c>
      <c r="AI44" s="11">
        <v>728</v>
      </c>
      <c r="AJ44" s="15">
        <f t="shared" si="1"/>
        <v>0.043209876543209874</v>
      </c>
      <c r="AK44" s="57"/>
      <c r="AL44" s="56"/>
      <c r="AM44" s="57"/>
      <c r="AN44" s="10">
        <v>4767670.24</v>
      </c>
      <c r="AO44" s="15">
        <v>0.04115023157198066</v>
      </c>
      <c r="AP44" s="11">
        <v>701</v>
      </c>
      <c r="AQ44" s="15">
        <v>0.04318363826772623</v>
      </c>
      <c r="AR44" s="57"/>
      <c r="AS44" s="56"/>
      <c r="AT44" s="57"/>
      <c r="AU44" s="10">
        <v>4647118.49</v>
      </c>
      <c r="AV44" s="15">
        <v>0.04105326670630296</v>
      </c>
      <c r="AW44" s="11">
        <v>678</v>
      </c>
      <c r="AX44" s="15">
        <v>0.04256120527306968</v>
      </c>
      <c r="AY44" s="57"/>
      <c r="AZ44" s="56"/>
      <c r="BA44" s="57"/>
      <c r="BB44" s="10">
        <v>3938616.73</v>
      </c>
      <c r="BC44" s="15">
        <v>0.03927016641714129</v>
      </c>
      <c r="BD44" s="11">
        <v>597</v>
      </c>
      <c r="BE44" s="15">
        <v>0.043086027713625866</v>
      </c>
      <c r="BF44" s="57"/>
      <c r="BG44" s="56"/>
      <c r="BH44" s="57"/>
      <c r="BI44" s="10">
        <v>3814617.18</v>
      </c>
      <c r="BJ44" s="15">
        <v>0.03899137952349012</v>
      </c>
      <c r="BK44" s="11">
        <v>571</v>
      </c>
      <c r="BL44" s="15">
        <v>0.04247247842903898</v>
      </c>
      <c r="BM44" s="57"/>
      <c r="BN44" s="56"/>
      <c r="BO44" s="57"/>
      <c r="BP44" s="10">
        <v>3623877.67</v>
      </c>
      <c r="BQ44" s="15">
        <v>0.03916892937225999</v>
      </c>
      <c r="BR44" s="11">
        <v>529</v>
      </c>
      <c r="BS44" s="15">
        <v>0.04189767147156661</v>
      </c>
      <c r="BT44" s="57"/>
      <c r="BU44" s="56"/>
      <c r="BV44" s="57"/>
      <c r="BW44" s="10">
        <v>3532290.08</v>
      </c>
      <c r="BX44" s="15">
        <v>0.039132606309764444</v>
      </c>
      <c r="BY44" s="11">
        <v>515</v>
      </c>
      <c r="BZ44" s="15">
        <v>0.041968869692771575</v>
      </c>
      <c r="CA44" s="57"/>
      <c r="CB44" s="56"/>
      <c r="CC44" s="57"/>
      <c r="CD44" s="10">
        <v>3333892.19</v>
      </c>
      <c r="CE44" s="15">
        <v>0.03980661443626469</v>
      </c>
      <c r="CF44" s="11">
        <v>493</v>
      </c>
      <c r="CG44" s="15">
        <v>0.04248901146255279</v>
      </c>
      <c r="CH44" s="57"/>
      <c r="CI44" s="56"/>
      <c r="CJ44" s="57"/>
      <c r="CK44" s="10">
        <v>3171853.52</v>
      </c>
      <c r="CL44" s="15">
        <v>0.040134597705407025</v>
      </c>
      <c r="CM44" s="11">
        <v>475</v>
      </c>
      <c r="CN44" s="15">
        <v>0.04355400696864112</v>
      </c>
      <c r="CO44" s="57"/>
      <c r="CP44" s="56"/>
      <c r="CQ44" s="57"/>
    </row>
    <row r="45" spans="1:95" ht="12.75">
      <c r="A45" s="9" t="s">
        <v>34</v>
      </c>
      <c r="B45" s="9"/>
      <c r="C45" s="9"/>
      <c r="D45" s="10">
        <v>28499419.519999992</v>
      </c>
      <c r="E45" s="15">
        <v>0.21479384559674217</v>
      </c>
      <c r="F45" s="11">
        <v>4677</v>
      </c>
      <c r="G45" s="15">
        <v>0.2116193837382924</v>
      </c>
      <c r="H45" s="9"/>
      <c r="I45" s="9"/>
      <c r="J45" s="10">
        <v>27485561.930000007</v>
      </c>
      <c r="K45" s="15">
        <v>0.21348140568276142</v>
      </c>
      <c r="L45" s="11">
        <v>3994</v>
      </c>
      <c r="M45" s="15">
        <v>0.2136514389643736</v>
      </c>
      <c r="N45" s="57"/>
      <c r="O45" s="56"/>
      <c r="P45" s="57"/>
      <c r="Q45" s="9"/>
      <c r="R45" s="10">
        <v>26637385.429999992</v>
      </c>
      <c r="S45" s="15">
        <v>0.21268492258368174</v>
      </c>
      <c r="T45" s="11">
        <v>3827</v>
      </c>
      <c r="U45" s="15">
        <v>0.21203390769571723</v>
      </c>
      <c r="V45" s="57"/>
      <c r="W45" s="56"/>
      <c r="X45" s="57"/>
      <c r="Y45" s="9"/>
      <c r="Z45" s="10">
        <v>25880782.35000001</v>
      </c>
      <c r="AA45" s="15">
        <v>0.21191738489214745</v>
      </c>
      <c r="AB45" s="11">
        <v>3690</v>
      </c>
      <c r="AC45" s="15">
        <v>0.21177685950413222</v>
      </c>
      <c r="AD45" s="57"/>
      <c r="AE45" s="56"/>
      <c r="AF45" s="57"/>
      <c r="AG45" s="10">
        <f>25038226.88-70.45</f>
        <v>25038156.43</v>
      </c>
      <c r="AH45" s="15">
        <f t="shared" si="0"/>
        <v>0.21066174371740584</v>
      </c>
      <c r="AI45" s="11">
        <v>3536</v>
      </c>
      <c r="AJ45" s="15">
        <f t="shared" si="1"/>
        <v>0.20987654320987653</v>
      </c>
      <c r="AK45" s="57"/>
      <c r="AL45" s="56"/>
      <c r="AM45" s="57"/>
      <c r="AN45" s="10">
        <v>24316087.249999985</v>
      </c>
      <c r="AO45" s="15">
        <v>0.2098745447759798</v>
      </c>
      <c r="AP45" s="11">
        <v>3382</v>
      </c>
      <c r="AQ45" s="15">
        <v>0.2083410336967905</v>
      </c>
      <c r="AR45" s="57"/>
      <c r="AS45" s="56"/>
      <c r="AT45" s="57"/>
      <c r="AU45" s="10">
        <v>23674492.020000022</v>
      </c>
      <c r="AV45" s="15">
        <v>0.2091436310747701</v>
      </c>
      <c r="AW45" s="11">
        <v>3268</v>
      </c>
      <c r="AX45" s="15">
        <v>0.20514752040175768</v>
      </c>
      <c r="AY45" s="57"/>
      <c r="AZ45" s="56"/>
      <c r="BA45" s="57"/>
      <c r="BB45" s="10">
        <v>21037443.04999996</v>
      </c>
      <c r="BC45" s="15">
        <v>0.20975483175907564</v>
      </c>
      <c r="BD45" s="11">
        <v>2856</v>
      </c>
      <c r="BE45" s="15">
        <v>0.2061200923787529</v>
      </c>
      <c r="BF45" s="57"/>
      <c r="BG45" s="56"/>
      <c r="BH45" s="57"/>
      <c r="BI45" s="10">
        <v>20546275.98000001</v>
      </c>
      <c r="BJ45" s="15">
        <v>0.21001521430010164</v>
      </c>
      <c r="BK45" s="11">
        <v>2768</v>
      </c>
      <c r="BL45" s="15">
        <v>0.2058911038381434</v>
      </c>
      <c r="BM45" s="57"/>
      <c r="BN45" s="56"/>
      <c r="BO45" s="57"/>
      <c r="BP45" s="10">
        <v>19512217.350000013</v>
      </c>
      <c r="BQ45" s="15">
        <v>0.21089913426308798</v>
      </c>
      <c r="BR45" s="11">
        <v>2610</v>
      </c>
      <c r="BS45" s="15">
        <v>0.20671629969903374</v>
      </c>
      <c r="BT45" s="57"/>
      <c r="BU45" s="56"/>
      <c r="BV45" s="57"/>
      <c r="BW45" s="10">
        <v>19056415.850000013</v>
      </c>
      <c r="BX45" s="15">
        <v>0.21111720788605395</v>
      </c>
      <c r="BY45" s="11">
        <v>2551</v>
      </c>
      <c r="BZ45" s="15">
        <v>0.20788851764322386</v>
      </c>
      <c r="CA45" s="57"/>
      <c r="CB45" s="56"/>
      <c r="CC45" s="57"/>
      <c r="CD45" s="10">
        <v>17405460.140000004</v>
      </c>
      <c r="CE45" s="15">
        <v>0.20782088963673231</v>
      </c>
      <c r="CF45" s="11">
        <v>2396</v>
      </c>
      <c r="CG45" s="15">
        <v>0.20649831940015514</v>
      </c>
      <c r="CH45" s="57"/>
      <c r="CI45" s="56"/>
      <c r="CJ45" s="57"/>
      <c r="CK45" s="10">
        <v>16378112.129999997</v>
      </c>
      <c r="CL45" s="15">
        <v>0.20723811404493764</v>
      </c>
      <c r="CM45" s="11">
        <v>2236</v>
      </c>
      <c r="CN45" s="15">
        <v>0.20502475701448744</v>
      </c>
      <c r="CO45" s="57"/>
      <c r="CP45" s="56"/>
      <c r="CQ45" s="57"/>
    </row>
    <row r="46" spans="1:95" ht="12.75">
      <c r="A46" s="9" t="s">
        <v>35</v>
      </c>
      <c r="B46" s="9"/>
      <c r="C46" s="9"/>
      <c r="D46" s="10">
        <v>9758032.489999995</v>
      </c>
      <c r="E46" s="15">
        <v>0.07354414087326129</v>
      </c>
      <c r="F46" s="11">
        <v>1697</v>
      </c>
      <c r="G46" s="15">
        <v>0.07678385593412063</v>
      </c>
      <c r="H46" s="9"/>
      <c r="I46" s="9"/>
      <c r="J46" s="10">
        <v>9474407.539999986</v>
      </c>
      <c r="K46" s="15">
        <v>0.0735880839839373</v>
      </c>
      <c r="L46" s="11">
        <v>1461</v>
      </c>
      <c r="M46" s="15">
        <v>0.07815341820905103</v>
      </c>
      <c r="N46" s="57"/>
      <c r="O46" s="56"/>
      <c r="P46" s="57"/>
      <c r="Q46" s="9"/>
      <c r="R46" s="10">
        <v>9197332.389999988</v>
      </c>
      <c r="S46" s="15">
        <v>0.07343565803348202</v>
      </c>
      <c r="T46" s="11">
        <v>1408</v>
      </c>
      <c r="U46" s="15">
        <v>0.07800986204221841</v>
      </c>
      <c r="V46" s="57"/>
      <c r="W46" s="56"/>
      <c r="X46" s="57"/>
      <c r="Y46" s="9"/>
      <c r="Z46" s="10">
        <v>8874482.389999991</v>
      </c>
      <c r="AA46" s="15">
        <v>0.07266616112786142</v>
      </c>
      <c r="AB46" s="11">
        <v>1350</v>
      </c>
      <c r="AC46" s="15">
        <v>0.07747933884297521</v>
      </c>
      <c r="AD46" s="57"/>
      <c r="AE46" s="56"/>
      <c r="AF46" s="57"/>
      <c r="AG46" s="10">
        <v>8647392.38</v>
      </c>
      <c r="AH46" s="15">
        <f t="shared" si="0"/>
        <v>0.07275594600873768</v>
      </c>
      <c r="AI46" s="11">
        <v>1301</v>
      </c>
      <c r="AJ46" s="15">
        <f t="shared" si="1"/>
        <v>0.07721984805318138</v>
      </c>
      <c r="AK46" s="57"/>
      <c r="AL46" s="56"/>
      <c r="AM46" s="57"/>
      <c r="AN46" s="10">
        <v>8362542.72</v>
      </c>
      <c r="AO46" s="15">
        <v>0.07217793012852777</v>
      </c>
      <c r="AP46" s="11">
        <v>1248</v>
      </c>
      <c r="AQ46" s="15">
        <v>0.0768804287562373</v>
      </c>
      <c r="AR46" s="57"/>
      <c r="AS46" s="56"/>
      <c r="AT46" s="57"/>
      <c r="AU46" s="10">
        <v>8160624.099999996</v>
      </c>
      <c r="AV46" s="15">
        <v>0.07209204550908356</v>
      </c>
      <c r="AW46" s="11">
        <v>1196</v>
      </c>
      <c r="AX46" s="15">
        <v>0.07507846829880728</v>
      </c>
      <c r="AY46" s="57"/>
      <c r="AZ46" s="56"/>
      <c r="BA46" s="57"/>
      <c r="BB46" s="10">
        <v>7073294.199999999</v>
      </c>
      <c r="BC46" s="15">
        <v>0.07052461800501217</v>
      </c>
      <c r="BD46" s="11">
        <v>1068</v>
      </c>
      <c r="BE46" s="15">
        <v>0.0770785219399538</v>
      </c>
      <c r="BF46" s="57"/>
      <c r="BG46" s="56"/>
      <c r="BH46" s="57"/>
      <c r="BI46" s="10">
        <v>6900576.180000008</v>
      </c>
      <c r="BJ46" s="15">
        <v>0.07053472788195643</v>
      </c>
      <c r="BK46" s="11">
        <v>1033</v>
      </c>
      <c r="BL46" s="15">
        <v>0.07683725081820887</v>
      </c>
      <c r="BM46" s="57"/>
      <c r="BN46" s="56"/>
      <c r="BO46" s="57"/>
      <c r="BP46" s="10">
        <v>6534877.439999999</v>
      </c>
      <c r="BQ46" s="15">
        <v>0.07063266925997949</v>
      </c>
      <c r="BR46" s="11">
        <v>972</v>
      </c>
      <c r="BS46" s="15">
        <v>0.07698400126722636</v>
      </c>
      <c r="BT46" s="57"/>
      <c r="BU46" s="56"/>
      <c r="BV46" s="57"/>
      <c r="BW46" s="10">
        <v>6388527.7700000005</v>
      </c>
      <c r="BX46" s="15">
        <v>0.0707755412099132</v>
      </c>
      <c r="BY46" s="11">
        <v>956</v>
      </c>
      <c r="BZ46" s="15">
        <v>0.07790726102192161</v>
      </c>
      <c r="CA46" s="57"/>
      <c r="CB46" s="56"/>
      <c r="CC46" s="57"/>
      <c r="CD46" s="10">
        <v>5881706.399999999</v>
      </c>
      <c r="CE46" s="15">
        <v>0.07022747154043707</v>
      </c>
      <c r="CF46" s="11">
        <v>891</v>
      </c>
      <c r="CG46" s="15">
        <v>0.07679048521933983</v>
      </c>
      <c r="CH46" s="57"/>
      <c r="CI46" s="56"/>
      <c r="CJ46" s="57"/>
      <c r="CK46" s="10">
        <v>5495452.03</v>
      </c>
      <c r="CL46" s="15">
        <v>0.06953592120275856</v>
      </c>
      <c r="CM46" s="11">
        <v>831</v>
      </c>
      <c r="CN46" s="15">
        <v>0.07619658903355951</v>
      </c>
      <c r="CO46" s="57"/>
      <c r="CP46" s="56"/>
      <c r="CQ46" s="57"/>
    </row>
    <row r="47" spans="1:95" ht="12.75">
      <c r="A47" s="9" t="s">
        <v>36</v>
      </c>
      <c r="B47" s="9"/>
      <c r="C47" s="9"/>
      <c r="D47" s="10">
        <v>7450113.320000007</v>
      </c>
      <c r="E47" s="15">
        <v>0.056149862596721195</v>
      </c>
      <c r="F47" s="11">
        <v>1268</v>
      </c>
      <c r="G47" s="15">
        <v>0.057372969548889194</v>
      </c>
      <c r="H47" s="9"/>
      <c r="I47" s="9"/>
      <c r="J47" s="10">
        <v>7229849.749999999</v>
      </c>
      <c r="K47" s="15">
        <v>0.05615451819526109</v>
      </c>
      <c r="L47" s="11">
        <v>1017</v>
      </c>
      <c r="M47" s="15">
        <v>0.0544024820798117</v>
      </c>
      <c r="N47" s="57"/>
      <c r="O47" s="56"/>
      <c r="P47" s="57"/>
      <c r="Q47" s="9"/>
      <c r="R47" s="10">
        <v>7074365.609999998</v>
      </c>
      <c r="S47" s="15">
        <v>0.056484931903150015</v>
      </c>
      <c r="T47" s="11">
        <v>978</v>
      </c>
      <c r="U47" s="15">
        <v>0.05418582746966591</v>
      </c>
      <c r="V47" s="57"/>
      <c r="W47" s="56"/>
      <c r="X47" s="57"/>
      <c r="Y47" s="9"/>
      <c r="Z47" s="10">
        <v>6912078.359999997</v>
      </c>
      <c r="AA47" s="15">
        <v>0.05659757693610843</v>
      </c>
      <c r="AB47" s="11">
        <v>943</v>
      </c>
      <c r="AC47" s="15">
        <v>0.05412075298438935</v>
      </c>
      <c r="AD47" s="57"/>
      <c r="AE47" s="56"/>
      <c r="AF47" s="57"/>
      <c r="AG47" s="10">
        <v>6767912.93</v>
      </c>
      <c r="AH47" s="15">
        <f t="shared" si="0"/>
        <v>0.0569427043539474</v>
      </c>
      <c r="AI47" s="11">
        <v>917</v>
      </c>
      <c r="AJ47" s="15">
        <f t="shared" si="1"/>
        <v>0.054427825261158594</v>
      </c>
      <c r="AK47" s="57"/>
      <c r="AL47" s="56"/>
      <c r="AM47" s="57"/>
      <c r="AN47" s="10">
        <v>6601880.05</v>
      </c>
      <c r="AO47" s="15">
        <v>0.05698147715600805</v>
      </c>
      <c r="AP47" s="11">
        <v>884</v>
      </c>
      <c r="AQ47" s="15">
        <v>0.05445697036900142</v>
      </c>
      <c r="AR47" s="57"/>
      <c r="AS47" s="56"/>
      <c r="AT47" s="57"/>
      <c r="AU47" s="10">
        <v>6518849.819999961</v>
      </c>
      <c r="AV47" s="15">
        <v>0.057588391786152555</v>
      </c>
      <c r="AW47" s="11">
        <v>1041</v>
      </c>
      <c r="AX47" s="15">
        <v>0.06534839924670433</v>
      </c>
      <c r="AY47" s="57"/>
      <c r="AZ47" s="56"/>
      <c r="BA47" s="57"/>
      <c r="BB47" s="10">
        <v>5480073.689999998</v>
      </c>
      <c r="BC47" s="15">
        <v>0.05463933673599599</v>
      </c>
      <c r="BD47" s="11">
        <v>724</v>
      </c>
      <c r="BE47" s="15">
        <v>0.05225173210161663</v>
      </c>
      <c r="BF47" s="57"/>
      <c r="BG47" s="56"/>
      <c r="BH47" s="57"/>
      <c r="BI47" s="10">
        <v>5342016.79</v>
      </c>
      <c r="BJ47" s="15">
        <v>0.05460380275426387</v>
      </c>
      <c r="BK47" s="11">
        <v>699</v>
      </c>
      <c r="BL47" s="15">
        <v>0.05199345432906873</v>
      </c>
      <c r="BM47" s="57"/>
      <c r="BN47" s="56"/>
      <c r="BO47" s="57"/>
      <c r="BP47" s="10">
        <v>5076473.38</v>
      </c>
      <c r="BQ47" s="15">
        <v>0.054869409342224805</v>
      </c>
      <c r="BR47" s="11">
        <v>657</v>
      </c>
      <c r="BS47" s="15">
        <v>0.05203548233803263</v>
      </c>
      <c r="BT47" s="57"/>
      <c r="BU47" s="56"/>
      <c r="BV47" s="57"/>
      <c r="BW47" s="10">
        <v>5008908.91</v>
      </c>
      <c r="BX47" s="15">
        <v>0.05549138263766303</v>
      </c>
      <c r="BY47" s="11">
        <v>644</v>
      </c>
      <c r="BZ47" s="15">
        <v>0.052481460353679406</v>
      </c>
      <c r="CA47" s="57"/>
      <c r="CB47" s="56"/>
      <c r="CC47" s="57"/>
      <c r="CD47" s="10">
        <v>4512012.85</v>
      </c>
      <c r="CE47" s="15">
        <v>0.05387335451042936</v>
      </c>
      <c r="CF47" s="11">
        <v>613</v>
      </c>
      <c r="CG47" s="15">
        <v>0.05283116435404637</v>
      </c>
      <c r="CH47" s="57"/>
      <c r="CI47" s="56"/>
      <c r="CJ47" s="57"/>
      <c r="CK47" s="10">
        <v>4311640.5</v>
      </c>
      <c r="CL47" s="15">
        <v>0.054556730260935875</v>
      </c>
      <c r="CM47" s="11">
        <v>587</v>
      </c>
      <c r="CN47" s="15">
        <v>0.05382358334861544</v>
      </c>
      <c r="CO47" s="57"/>
      <c r="CP47" s="56"/>
      <c r="CQ47" s="57"/>
    </row>
    <row r="48" spans="1:95" ht="12.75">
      <c r="A48" s="9" t="s">
        <v>37</v>
      </c>
      <c r="B48" s="9"/>
      <c r="C48" s="9"/>
      <c r="D48" s="10">
        <v>7058045.320000001</v>
      </c>
      <c r="E48" s="15">
        <v>0.053194932465729365</v>
      </c>
      <c r="F48" s="11">
        <v>1330</v>
      </c>
      <c r="G48" s="15">
        <v>0.060178272476358534</v>
      </c>
      <c r="H48" s="9"/>
      <c r="I48" s="9"/>
      <c r="J48" s="10">
        <v>6853747.740000016</v>
      </c>
      <c r="K48" s="15">
        <v>0.05323331956816399</v>
      </c>
      <c r="L48" s="11">
        <v>1174</v>
      </c>
      <c r="M48" s="15">
        <v>0.06280089868406975</v>
      </c>
      <c r="N48" s="57"/>
      <c r="O48" s="56"/>
      <c r="P48" s="57"/>
      <c r="Q48" s="9"/>
      <c r="R48" s="10">
        <v>6679871.000000009</v>
      </c>
      <c r="S48" s="15">
        <v>0.05333510866663099</v>
      </c>
      <c r="T48" s="11">
        <v>1137</v>
      </c>
      <c r="U48" s="15">
        <v>0.06299517978835392</v>
      </c>
      <c r="V48" s="57"/>
      <c r="W48" s="56"/>
      <c r="X48" s="57"/>
      <c r="Y48" s="9"/>
      <c r="Z48" s="10">
        <v>6472325.5300000105</v>
      </c>
      <c r="AA48" s="15">
        <v>0.052996786648077665</v>
      </c>
      <c r="AB48" s="11">
        <v>1097</v>
      </c>
      <c r="AC48" s="15">
        <v>0.06295913682277318</v>
      </c>
      <c r="AD48" s="57"/>
      <c r="AE48" s="56"/>
      <c r="AF48" s="57"/>
      <c r="AG48" s="10">
        <v>6335099.27</v>
      </c>
      <c r="AH48" s="15">
        <f t="shared" si="0"/>
        <v>0.05330117105754757</v>
      </c>
      <c r="AI48" s="11">
        <v>1064</v>
      </c>
      <c r="AJ48" s="15">
        <f t="shared" si="1"/>
        <v>0.06315289648622982</v>
      </c>
      <c r="AK48" s="57"/>
      <c r="AL48" s="56"/>
      <c r="AM48" s="57"/>
      <c r="AN48" s="10">
        <v>6171899.130000012</v>
      </c>
      <c r="AO48" s="15">
        <v>0.053270269471994064</v>
      </c>
      <c r="AP48" s="11">
        <v>1029</v>
      </c>
      <c r="AQ48" s="15">
        <v>0.06338939197930142</v>
      </c>
      <c r="AR48" s="57"/>
      <c r="AS48" s="56"/>
      <c r="AT48" s="57"/>
      <c r="AU48" s="10">
        <v>6061066.260000009</v>
      </c>
      <c r="AV48" s="15">
        <v>0.053544270547823875</v>
      </c>
      <c r="AW48" s="11">
        <v>1001</v>
      </c>
      <c r="AX48" s="15">
        <v>0.06283741368487131</v>
      </c>
      <c r="AY48" s="57"/>
      <c r="AZ48" s="56"/>
      <c r="BA48" s="57"/>
      <c r="BB48" s="10">
        <v>5506864.619999996</v>
      </c>
      <c r="BC48" s="15">
        <v>0.05490645698447214</v>
      </c>
      <c r="BD48" s="11">
        <v>900</v>
      </c>
      <c r="BE48" s="15">
        <v>0.06495381062355658</v>
      </c>
      <c r="BF48" s="57"/>
      <c r="BG48" s="56"/>
      <c r="BH48" s="57"/>
      <c r="BI48" s="10">
        <v>5335503.590000009</v>
      </c>
      <c r="BJ48" s="15">
        <v>0.054537227619426386</v>
      </c>
      <c r="BK48" s="11">
        <v>866</v>
      </c>
      <c r="BL48" s="15">
        <v>0.0644153525736388</v>
      </c>
      <c r="BM48" s="57"/>
      <c r="BN48" s="56"/>
      <c r="BO48" s="57"/>
      <c r="BP48" s="10">
        <v>5052976.14000001</v>
      </c>
      <c r="BQ48" s="15">
        <v>0.05461543781840055</v>
      </c>
      <c r="BR48" s="11">
        <v>815</v>
      </c>
      <c r="BS48" s="15">
        <v>0.06454934262632663</v>
      </c>
      <c r="BT48" s="57"/>
      <c r="BU48" s="56"/>
      <c r="BV48" s="57"/>
      <c r="BW48" s="10">
        <v>4914878.800000007</v>
      </c>
      <c r="BX48" s="15">
        <v>0.05444966658587901</v>
      </c>
      <c r="BY48" s="11">
        <v>795</v>
      </c>
      <c r="BZ48" s="15">
        <v>0.06478689593350175</v>
      </c>
      <c r="CA48" s="57"/>
      <c r="CB48" s="56"/>
      <c r="CC48" s="57"/>
      <c r="CD48" s="10">
        <v>4578368.030000008</v>
      </c>
      <c r="CE48" s="15">
        <v>0.054665634199026404</v>
      </c>
      <c r="CF48" s="11">
        <v>759</v>
      </c>
      <c r="CG48" s="15">
        <v>0.06541411703869689</v>
      </c>
      <c r="CH48" s="57"/>
      <c r="CI48" s="56"/>
      <c r="CJ48" s="57"/>
      <c r="CK48" s="10">
        <v>4321060.77</v>
      </c>
      <c r="CL48" s="15">
        <v>0.05467592830849468</v>
      </c>
      <c r="CM48" s="11">
        <v>714</v>
      </c>
      <c r="CN48" s="15">
        <v>0.06546854942233633</v>
      </c>
      <c r="CO48" s="57"/>
      <c r="CP48" s="56"/>
      <c r="CQ48" s="57"/>
    </row>
    <row r="49" spans="1:95" ht="12.75">
      <c r="A49" s="9" t="s">
        <v>38</v>
      </c>
      <c r="B49" s="9"/>
      <c r="C49" s="9"/>
      <c r="D49" s="10">
        <v>9829939.699999994</v>
      </c>
      <c r="E49" s="15">
        <v>0.07408608967159361</v>
      </c>
      <c r="F49" s="11">
        <v>2154</v>
      </c>
      <c r="G49" s="15">
        <v>0.09746165331885435</v>
      </c>
      <c r="H49" s="9"/>
      <c r="I49" s="9"/>
      <c r="J49" s="10">
        <v>9421628.440000022</v>
      </c>
      <c r="K49" s="15">
        <v>0.07317814670532685</v>
      </c>
      <c r="L49" s="11">
        <v>1686</v>
      </c>
      <c r="M49" s="15">
        <v>0.09018936557184123</v>
      </c>
      <c r="N49" s="57"/>
      <c r="O49" s="56"/>
      <c r="P49" s="57"/>
      <c r="Q49" s="9"/>
      <c r="R49" s="10">
        <v>9044487.360000012</v>
      </c>
      <c r="S49" s="15">
        <v>0.07221527424400419</v>
      </c>
      <c r="T49" s="11">
        <v>1622</v>
      </c>
      <c r="U49" s="15">
        <v>0.08986647459693058</v>
      </c>
      <c r="V49" s="57"/>
      <c r="W49" s="56"/>
      <c r="X49" s="57"/>
      <c r="Y49" s="9"/>
      <c r="Z49" s="10">
        <v>8823969.130000003</v>
      </c>
      <c r="AA49" s="15">
        <v>0.07225254774412325</v>
      </c>
      <c r="AB49" s="11">
        <v>1558</v>
      </c>
      <c r="AC49" s="15">
        <v>0.08941689623507805</v>
      </c>
      <c r="AD49" s="57"/>
      <c r="AE49" s="56"/>
      <c r="AF49" s="57"/>
      <c r="AG49" s="10">
        <v>8528631.05</v>
      </c>
      <c r="AH49" s="15">
        <f t="shared" si="0"/>
        <v>0.07175673231127784</v>
      </c>
      <c r="AI49" s="11">
        <v>1505</v>
      </c>
      <c r="AJ49" s="15">
        <f t="shared" si="1"/>
        <v>0.0893281101614435</v>
      </c>
      <c r="AK49" s="57"/>
      <c r="AL49" s="56"/>
      <c r="AM49" s="57"/>
      <c r="AN49" s="10">
        <v>8318297.530000019</v>
      </c>
      <c r="AO49" s="15">
        <v>0.07179604553441929</v>
      </c>
      <c r="AP49" s="11">
        <v>1450</v>
      </c>
      <c r="AQ49" s="15">
        <v>0.08932421610300006</v>
      </c>
      <c r="AR49" s="57"/>
      <c r="AS49" s="56"/>
      <c r="AT49" s="57"/>
      <c r="AU49" s="10">
        <v>8086433.15000001</v>
      </c>
      <c r="AV49" s="15">
        <v>0.0714366327271419</v>
      </c>
      <c r="AW49" s="11">
        <v>1404</v>
      </c>
      <c r="AX49" s="15">
        <v>0.08813559322033898</v>
      </c>
      <c r="AY49" s="57"/>
      <c r="AZ49" s="56"/>
      <c r="BA49" s="57"/>
      <c r="BB49" s="10">
        <v>6682920.760000001</v>
      </c>
      <c r="BC49" s="15">
        <v>0.06663238095720177</v>
      </c>
      <c r="BD49" s="11">
        <v>1150</v>
      </c>
      <c r="BE49" s="15">
        <v>0.08299653579676675</v>
      </c>
      <c r="BF49" s="57"/>
      <c r="BG49" s="56"/>
      <c r="BH49" s="57"/>
      <c r="BI49" s="10">
        <v>6527907.290000006</v>
      </c>
      <c r="BJ49" s="15">
        <v>0.06672546644341075</v>
      </c>
      <c r="BK49" s="11">
        <v>1115</v>
      </c>
      <c r="BL49" s="15">
        <v>0.08293662600416543</v>
      </c>
      <c r="BM49" s="57"/>
      <c r="BN49" s="56"/>
      <c r="BO49" s="57"/>
      <c r="BP49" s="10">
        <v>6163576.360000007</v>
      </c>
      <c r="BQ49" s="15">
        <v>0.06661943617025338</v>
      </c>
      <c r="BR49" s="11">
        <v>1049</v>
      </c>
      <c r="BS49" s="15">
        <v>0.08308252811658483</v>
      </c>
      <c r="BT49" s="57"/>
      <c r="BU49" s="56"/>
      <c r="BV49" s="57"/>
      <c r="BW49" s="10">
        <v>6015201.360000014</v>
      </c>
      <c r="BX49" s="15">
        <v>0.06663963076748226</v>
      </c>
      <c r="BY49" s="11">
        <v>1007</v>
      </c>
      <c r="BZ49" s="15">
        <v>0.08206340151576888</v>
      </c>
      <c r="CA49" s="57"/>
      <c r="CB49" s="56"/>
      <c r="CC49" s="57"/>
      <c r="CD49" s="10">
        <v>5615459.980000006</v>
      </c>
      <c r="CE49" s="15">
        <v>0.06704849394249154</v>
      </c>
      <c r="CF49" s="11">
        <v>951</v>
      </c>
      <c r="CG49" s="15">
        <v>0.08196156166508661</v>
      </c>
      <c r="CH49" s="57"/>
      <c r="CI49" s="56"/>
      <c r="CJ49" s="57"/>
      <c r="CK49" s="10">
        <v>5331066.24</v>
      </c>
      <c r="CL49" s="15">
        <v>0.06745588897285425</v>
      </c>
      <c r="CM49" s="11">
        <v>898</v>
      </c>
      <c r="CN49" s="15">
        <v>0.08233999633229415</v>
      </c>
      <c r="CO49" s="57"/>
      <c r="CP49" s="56"/>
      <c r="CQ49" s="57"/>
    </row>
    <row r="50" spans="1:95" ht="12.75">
      <c r="A50" s="9" t="s">
        <v>39</v>
      </c>
      <c r="B50" s="9"/>
      <c r="C50" s="9"/>
      <c r="D50" s="10">
        <v>0</v>
      </c>
      <c r="E50" s="15">
        <v>0</v>
      </c>
      <c r="F50" s="11">
        <v>0</v>
      </c>
      <c r="G50" s="15">
        <v>0</v>
      </c>
      <c r="H50" s="9"/>
      <c r="I50" s="9"/>
      <c r="J50" s="10">
        <v>0</v>
      </c>
      <c r="K50" s="15">
        <v>0</v>
      </c>
      <c r="L50" s="11">
        <v>0</v>
      </c>
      <c r="M50" s="15">
        <v>0</v>
      </c>
      <c r="N50" s="57"/>
      <c r="O50" s="56"/>
      <c r="P50" s="57"/>
      <c r="Q50" s="9"/>
      <c r="R50" s="10">
        <v>0</v>
      </c>
      <c r="S50" s="15">
        <v>0</v>
      </c>
      <c r="T50" s="11">
        <v>0</v>
      </c>
      <c r="U50" s="15">
        <v>0</v>
      </c>
      <c r="V50" s="57"/>
      <c r="W50" s="56"/>
      <c r="X50" s="57"/>
      <c r="Y50" s="9"/>
      <c r="Z50" s="10">
        <v>0</v>
      </c>
      <c r="AA50" s="15">
        <v>0</v>
      </c>
      <c r="AB50" s="11">
        <v>0</v>
      </c>
      <c r="AC50" s="15">
        <v>0</v>
      </c>
      <c r="AD50" s="57"/>
      <c r="AE50" s="56"/>
      <c r="AF50" s="57"/>
      <c r="AG50" s="10"/>
      <c r="AH50" s="15">
        <f t="shared" si="0"/>
        <v>0</v>
      </c>
      <c r="AI50" s="11"/>
      <c r="AJ50" s="15">
        <f t="shared" si="1"/>
        <v>0</v>
      </c>
      <c r="AK50" s="57"/>
      <c r="AL50" s="56"/>
      <c r="AM50" s="57"/>
      <c r="AN50" s="10">
        <v>0</v>
      </c>
      <c r="AO50" s="15">
        <v>0</v>
      </c>
      <c r="AP50" s="11">
        <v>0</v>
      </c>
      <c r="AQ50" s="15">
        <v>0</v>
      </c>
      <c r="AR50" s="57"/>
      <c r="AS50" s="56"/>
      <c r="AT50" s="57"/>
      <c r="AU50" s="10">
        <v>0</v>
      </c>
      <c r="AV50" s="15">
        <v>0</v>
      </c>
      <c r="AW50" s="11">
        <v>0</v>
      </c>
      <c r="AX50" s="15">
        <v>0</v>
      </c>
      <c r="AY50" s="57"/>
      <c r="AZ50" s="56"/>
      <c r="BA50" s="57"/>
      <c r="BB50" s="10">
        <v>0</v>
      </c>
      <c r="BC50" s="15">
        <v>0</v>
      </c>
      <c r="BD50" s="11">
        <v>0</v>
      </c>
      <c r="BE50" s="15">
        <v>0</v>
      </c>
      <c r="BF50" s="57"/>
      <c r="BG50" s="56"/>
      <c r="BH50" s="57"/>
      <c r="BI50" s="10">
        <v>0</v>
      </c>
      <c r="BJ50" s="15">
        <v>0</v>
      </c>
      <c r="BK50" s="11">
        <v>0</v>
      </c>
      <c r="BL50" s="15">
        <v>0</v>
      </c>
      <c r="BM50" s="57"/>
      <c r="BN50" s="56"/>
      <c r="BO50" s="57"/>
      <c r="BP50" s="10">
        <v>0</v>
      </c>
      <c r="BQ50" s="15">
        <v>0</v>
      </c>
      <c r="BR50" s="11">
        <v>0</v>
      </c>
      <c r="BS50" s="15">
        <v>0</v>
      </c>
      <c r="BT50" s="57"/>
      <c r="BU50" s="56"/>
      <c r="BV50" s="57"/>
      <c r="BW50" s="10">
        <v>0</v>
      </c>
      <c r="BX50" s="15">
        <v>0</v>
      </c>
      <c r="BY50" s="11">
        <v>0</v>
      </c>
      <c r="BZ50" s="15">
        <v>0</v>
      </c>
      <c r="CA50" s="57"/>
      <c r="CB50" s="56"/>
      <c r="CC50" s="57"/>
      <c r="CD50" s="10">
        <v>0</v>
      </c>
      <c r="CE50" s="15">
        <v>0</v>
      </c>
      <c r="CF50" s="11">
        <v>0</v>
      </c>
      <c r="CG50" s="15">
        <v>0</v>
      </c>
      <c r="CH50" s="57"/>
      <c r="CI50" s="56"/>
      <c r="CJ50" s="57"/>
      <c r="CK50" s="10">
        <v>0</v>
      </c>
      <c r="CL50" s="15">
        <v>0</v>
      </c>
      <c r="CM50" s="11">
        <v>0</v>
      </c>
      <c r="CN50" s="15">
        <v>0</v>
      </c>
      <c r="CO50" s="57"/>
      <c r="CP50" s="56"/>
      <c r="CQ50" s="57"/>
    </row>
    <row r="51" spans="1:95" ht="12.75">
      <c r="A51" s="9" t="s">
        <v>101</v>
      </c>
      <c r="B51" s="9"/>
      <c r="C51" s="9"/>
      <c r="D51" s="10">
        <v>7771282.220000007</v>
      </c>
      <c r="E51" s="15">
        <v>0.058570441832332086</v>
      </c>
      <c r="F51" s="11">
        <v>1111</v>
      </c>
      <c r="G51" s="15">
        <v>0.050269218587394235</v>
      </c>
      <c r="H51" s="9"/>
      <c r="I51" s="9"/>
      <c r="J51" s="10">
        <v>7486555.059999998</v>
      </c>
      <c r="K51" s="15">
        <v>0.058148358108907304</v>
      </c>
      <c r="L51" s="11">
        <v>902</v>
      </c>
      <c r="M51" s="15">
        <v>0.04825077564994116</v>
      </c>
      <c r="N51" s="57"/>
      <c r="O51" s="56"/>
      <c r="P51" s="57"/>
      <c r="Q51" s="9"/>
      <c r="R51" s="10">
        <v>7391555.999999995</v>
      </c>
      <c r="S51" s="15">
        <v>0.059017523313771705</v>
      </c>
      <c r="T51" s="11">
        <v>884</v>
      </c>
      <c r="U51" s="15">
        <v>0.0489777827026428</v>
      </c>
      <c r="V51" s="57"/>
      <c r="W51" s="56"/>
      <c r="X51" s="57"/>
      <c r="Y51" s="9"/>
      <c r="Z51" s="10">
        <v>7192528.07</v>
      </c>
      <c r="AA51" s="15">
        <v>0.058893959183492925</v>
      </c>
      <c r="AB51" s="11">
        <v>859</v>
      </c>
      <c r="AC51" s="15">
        <v>0.04929981634527089</v>
      </c>
      <c r="AD51" s="57"/>
      <c r="AE51" s="56"/>
      <c r="AF51" s="57"/>
      <c r="AG51" s="10">
        <v>7045777.65</v>
      </c>
      <c r="AH51" s="15">
        <f t="shared" si="0"/>
        <v>0.059280554850105076</v>
      </c>
      <c r="AI51" s="11">
        <v>840</v>
      </c>
      <c r="AJ51" s="15">
        <f t="shared" si="1"/>
        <v>0.04985754985754986</v>
      </c>
      <c r="AK51" s="57"/>
      <c r="AL51" s="56"/>
      <c r="AM51" s="57"/>
      <c r="AN51" s="10">
        <v>6935369.629999999</v>
      </c>
      <c r="AO51" s="15">
        <v>0.059859858577757254</v>
      </c>
      <c r="AP51" s="11">
        <v>814</v>
      </c>
      <c r="AQ51" s="15">
        <v>0.050144766832994514</v>
      </c>
      <c r="AR51" s="57"/>
      <c r="AS51" s="56"/>
      <c r="AT51" s="57"/>
      <c r="AU51" s="10">
        <v>6860818.739999997</v>
      </c>
      <c r="AV51" s="15">
        <v>0.06060939099420758</v>
      </c>
      <c r="AW51" s="11">
        <v>796</v>
      </c>
      <c r="AX51" s="15">
        <v>0.04996861268047709</v>
      </c>
      <c r="AY51" s="57"/>
      <c r="AZ51" s="56"/>
      <c r="BA51" s="57"/>
      <c r="BB51" s="10">
        <v>5878637.640000004</v>
      </c>
      <c r="BC51" s="15">
        <v>0.05861323765536101</v>
      </c>
      <c r="BD51" s="11">
        <v>678</v>
      </c>
      <c r="BE51" s="15">
        <v>0.048931870669745955</v>
      </c>
      <c r="BF51" s="57"/>
      <c r="BG51" s="56"/>
      <c r="BH51" s="57"/>
      <c r="BI51" s="10">
        <v>5717502.170000001</v>
      </c>
      <c r="BJ51" s="15">
        <v>0.058441853144710156</v>
      </c>
      <c r="BK51" s="11">
        <v>652</v>
      </c>
      <c r="BL51" s="15">
        <v>0.04849747099077655</v>
      </c>
      <c r="BM51" s="57"/>
      <c r="BN51" s="56"/>
      <c r="BO51" s="57"/>
      <c r="BP51" s="10">
        <v>5240252.54</v>
      </c>
      <c r="BQ51" s="15">
        <v>0.056639627582149014</v>
      </c>
      <c r="BR51" s="11">
        <v>593</v>
      </c>
      <c r="BS51" s="15">
        <v>0.04696657690479962</v>
      </c>
      <c r="BT51" s="57"/>
      <c r="BU51" s="56"/>
      <c r="BV51" s="57"/>
      <c r="BW51" s="10">
        <v>5060000.42</v>
      </c>
      <c r="BX51" s="15">
        <v>0.05605740182105966</v>
      </c>
      <c r="BY51" s="11">
        <v>574</v>
      </c>
      <c r="BZ51" s="15">
        <v>0.04677695379349686</v>
      </c>
      <c r="CA51" s="57"/>
      <c r="CB51" s="56"/>
      <c r="CC51" s="57"/>
      <c r="CD51" s="10">
        <v>4570080.58</v>
      </c>
      <c r="CE51" s="15">
        <v>0.05456668219098017</v>
      </c>
      <c r="CF51" s="11">
        <v>533</v>
      </c>
      <c r="CG51" s="15">
        <v>0.045936395759717315</v>
      </c>
      <c r="CH51" s="57"/>
      <c r="CI51" s="56"/>
      <c r="CJ51" s="57"/>
      <c r="CK51" s="10">
        <v>4275257.46</v>
      </c>
      <c r="CL51" s="15">
        <v>0.05409636263535279</v>
      </c>
      <c r="CM51" s="11">
        <v>497</v>
      </c>
      <c r="CN51" s="15">
        <v>0.045571245186136075</v>
      </c>
      <c r="CO51" s="57"/>
      <c r="CP51" s="56"/>
      <c r="CQ51" s="57"/>
    </row>
    <row r="52" spans="1:95" ht="12.75">
      <c r="A52" s="9"/>
      <c r="B52" s="9"/>
      <c r="C52" s="9"/>
      <c r="D52" s="10"/>
      <c r="E52" s="9"/>
      <c r="F52" s="11"/>
      <c r="G52" s="9"/>
      <c r="H52" s="9"/>
      <c r="I52" s="9"/>
      <c r="J52" s="10"/>
      <c r="K52" s="9"/>
      <c r="L52" s="11"/>
      <c r="M52" s="9"/>
      <c r="N52" s="55"/>
      <c r="O52" s="56"/>
      <c r="P52" s="55"/>
      <c r="Q52" s="9"/>
      <c r="R52" s="10"/>
      <c r="S52" s="9"/>
      <c r="T52" s="11"/>
      <c r="U52" s="9"/>
      <c r="V52" s="55"/>
      <c r="W52" s="56"/>
      <c r="X52" s="55"/>
      <c r="Y52" s="9"/>
      <c r="Z52" s="10"/>
      <c r="AA52" s="9"/>
      <c r="AB52" s="11"/>
      <c r="AC52" s="9"/>
      <c r="AD52" s="55"/>
      <c r="AE52" s="56"/>
      <c r="AF52" s="55"/>
      <c r="AG52" s="10"/>
      <c r="AH52" s="9"/>
      <c r="AI52" s="11"/>
      <c r="AJ52" s="9"/>
      <c r="AK52" s="55"/>
      <c r="AL52" s="56"/>
      <c r="AM52" s="55"/>
      <c r="AN52" s="10"/>
      <c r="AO52" s="9"/>
      <c r="AP52" s="11"/>
      <c r="AQ52" s="9"/>
      <c r="AR52" s="55"/>
      <c r="AS52" s="56"/>
      <c r="AT52" s="55"/>
      <c r="AU52" s="10"/>
      <c r="AV52" s="9"/>
      <c r="AW52" s="11"/>
      <c r="AX52" s="9"/>
      <c r="AY52" s="55"/>
      <c r="AZ52" s="56"/>
      <c r="BA52" s="55"/>
      <c r="BB52" s="10"/>
      <c r="BC52" s="9"/>
      <c r="BD52" s="11"/>
      <c r="BE52" s="9"/>
      <c r="BF52" s="55"/>
      <c r="BG52" s="56"/>
      <c r="BH52" s="55"/>
      <c r="BI52" s="10"/>
      <c r="BJ52" s="9"/>
      <c r="BK52" s="11"/>
      <c r="BL52" s="9"/>
      <c r="BM52" s="55"/>
      <c r="BN52" s="56"/>
      <c r="BO52" s="55"/>
      <c r="BP52" s="10"/>
      <c r="BQ52" s="9"/>
      <c r="BR52" s="11"/>
      <c r="BS52" s="9"/>
      <c r="BT52" s="55"/>
      <c r="BU52" s="56"/>
      <c r="BV52" s="55"/>
      <c r="BW52" s="10"/>
      <c r="BX52" s="9"/>
      <c r="BY52" s="11"/>
      <c r="BZ52" s="9"/>
      <c r="CA52" s="55"/>
      <c r="CB52" s="56"/>
      <c r="CC52" s="55"/>
      <c r="CD52" s="10"/>
      <c r="CE52" s="9"/>
      <c r="CF52" s="11"/>
      <c r="CG52" s="9"/>
      <c r="CH52" s="55"/>
      <c r="CI52" s="56"/>
      <c r="CJ52" s="55"/>
      <c r="CK52" s="10"/>
      <c r="CL52" s="9"/>
      <c r="CM52" s="11"/>
      <c r="CN52" s="9"/>
      <c r="CO52" s="55"/>
      <c r="CP52" s="56"/>
      <c r="CQ52" s="55"/>
    </row>
    <row r="53" spans="1:95" ht="13.5" thickBot="1">
      <c r="A53" s="9"/>
      <c r="B53" s="13"/>
      <c r="C53" s="13"/>
      <c r="D53" s="22">
        <f>SUM(D39:D51)</f>
        <v>132682663.42000002</v>
      </c>
      <c r="E53" s="24"/>
      <c r="F53" s="23">
        <f>SUM(F39:F51)</f>
        <v>22101</v>
      </c>
      <c r="G53" s="24"/>
      <c r="H53" s="9"/>
      <c r="I53" s="9"/>
      <c r="J53" s="22">
        <f>SUM(J39:J51)</f>
        <v>128749208.12000003</v>
      </c>
      <c r="K53" s="24"/>
      <c r="L53" s="23">
        <f>SUM(L39:L51)</f>
        <v>18694</v>
      </c>
      <c r="M53" s="24"/>
      <c r="N53" s="58"/>
      <c r="O53" s="32"/>
      <c r="P53" s="58"/>
      <c r="Q53" s="9"/>
      <c r="R53" s="22">
        <f>SUM(R39:R51)</f>
        <v>125243412.21000001</v>
      </c>
      <c r="S53" s="24"/>
      <c r="T53" s="23">
        <f>SUM(T39:T51)</f>
        <v>18049</v>
      </c>
      <c r="U53" s="24"/>
      <c r="V53" s="58"/>
      <c r="W53" s="32"/>
      <c r="X53" s="58"/>
      <c r="Y53" s="9"/>
      <c r="Z53" s="22">
        <f>SUM(Z39:Z51)</f>
        <v>122126754.08000004</v>
      </c>
      <c r="AA53" s="24"/>
      <c r="AB53" s="23">
        <f>SUM(AB39:AB51)</f>
        <v>17424</v>
      </c>
      <c r="AC53" s="24"/>
      <c r="AD53" s="58"/>
      <c r="AE53" s="32"/>
      <c r="AF53" s="58"/>
      <c r="AG53" s="22">
        <f>SUM(AG39:AG51)</f>
        <v>118854785.82</v>
      </c>
      <c r="AH53" s="24"/>
      <c r="AI53" s="23">
        <f>SUM(AI39:AI51)</f>
        <v>16848</v>
      </c>
      <c r="AJ53" s="24"/>
      <c r="AK53" s="58"/>
      <c r="AL53" s="32"/>
      <c r="AM53" s="58"/>
      <c r="AN53" s="22">
        <f>SUM(AN39:AN51)</f>
        <v>115860107.17</v>
      </c>
      <c r="AO53" s="24"/>
      <c r="AP53" s="23">
        <f>SUM(AP39:AP51)</f>
        <v>16233</v>
      </c>
      <c r="AQ53" s="24"/>
      <c r="AR53" s="58"/>
      <c r="AS53" s="32"/>
      <c r="AT53" s="58"/>
      <c r="AU53" s="22">
        <f>SUM(AU39:AU51)</f>
        <v>113197288.85999998</v>
      </c>
      <c r="AV53" s="24"/>
      <c r="AW53" s="23">
        <f>SUM(AW39:AW51)</f>
        <v>15930</v>
      </c>
      <c r="AX53" s="24"/>
      <c r="AY53" s="58"/>
      <c r="AZ53" s="32"/>
      <c r="BA53" s="58"/>
      <c r="BB53" s="22">
        <f>SUM(BB39:BB51)</f>
        <v>100295391.88</v>
      </c>
      <c r="BC53" s="24"/>
      <c r="BD53" s="23">
        <f>SUM(BD39:BD51)</f>
        <v>13856</v>
      </c>
      <c r="BE53" s="24"/>
      <c r="BF53" s="58"/>
      <c r="BG53" s="32"/>
      <c r="BH53" s="58"/>
      <c r="BI53" s="22">
        <f>SUM(BI39:BI51)</f>
        <v>97832321.57000004</v>
      </c>
      <c r="BJ53" s="24"/>
      <c r="BK53" s="23">
        <f>SUM(BK39:BK51)</f>
        <v>13444</v>
      </c>
      <c r="BL53" s="24"/>
      <c r="BM53" s="58"/>
      <c r="BN53" s="32"/>
      <c r="BO53" s="58"/>
      <c r="BP53" s="22">
        <f>SUM(BP39:BP51)</f>
        <v>92519191.31000002</v>
      </c>
      <c r="BQ53" s="24"/>
      <c r="BR53" s="23">
        <f>SUM(BR39:BR51)</f>
        <v>12626</v>
      </c>
      <c r="BS53" s="24"/>
      <c r="BT53" s="58"/>
      <c r="BU53" s="32"/>
      <c r="BV53" s="58"/>
      <c r="BW53" s="22">
        <f>SUM(BW39:BW51)</f>
        <v>90264626.18000002</v>
      </c>
      <c r="BX53" s="24"/>
      <c r="BY53" s="23">
        <f>SUM(BY39:BY51)</f>
        <v>12271</v>
      </c>
      <c r="BZ53" s="24"/>
      <c r="CA53" s="58"/>
      <c r="CB53" s="32"/>
      <c r="CC53" s="58"/>
      <c r="CD53" s="22">
        <f>SUM(CD39:CD51)</f>
        <v>83752216.49000001</v>
      </c>
      <c r="CE53" s="24"/>
      <c r="CF53" s="23">
        <f>SUM(CF39:CF51)</f>
        <v>11603</v>
      </c>
      <c r="CG53" s="24"/>
      <c r="CH53" s="58"/>
      <c r="CI53" s="32"/>
      <c r="CJ53" s="58"/>
      <c r="CK53" s="22">
        <f>SUM(CK39:CK51)</f>
        <v>79030405.22</v>
      </c>
      <c r="CL53" s="24"/>
      <c r="CM53" s="23">
        <f>SUM(CM39:CM51)</f>
        <v>10906</v>
      </c>
      <c r="CN53" s="24"/>
      <c r="CO53" s="58"/>
      <c r="CP53" s="32"/>
      <c r="CQ53" s="58"/>
    </row>
    <row r="54" spans="1:95" ht="13.5" thickTop="1">
      <c r="A54" s="9"/>
      <c r="B54" s="9"/>
      <c r="C54" s="9"/>
      <c r="D54" s="10"/>
      <c r="E54" s="9"/>
      <c r="F54" s="11"/>
      <c r="G54" s="9"/>
      <c r="H54" s="9"/>
      <c r="I54" s="9"/>
      <c r="J54" s="10"/>
      <c r="K54" s="9"/>
      <c r="L54" s="11"/>
      <c r="M54" s="9"/>
      <c r="N54" s="55"/>
      <c r="O54" s="56"/>
      <c r="P54" s="55"/>
      <c r="Q54" s="9"/>
      <c r="R54" s="10"/>
      <c r="S54" s="9"/>
      <c r="T54" s="11"/>
      <c r="U54" s="9"/>
      <c r="V54" s="55"/>
      <c r="W54" s="56"/>
      <c r="X54" s="55"/>
      <c r="Y54" s="9"/>
      <c r="Z54" s="10"/>
      <c r="AA54" s="9"/>
      <c r="AB54" s="11"/>
      <c r="AC54" s="9"/>
      <c r="AD54" s="55"/>
      <c r="AE54" s="56"/>
      <c r="AF54" s="55"/>
      <c r="AG54" s="10"/>
      <c r="AH54" s="9"/>
      <c r="AI54" s="11"/>
      <c r="AJ54" s="9"/>
      <c r="AK54" s="55"/>
      <c r="AL54" s="56"/>
      <c r="AM54" s="55"/>
      <c r="AN54" s="10"/>
      <c r="AO54" s="9"/>
      <c r="AP54" s="11"/>
      <c r="AQ54" s="9"/>
      <c r="AR54" s="55"/>
      <c r="AS54" s="56"/>
      <c r="AT54" s="55"/>
      <c r="AU54" s="10"/>
      <c r="AV54" s="9"/>
      <c r="AW54" s="11"/>
      <c r="AX54" s="9"/>
      <c r="AY54" s="55"/>
      <c r="AZ54" s="56"/>
      <c r="BA54" s="55"/>
      <c r="BB54" s="10"/>
      <c r="BC54" s="9"/>
      <c r="BD54" s="11"/>
      <c r="BE54" s="9"/>
      <c r="BF54" s="55"/>
      <c r="BG54" s="56"/>
      <c r="BH54" s="55"/>
      <c r="BI54" s="10"/>
      <c r="BJ54" s="9"/>
      <c r="BK54" s="11"/>
      <c r="BL54" s="9"/>
      <c r="BM54" s="55"/>
      <c r="BN54" s="56"/>
      <c r="BO54" s="55"/>
      <c r="BP54" s="10"/>
      <c r="BQ54" s="9"/>
      <c r="BR54" s="11"/>
      <c r="BS54" s="9"/>
      <c r="BT54" s="55"/>
      <c r="BU54" s="56"/>
      <c r="BV54" s="55"/>
      <c r="BW54" s="10"/>
      <c r="BX54" s="9"/>
      <c r="BY54" s="11"/>
      <c r="BZ54" s="9"/>
      <c r="CA54" s="55"/>
      <c r="CB54" s="56"/>
      <c r="CC54" s="55"/>
      <c r="CD54" s="10"/>
      <c r="CE54" s="9"/>
      <c r="CF54" s="11"/>
      <c r="CG54" s="9"/>
      <c r="CH54" s="55"/>
      <c r="CI54" s="56"/>
      <c r="CJ54" s="55"/>
      <c r="CK54" s="10"/>
      <c r="CL54" s="9"/>
      <c r="CM54" s="11"/>
      <c r="CN54" s="9"/>
      <c r="CO54" s="55"/>
      <c r="CP54" s="56"/>
      <c r="CQ54" s="55"/>
    </row>
    <row r="55" spans="1:95" ht="12.75">
      <c r="A55" s="9"/>
      <c r="B55" s="9"/>
      <c r="C55" s="9"/>
      <c r="D55" s="10"/>
      <c r="E55" s="9"/>
      <c r="F55" s="11"/>
      <c r="G55" s="9"/>
      <c r="H55" s="9"/>
      <c r="I55" s="9"/>
      <c r="J55" s="9"/>
      <c r="K55" s="9"/>
      <c r="L55" s="9"/>
      <c r="M55" s="10"/>
      <c r="N55" s="55"/>
      <c r="O55" s="56"/>
      <c r="P55" s="55"/>
      <c r="Q55" s="9"/>
      <c r="R55" s="9"/>
      <c r="S55" s="9"/>
      <c r="T55" s="9"/>
      <c r="U55" s="10"/>
      <c r="V55" s="55"/>
      <c r="W55" s="56"/>
      <c r="X55" s="55"/>
      <c r="Y55" s="9"/>
      <c r="Z55" s="9"/>
      <c r="AA55" s="9"/>
      <c r="AB55" s="9"/>
      <c r="AC55" s="10"/>
      <c r="AD55" s="55"/>
      <c r="AE55" s="56"/>
      <c r="AF55" s="55"/>
      <c r="AG55" s="9"/>
      <c r="AH55" s="9"/>
      <c r="AI55" s="9"/>
      <c r="AJ55" s="10"/>
      <c r="AK55" s="55"/>
      <c r="AL55" s="56"/>
      <c r="AM55" s="55"/>
      <c r="AN55" s="9"/>
      <c r="AO55" s="9"/>
      <c r="AP55" s="9"/>
      <c r="AQ55" s="10"/>
      <c r="AR55" s="55"/>
      <c r="AS55" s="56"/>
      <c r="AT55" s="55"/>
      <c r="AU55" s="9"/>
      <c r="AV55" s="9"/>
      <c r="AW55" s="9"/>
      <c r="AX55" s="10"/>
      <c r="AY55" s="55"/>
      <c r="AZ55" s="56"/>
      <c r="BA55" s="55"/>
      <c r="BB55" s="9"/>
      <c r="BC55" s="9"/>
      <c r="BD55" s="9"/>
      <c r="BE55" s="10"/>
      <c r="BF55" s="55"/>
      <c r="BG55" s="56"/>
      <c r="BH55" s="55"/>
      <c r="BI55" s="9"/>
      <c r="BJ55" s="9"/>
      <c r="BK55" s="9"/>
      <c r="BL55" s="10"/>
      <c r="BM55" s="55"/>
      <c r="BN55" s="56"/>
      <c r="BO55" s="55"/>
      <c r="BP55" s="9"/>
      <c r="BQ55" s="9"/>
      <c r="BR55" s="9"/>
      <c r="BS55" s="10"/>
      <c r="BT55" s="55"/>
      <c r="BU55" s="56"/>
      <c r="BV55" s="55"/>
      <c r="BW55" s="9"/>
      <c r="BX55" s="9"/>
      <c r="BY55" s="9"/>
      <c r="BZ55" s="10"/>
      <c r="CA55" s="55"/>
      <c r="CB55" s="56"/>
      <c r="CC55" s="55"/>
      <c r="CD55" s="9"/>
      <c r="CE55" s="9"/>
      <c r="CF55" s="9"/>
      <c r="CG55" s="10"/>
      <c r="CH55" s="55"/>
      <c r="CI55" s="56"/>
      <c r="CJ55" s="55"/>
      <c r="CK55" s="9"/>
      <c r="CL55" s="9"/>
      <c r="CM55" s="9"/>
      <c r="CN55" s="10"/>
      <c r="CO55" s="55"/>
      <c r="CP55" s="56"/>
      <c r="CQ55" s="55"/>
    </row>
    <row r="56" spans="1:95" ht="12.75">
      <c r="A56" s="20" t="s">
        <v>115</v>
      </c>
      <c r="B56" s="9"/>
      <c r="C56" s="9"/>
      <c r="D56" s="10"/>
      <c r="E56" s="9"/>
      <c r="F56" s="11"/>
      <c r="G56" s="9"/>
      <c r="H56" s="9"/>
      <c r="I56" s="9"/>
      <c r="J56" s="20" t="s">
        <v>115</v>
      </c>
      <c r="K56" s="9"/>
      <c r="L56" s="9"/>
      <c r="M56" s="10"/>
      <c r="N56" s="9"/>
      <c r="O56" s="11"/>
      <c r="P56" s="9"/>
      <c r="Q56" s="9"/>
      <c r="R56" s="20" t="s">
        <v>115</v>
      </c>
      <c r="S56" s="9"/>
      <c r="T56" s="9"/>
      <c r="U56" s="10"/>
      <c r="V56" s="9"/>
      <c r="W56" s="11"/>
      <c r="X56" s="9"/>
      <c r="Y56" s="9"/>
      <c r="Z56" s="20" t="s">
        <v>115</v>
      </c>
      <c r="AA56" s="9"/>
      <c r="AB56" s="9"/>
      <c r="AC56" s="10"/>
      <c r="AD56" s="9"/>
      <c r="AE56" s="11"/>
      <c r="AF56" s="9"/>
      <c r="AG56" s="20" t="s">
        <v>115</v>
      </c>
      <c r="AH56" s="9"/>
      <c r="AI56" s="9"/>
      <c r="AJ56" s="10"/>
      <c r="AK56" s="9"/>
      <c r="AL56" s="11"/>
      <c r="AM56" s="9"/>
      <c r="AN56" s="20" t="s">
        <v>115</v>
      </c>
      <c r="AO56" s="9"/>
      <c r="AP56" s="9"/>
      <c r="AQ56" s="10"/>
      <c r="AR56" s="9"/>
      <c r="AS56" s="11"/>
      <c r="AT56" s="9"/>
      <c r="AU56" s="20" t="s">
        <v>115</v>
      </c>
      <c r="AV56" s="9"/>
      <c r="AW56" s="9"/>
      <c r="AX56" s="10"/>
      <c r="AY56" s="9"/>
      <c r="AZ56" s="11"/>
      <c r="BA56" s="9"/>
      <c r="BB56" s="20" t="s">
        <v>115</v>
      </c>
      <c r="BC56" s="9"/>
      <c r="BD56" s="9"/>
      <c r="BE56" s="10"/>
      <c r="BF56" s="9"/>
      <c r="BG56" s="11"/>
      <c r="BH56" s="9"/>
      <c r="BI56" s="20" t="s">
        <v>115</v>
      </c>
      <c r="BJ56" s="9"/>
      <c r="BK56" s="9"/>
      <c r="BL56" s="10"/>
      <c r="BM56" s="9"/>
      <c r="BN56" s="11"/>
      <c r="BO56" s="9"/>
      <c r="BP56" s="20" t="s">
        <v>115</v>
      </c>
      <c r="BQ56" s="9"/>
      <c r="BR56" s="9"/>
      <c r="BS56" s="10"/>
      <c r="BT56" s="9"/>
      <c r="BU56" s="11"/>
      <c r="BV56" s="9"/>
      <c r="BW56" s="20" t="s">
        <v>115</v>
      </c>
      <c r="BX56" s="9"/>
      <c r="BY56" s="9"/>
      <c r="BZ56" s="10"/>
      <c r="CA56" s="9"/>
      <c r="CB56" s="11"/>
      <c r="CC56" s="9"/>
      <c r="CD56" s="20" t="s">
        <v>115</v>
      </c>
      <c r="CE56" s="9"/>
      <c r="CF56" s="9"/>
      <c r="CG56" s="10"/>
      <c r="CH56" s="9"/>
      <c r="CI56" s="11"/>
      <c r="CJ56" s="9"/>
      <c r="CK56" s="20" t="s">
        <v>115</v>
      </c>
      <c r="CL56" s="9"/>
      <c r="CM56" s="9"/>
      <c r="CN56" s="10"/>
      <c r="CO56" s="9"/>
      <c r="CP56" s="11"/>
      <c r="CQ56" s="9"/>
    </row>
    <row r="57" spans="1:95" ht="12.75">
      <c r="A57" s="20"/>
      <c r="B57" s="9"/>
      <c r="C57" s="9"/>
      <c r="D57" s="10"/>
      <c r="E57" s="9"/>
      <c r="F57" s="11"/>
      <c r="G57" s="9"/>
      <c r="H57" s="9"/>
      <c r="I57" s="9"/>
      <c r="J57" s="20"/>
      <c r="K57" s="9"/>
      <c r="L57" s="9"/>
      <c r="M57" s="10"/>
      <c r="N57" s="9"/>
      <c r="O57" s="11"/>
      <c r="P57" s="9"/>
      <c r="Q57" s="9"/>
      <c r="R57" s="20"/>
      <c r="S57" s="9"/>
      <c r="T57" s="9"/>
      <c r="U57" s="10"/>
      <c r="V57" s="9"/>
      <c r="W57" s="11"/>
      <c r="X57" s="9"/>
      <c r="Y57" s="9"/>
      <c r="Z57" s="20"/>
      <c r="AA57" s="9"/>
      <c r="AB57" s="9"/>
      <c r="AC57" s="10"/>
      <c r="AD57" s="9"/>
      <c r="AE57" s="11"/>
      <c r="AF57" s="9"/>
      <c r="AG57" s="20"/>
      <c r="AH57" s="9"/>
      <c r="AI57" s="9"/>
      <c r="AJ57" s="10"/>
      <c r="AK57" s="9"/>
      <c r="AL57" s="11"/>
      <c r="AM57" s="9"/>
      <c r="AN57" s="20"/>
      <c r="AO57" s="9"/>
      <c r="AP57" s="9"/>
      <c r="AQ57" s="10"/>
      <c r="AR57" s="9"/>
      <c r="AS57" s="11"/>
      <c r="AT57" s="9"/>
      <c r="AU57" s="20"/>
      <c r="AV57" s="9"/>
      <c r="AW57" s="9"/>
      <c r="AX57" s="10"/>
      <c r="AY57" s="9"/>
      <c r="AZ57" s="11"/>
      <c r="BA57" s="9"/>
      <c r="BB57" s="20"/>
      <c r="BC57" s="9"/>
      <c r="BD57" s="9"/>
      <c r="BE57" s="10"/>
      <c r="BF57" s="9"/>
      <c r="BG57" s="11"/>
      <c r="BH57" s="9"/>
      <c r="BI57" s="20"/>
      <c r="BJ57" s="9"/>
      <c r="BK57" s="9"/>
      <c r="BL57" s="10"/>
      <c r="BM57" s="9"/>
      <c r="BN57" s="11"/>
      <c r="BO57" s="9"/>
      <c r="BP57" s="20"/>
      <c r="BQ57" s="9"/>
      <c r="BR57" s="9"/>
      <c r="BS57" s="10"/>
      <c r="BT57" s="9"/>
      <c r="BU57" s="11"/>
      <c r="BV57" s="9"/>
      <c r="BW57" s="20"/>
      <c r="BX57" s="9"/>
      <c r="BY57" s="9"/>
      <c r="BZ57" s="10"/>
      <c r="CA57" s="9"/>
      <c r="CB57" s="11"/>
      <c r="CC57" s="9"/>
      <c r="CD57" s="20"/>
      <c r="CE57" s="9"/>
      <c r="CF57" s="9"/>
      <c r="CG57" s="10"/>
      <c r="CH57" s="9"/>
      <c r="CI57" s="11"/>
      <c r="CJ57" s="9"/>
      <c r="CK57" s="20"/>
      <c r="CL57" s="9"/>
      <c r="CM57" s="9"/>
      <c r="CN57" s="10"/>
      <c r="CO57" s="9"/>
      <c r="CP57" s="11"/>
      <c r="CQ57" s="9"/>
    </row>
    <row r="58" spans="1:95" s="30" customFormat="1" ht="12.75">
      <c r="A58" s="26"/>
      <c r="B58" s="27"/>
      <c r="C58" s="27"/>
      <c r="D58" s="28" t="s">
        <v>143</v>
      </c>
      <c r="E58" s="27" t="s">
        <v>96</v>
      </c>
      <c r="F58" s="29" t="s">
        <v>97</v>
      </c>
      <c r="G58" s="27" t="s">
        <v>96</v>
      </c>
      <c r="H58" s="26"/>
      <c r="I58" s="26"/>
      <c r="J58" s="28" t="s">
        <v>143</v>
      </c>
      <c r="K58" s="27" t="s">
        <v>96</v>
      </c>
      <c r="L58" s="29" t="s">
        <v>97</v>
      </c>
      <c r="M58" s="27" t="s">
        <v>96</v>
      </c>
      <c r="N58" s="65"/>
      <c r="O58" s="66"/>
      <c r="P58" s="65"/>
      <c r="Q58" s="26"/>
      <c r="R58" s="28" t="s">
        <v>143</v>
      </c>
      <c r="S58" s="27" t="s">
        <v>96</v>
      </c>
      <c r="T58" s="29" t="s">
        <v>97</v>
      </c>
      <c r="U58" s="27" t="s">
        <v>96</v>
      </c>
      <c r="V58" s="65"/>
      <c r="W58" s="66"/>
      <c r="X58" s="65"/>
      <c r="Y58" s="26"/>
      <c r="Z58" s="28" t="s">
        <v>143</v>
      </c>
      <c r="AA58" s="27" t="s">
        <v>96</v>
      </c>
      <c r="AB58" s="29" t="s">
        <v>97</v>
      </c>
      <c r="AC58" s="27" t="s">
        <v>96</v>
      </c>
      <c r="AD58" s="65"/>
      <c r="AE58" s="66"/>
      <c r="AF58" s="65"/>
      <c r="AG58" s="28" t="s">
        <v>143</v>
      </c>
      <c r="AH58" s="27" t="s">
        <v>96</v>
      </c>
      <c r="AI58" s="29" t="s">
        <v>97</v>
      </c>
      <c r="AJ58" s="27" t="s">
        <v>96</v>
      </c>
      <c r="AK58" s="65"/>
      <c r="AL58" s="66"/>
      <c r="AM58" s="65"/>
      <c r="AN58" s="28" t="s">
        <v>143</v>
      </c>
      <c r="AO58" s="27" t="s">
        <v>96</v>
      </c>
      <c r="AP58" s="29" t="s">
        <v>97</v>
      </c>
      <c r="AQ58" s="27" t="s">
        <v>96</v>
      </c>
      <c r="AR58" s="65"/>
      <c r="AS58" s="66"/>
      <c r="AT58" s="65"/>
      <c r="AU58" s="94" t="s">
        <v>143</v>
      </c>
      <c r="AV58" s="45" t="s">
        <v>96</v>
      </c>
      <c r="AW58" s="93" t="s">
        <v>97</v>
      </c>
      <c r="AX58" s="45" t="s">
        <v>96</v>
      </c>
      <c r="AY58" s="65"/>
      <c r="AZ58" s="66"/>
      <c r="BA58" s="65"/>
      <c r="BB58" s="94" t="s">
        <v>143</v>
      </c>
      <c r="BC58" s="45" t="s">
        <v>96</v>
      </c>
      <c r="BD58" s="93" t="s">
        <v>97</v>
      </c>
      <c r="BE58" s="45" t="s">
        <v>96</v>
      </c>
      <c r="BF58" s="65"/>
      <c r="BG58" s="66"/>
      <c r="BH58" s="65"/>
      <c r="BI58" s="94" t="s">
        <v>143</v>
      </c>
      <c r="BJ58" s="45" t="s">
        <v>96</v>
      </c>
      <c r="BK58" s="93" t="s">
        <v>97</v>
      </c>
      <c r="BL58" s="45" t="s">
        <v>96</v>
      </c>
      <c r="BM58" s="65"/>
      <c r="BN58" s="66"/>
      <c r="BO58" s="65"/>
      <c r="BP58" s="94" t="s">
        <v>143</v>
      </c>
      <c r="BQ58" s="45" t="s">
        <v>96</v>
      </c>
      <c r="BR58" s="93" t="s">
        <v>97</v>
      </c>
      <c r="BS58" s="45" t="s">
        <v>96</v>
      </c>
      <c r="BT58" s="65"/>
      <c r="BU58" s="66"/>
      <c r="BV58" s="65"/>
      <c r="BW58" s="94" t="s">
        <v>143</v>
      </c>
      <c r="BX58" s="45" t="s">
        <v>96</v>
      </c>
      <c r="BY58" s="93" t="s">
        <v>97</v>
      </c>
      <c r="BZ58" s="45" t="s">
        <v>96</v>
      </c>
      <c r="CA58" s="65"/>
      <c r="CB58" s="66"/>
      <c r="CC58" s="65"/>
      <c r="CD58" s="94" t="s">
        <v>143</v>
      </c>
      <c r="CE58" s="45" t="s">
        <v>96</v>
      </c>
      <c r="CF58" s="93" t="s">
        <v>97</v>
      </c>
      <c r="CG58" s="45" t="s">
        <v>96</v>
      </c>
      <c r="CH58" s="65"/>
      <c r="CI58" s="66"/>
      <c r="CJ58" s="65"/>
      <c r="CK58" s="94" t="s">
        <v>143</v>
      </c>
      <c r="CL58" s="45" t="s">
        <v>96</v>
      </c>
      <c r="CM58" s="93" t="s">
        <v>97</v>
      </c>
      <c r="CN58" s="45" t="s">
        <v>96</v>
      </c>
      <c r="CO58" s="65"/>
      <c r="CP58" s="66"/>
      <c r="CQ58" s="65"/>
    </row>
    <row r="59" spans="1:95" ht="12.75">
      <c r="A59" s="13"/>
      <c r="B59" s="9"/>
      <c r="C59" s="9"/>
      <c r="D59" s="10"/>
      <c r="E59" s="9"/>
      <c r="F59" s="11"/>
      <c r="G59" s="9"/>
      <c r="H59" s="9"/>
      <c r="I59" s="9"/>
      <c r="J59" s="10"/>
      <c r="K59" s="9"/>
      <c r="L59" s="11"/>
      <c r="M59" s="9"/>
      <c r="N59" s="55"/>
      <c r="O59" s="56"/>
      <c r="P59" s="55"/>
      <c r="Q59" s="9"/>
      <c r="R59" s="10"/>
      <c r="S59" s="9"/>
      <c r="T59" s="11"/>
      <c r="U59" s="9"/>
      <c r="V59" s="55"/>
      <c r="W59" s="56"/>
      <c r="X59" s="55"/>
      <c r="Y59" s="9"/>
      <c r="Z59" s="10"/>
      <c r="AA59" s="9"/>
      <c r="AB59" s="11"/>
      <c r="AC59" s="9"/>
      <c r="AD59" s="55"/>
      <c r="AE59" s="56"/>
      <c r="AF59" s="55"/>
      <c r="AG59" s="10"/>
      <c r="AH59" s="9"/>
      <c r="AI59" s="11"/>
      <c r="AJ59" s="9"/>
      <c r="AK59" s="55"/>
      <c r="AL59" s="56"/>
      <c r="AM59" s="55"/>
      <c r="AN59" s="10"/>
      <c r="AO59" s="9"/>
      <c r="AP59" s="11"/>
      <c r="AQ59" s="9"/>
      <c r="AR59" s="55"/>
      <c r="AS59" s="56"/>
      <c r="AT59" s="55"/>
      <c r="AU59" s="10"/>
      <c r="AV59" s="9"/>
      <c r="AW59" s="11"/>
      <c r="AX59" s="9"/>
      <c r="AY59" s="55"/>
      <c r="AZ59" s="56"/>
      <c r="BA59" s="55"/>
      <c r="BB59" s="10"/>
      <c r="BC59" s="9"/>
      <c r="BD59" s="11"/>
      <c r="BE59" s="9"/>
      <c r="BF59" s="55"/>
      <c r="BG59" s="56"/>
      <c r="BH59" s="55"/>
      <c r="BI59" s="10"/>
      <c r="BJ59" s="9"/>
      <c r="BK59" s="11"/>
      <c r="BL59" s="9"/>
      <c r="BM59" s="55"/>
      <c r="BN59" s="56"/>
      <c r="BO59" s="55"/>
      <c r="BP59" s="10"/>
      <c r="BQ59" s="9"/>
      <c r="BR59" s="11"/>
      <c r="BS59" s="9"/>
      <c r="BT59" s="55"/>
      <c r="BU59" s="56"/>
      <c r="BV59" s="55"/>
      <c r="BW59" s="10"/>
      <c r="BX59" s="9"/>
      <c r="BY59" s="11"/>
      <c r="BZ59" s="9"/>
      <c r="CA59" s="55"/>
      <c r="CB59" s="56"/>
      <c r="CC59" s="55"/>
      <c r="CD59" s="10"/>
      <c r="CE59" s="9"/>
      <c r="CF59" s="11"/>
      <c r="CG59" s="9"/>
      <c r="CH59" s="55"/>
      <c r="CI59" s="56"/>
      <c r="CJ59" s="55"/>
      <c r="CK59" s="10"/>
      <c r="CL59" s="9"/>
      <c r="CM59" s="11"/>
      <c r="CN59" s="9"/>
      <c r="CO59" s="55"/>
      <c r="CP59" s="56"/>
      <c r="CQ59" s="55"/>
    </row>
    <row r="60" spans="1:95" ht="12.75">
      <c r="A60" s="9" t="s">
        <v>15</v>
      </c>
      <c r="B60" s="9"/>
      <c r="C60" s="9"/>
      <c r="D60" s="10">
        <v>4400503.779999989</v>
      </c>
      <c r="E60" s="15">
        <v>0.03316562741938958</v>
      </c>
      <c r="F60" s="11">
        <v>7253</v>
      </c>
      <c r="G60" s="15">
        <v>0.3281751956925026</v>
      </c>
      <c r="H60" s="9"/>
      <c r="I60" s="9"/>
      <c r="J60" s="10">
        <v>4201133.28</v>
      </c>
      <c r="K60" s="15">
        <v>0.0326303620918923</v>
      </c>
      <c r="L60" s="11">
        <v>4342</v>
      </c>
      <c r="M60" s="15">
        <v>0.23226703755215578</v>
      </c>
      <c r="N60" s="57"/>
      <c r="O60" s="56"/>
      <c r="P60" s="57"/>
      <c r="Q60" s="9"/>
      <c r="R60" s="10">
        <v>3985185.85</v>
      </c>
      <c r="S60" s="15">
        <v>0.031819524713347015</v>
      </c>
      <c r="T60" s="11">
        <v>4151</v>
      </c>
      <c r="U60" s="15">
        <v>0.2299850407224777</v>
      </c>
      <c r="V60" s="57"/>
      <c r="W60" s="56"/>
      <c r="X60" s="57"/>
      <c r="Y60" s="9"/>
      <c r="Z60" s="10">
        <v>3828904.89</v>
      </c>
      <c r="AA60" s="15">
        <v>0.03135189270233001</v>
      </c>
      <c r="AB60" s="11">
        <v>3964</v>
      </c>
      <c r="AC60" s="15">
        <v>0.22750229568411387</v>
      </c>
      <c r="AD60" s="57"/>
      <c r="AE60" s="56"/>
      <c r="AF60" s="57"/>
      <c r="AG60" s="10">
        <v>3759269.65</v>
      </c>
      <c r="AH60" s="15">
        <v>0.03162909784460209</v>
      </c>
      <c r="AI60" s="11">
        <v>3839</v>
      </c>
      <c r="AJ60" s="15">
        <v>0.22786087369420702</v>
      </c>
      <c r="AK60" s="57"/>
      <c r="AL60" s="56"/>
      <c r="AM60" s="57"/>
      <c r="AN60" s="10">
        <v>3716381.609999993</v>
      </c>
      <c r="AO60" s="15">
        <v>0.03207645582915779</v>
      </c>
      <c r="AP60" s="11">
        <v>3674</v>
      </c>
      <c r="AQ60" s="15">
        <v>0.226329082732705</v>
      </c>
      <c r="AR60" s="57"/>
      <c r="AS60" s="56"/>
      <c r="AT60" s="57"/>
      <c r="AU60" s="10">
        <v>3641296.6599999564</v>
      </c>
      <c r="AV60" s="15">
        <v>0.032167702041905215</v>
      </c>
      <c r="AW60" s="11">
        <v>3774</v>
      </c>
      <c r="AX60" s="15">
        <v>0.23691148775894538</v>
      </c>
      <c r="AY60" s="57"/>
      <c r="AZ60" s="56"/>
      <c r="BA60" s="57"/>
      <c r="BB60" s="10">
        <v>3273839.81</v>
      </c>
      <c r="BC60" s="15">
        <v>0.03264197635238354</v>
      </c>
      <c r="BD60" s="11">
        <v>3180</v>
      </c>
      <c r="BE60" s="15">
        <v>0.22950346420323325</v>
      </c>
      <c r="BF60" s="57"/>
      <c r="BG60" s="56"/>
      <c r="BH60" s="57"/>
      <c r="BI60" s="10">
        <v>3218561.11</v>
      </c>
      <c r="BJ60" s="15">
        <v>0.032898750212086984</v>
      </c>
      <c r="BK60" s="11">
        <v>3131</v>
      </c>
      <c r="BL60" s="15">
        <v>0.23289199642963404</v>
      </c>
      <c r="BM60" s="57"/>
      <c r="BN60" s="56"/>
      <c r="BO60" s="57"/>
      <c r="BP60" s="10">
        <v>3007742.63</v>
      </c>
      <c r="BQ60" s="15">
        <v>0.03250939169930795</v>
      </c>
      <c r="BR60" s="11">
        <v>2957</v>
      </c>
      <c r="BS60" s="15">
        <v>0.23419927134484397</v>
      </c>
      <c r="BT60" s="57"/>
      <c r="BU60" s="56"/>
      <c r="BV60" s="57"/>
      <c r="BW60" s="10">
        <v>2935881.12</v>
      </c>
      <c r="BX60" s="15">
        <v>0.03252526758539329</v>
      </c>
      <c r="BY60" s="11">
        <v>2916</v>
      </c>
      <c r="BZ60" s="15">
        <v>0.23763344470703285</v>
      </c>
      <c r="CA60" s="57"/>
      <c r="CB60" s="56"/>
      <c r="CC60" s="57"/>
      <c r="CD60" s="10">
        <v>2774153.24</v>
      </c>
      <c r="CE60" s="15">
        <v>0.03312334116352887</v>
      </c>
      <c r="CF60" s="11">
        <v>2780</v>
      </c>
      <c r="CG60" s="15">
        <v>0.2395932086529346</v>
      </c>
      <c r="CH60" s="57"/>
      <c r="CI60" s="56"/>
      <c r="CJ60" s="57"/>
      <c r="CK60" s="10">
        <v>2604493.66</v>
      </c>
      <c r="CL60" s="15">
        <v>0.03295559035474724</v>
      </c>
      <c r="CM60" s="11">
        <v>2623</v>
      </c>
      <c r="CN60" s="15">
        <v>0.24050981111314873</v>
      </c>
      <c r="CO60" s="57"/>
      <c r="CP60" s="56"/>
      <c r="CQ60" s="57"/>
    </row>
    <row r="61" spans="1:95" ht="12.75">
      <c r="A61" s="9" t="s">
        <v>16</v>
      </c>
      <c r="B61" s="9"/>
      <c r="C61" s="9"/>
      <c r="D61" s="10">
        <v>12219023.569999963</v>
      </c>
      <c r="E61" s="15">
        <v>0.09209208840887743</v>
      </c>
      <c r="F61" s="11">
        <v>4087</v>
      </c>
      <c r="G61" s="15">
        <v>0.18492375910592282</v>
      </c>
      <c r="H61" s="9"/>
      <c r="I61" s="9"/>
      <c r="J61" s="10">
        <v>11789467.599999996</v>
      </c>
      <c r="K61" s="15">
        <v>0.09156924358720467</v>
      </c>
      <c r="L61" s="11">
        <v>3951</v>
      </c>
      <c r="M61" s="15">
        <v>0.2113512356905959</v>
      </c>
      <c r="N61" s="57"/>
      <c r="O61" s="56"/>
      <c r="P61" s="57"/>
      <c r="Q61" s="9"/>
      <c r="R61" s="10">
        <v>11373130.659999983</v>
      </c>
      <c r="S61" s="15">
        <v>0.09080821465427863</v>
      </c>
      <c r="T61" s="11">
        <v>3821</v>
      </c>
      <c r="U61" s="15">
        <v>0.21170147930633276</v>
      </c>
      <c r="V61" s="57"/>
      <c r="W61" s="56"/>
      <c r="X61" s="57"/>
      <c r="Y61" s="9"/>
      <c r="Z61" s="10">
        <v>10972350.069999995</v>
      </c>
      <c r="AA61" s="15">
        <v>0.08984395067777268</v>
      </c>
      <c r="AB61" s="11">
        <v>3689</v>
      </c>
      <c r="AC61" s="15">
        <v>0.21171946740128558</v>
      </c>
      <c r="AD61" s="57"/>
      <c r="AE61" s="56"/>
      <c r="AF61" s="57"/>
      <c r="AG61" s="10">
        <v>10585226.410000004</v>
      </c>
      <c r="AH61" s="15">
        <v>0.08906016141437362</v>
      </c>
      <c r="AI61" s="11">
        <v>3558</v>
      </c>
      <c r="AJ61" s="15">
        <v>0.21118233618233617</v>
      </c>
      <c r="AK61" s="57"/>
      <c r="AL61" s="56"/>
      <c r="AM61" s="57"/>
      <c r="AN61" s="10">
        <v>10123566.140000008</v>
      </c>
      <c r="AO61" s="15">
        <v>0.08737749676984014</v>
      </c>
      <c r="AP61" s="11">
        <v>3403</v>
      </c>
      <c r="AQ61" s="15">
        <v>0.20963469475759255</v>
      </c>
      <c r="AR61" s="57"/>
      <c r="AS61" s="56"/>
      <c r="AT61" s="57"/>
      <c r="AU61" s="10">
        <v>9633598.180000002</v>
      </c>
      <c r="AV61" s="15">
        <v>0.08510449567316608</v>
      </c>
      <c r="AW61" s="11">
        <v>3245</v>
      </c>
      <c r="AX61" s="15">
        <v>0.2037037037037037</v>
      </c>
      <c r="AY61" s="57"/>
      <c r="AZ61" s="56"/>
      <c r="BA61" s="57"/>
      <c r="BB61" s="10">
        <v>8431630.419999981</v>
      </c>
      <c r="BC61" s="15">
        <v>0.0840679742304426</v>
      </c>
      <c r="BD61" s="11">
        <v>2839</v>
      </c>
      <c r="BE61" s="15">
        <v>0.2048931870669746</v>
      </c>
      <c r="BF61" s="57"/>
      <c r="BG61" s="56"/>
      <c r="BH61" s="57"/>
      <c r="BI61" s="10">
        <v>8015300.730000004</v>
      </c>
      <c r="BJ61" s="15">
        <v>0.08192896377568817</v>
      </c>
      <c r="BK61" s="11">
        <v>2700</v>
      </c>
      <c r="BL61" s="15">
        <v>0.2008330853912526</v>
      </c>
      <c r="BM61" s="57"/>
      <c r="BN61" s="56"/>
      <c r="BO61" s="57"/>
      <c r="BP61" s="10">
        <v>7391544.800000009</v>
      </c>
      <c r="BQ61" s="15">
        <v>0.07989201694633803</v>
      </c>
      <c r="BR61" s="11">
        <v>2492</v>
      </c>
      <c r="BS61" s="15">
        <v>0.19737050530651037</v>
      </c>
      <c r="BT61" s="57"/>
      <c r="BU61" s="56"/>
      <c r="BV61" s="57"/>
      <c r="BW61" s="10">
        <v>6988057.39000001</v>
      </c>
      <c r="BX61" s="15">
        <v>0.07741745228152687</v>
      </c>
      <c r="BY61" s="11">
        <v>2355</v>
      </c>
      <c r="BZ61" s="15">
        <v>0.19191589927471273</v>
      </c>
      <c r="CA61" s="57"/>
      <c r="CB61" s="56"/>
      <c r="CC61" s="57"/>
      <c r="CD61" s="10">
        <v>6645457.110000013</v>
      </c>
      <c r="CE61" s="15">
        <v>0.07934664165925066</v>
      </c>
      <c r="CF61" s="11">
        <v>2239</v>
      </c>
      <c r="CG61" s="15">
        <v>0.19296733603378435</v>
      </c>
      <c r="CH61" s="57"/>
      <c r="CI61" s="56"/>
      <c r="CJ61" s="57"/>
      <c r="CK61" s="10">
        <v>6076314.010000004</v>
      </c>
      <c r="CL61" s="15">
        <v>0.07688577570980605</v>
      </c>
      <c r="CM61" s="11">
        <v>2052</v>
      </c>
      <c r="CN61" s="15">
        <v>0.18815331010452963</v>
      </c>
      <c r="CO61" s="57"/>
      <c r="CP61" s="56"/>
      <c r="CQ61" s="57"/>
    </row>
    <row r="62" spans="1:95" ht="12.75">
      <c r="A62" s="9" t="s">
        <v>17</v>
      </c>
      <c r="B62" s="9"/>
      <c r="C62" s="9"/>
      <c r="D62" s="10">
        <v>14690546.870000012</v>
      </c>
      <c r="E62" s="15">
        <v>0.11071941496605223</v>
      </c>
      <c r="F62" s="11">
        <v>2983</v>
      </c>
      <c r="G62" s="15">
        <v>0.13497126826840414</v>
      </c>
      <c r="H62" s="9"/>
      <c r="I62" s="9"/>
      <c r="J62" s="10">
        <v>14096844.690000022</v>
      </c>
      <c r="K62" s="15">
        <v>0.10949072927004821</v>
      </c>
      <c r="L62" s="11">
        <v>2858</v>
      </c>
      <c r="M62" s="15">
        <v>0.15288327805713062</v>
      </c>
      <c r="N62" s="57"/>
      <c r="O62" s="56"/>
      <c r="P62" s="57"/>
      <c r="Q62" s="9"/>
      <c r="R62" s="10">
        <v>13504504.160000002</v>
      </c>
      <c r="S62" s="15">
        <v>0.10782606383604852</v>
      </c>
      <c r="T62" s="11">
        <v>2738</v>
      </c>
      <c r="U62" s="15">
        <v>0.1516981550224389</v>
      </c>
      <c r="V62" s="57"/>
      <c r="W62" s="56"/>
      <c r="X62" s="57"/>
      <c r="Y62" s="9"/>
      <c r="Z62" s="10">
        <v>12872461.16</v>
      </c>
      <c r="AA62" s="15">
        <v>0.10540246694485797</v>
      </c>
      <c r="AB62" s="11">
        <v>2606</v>
      </c>
      <c r="AC62" s="15">
        <v>0.14956382001836546</v>
      </c>
      <c r="AD62" s="57"/>
      <c r="AE62" s="56"/>
      <c r="AF62" s="57"/>
      <c r="AG62" s="10">
        <v>12152333.339999987</v>
      </c>
      <c r="AH62" s="15">
        <v>0.10224521676732586</v>
      </c>
      <c r="AI62" s="11">
        <v>2460</v>
      </c>
      <c r="AJ62" s="15">
        <v>0.146011396011396</v>
      </c>
      <c r="AK62" s="57"/>
      <c r="AL62" s="56"/>
      <c r="AM62" s="57"/>
      <c r="AN62" s="10">
        <v>11587157.630000021</v>
      </c>
      <c r="AO62" s="15">
        <v>0.10000989911910177</v>
      </c>
      <c r="AP62" s="11">
        <v>2344</v>
      </c>
      <c r="AQ62" s="15">
        <v>0.1443972155485739</v>
      </c>
      <c r="AR62" s="57"/>
      <c r="AS62" s="56"/>
      <c r="AT62" s="57"/>
      <c r="AU62" s="10">
        <v>11055103.020000022</v>
      </c>
      <c r="AV62" s="15">
        <v>0.09766225968249768</v>
      </c>
      <c r="AW62" s="11">
        <v>2236</v>
      </c>
      <c r="AX62" s="15">
        <v>0.1403640929064658</v>
      </c>
      <c r="AY62" s="57"/>
      <c r="AZ62" s="56"/>
      <c r="BA62" s="57"/>
      <c r="BB62" s="10">
        <v>9389386.470000008</v>
      </c>
      <c r="BC62" s="15">
        <v>0.09361732671860026</v>
      </c>
      <c r="BD62" s="11">
        <v>1900</v>
      </c>
      <c r="BE62" s="15">
        <v>0.13712471131639722</v>
      </c>
      <c r="BF62" s="57"/>
      <c r="BG62" s="56"/>
      <c r="BH62" s="57"/>
      <c r="BI62" s="10">
        <v>8904196.080000004</v>
      </c>
      <c r="BJ62" s="15">
        <v>0.09101487051627377</v>
      </c>
      <c r="BK62" s="11">
        <v>1803</v>
      </c>
      <c r="BL62" s="15">
        <v>0.13411187146682535</v>
      </c>
      <c r="BM62" s="57"/>
      <c r="BN62" s="56"/>
      <c r="BO62" s="57"/>
      <c r="BP62" s="10">
        <v>8285233.510000003</v>
      </c>
      <c r="BQ62" s="15">
        <v>0.08955151242339586</v>
      </c>
      <c r="BR62" s="11">
        <v>1675</v>
      </c>
      <c r="BS62" s="15">
        <v>0.1326627593853952</v>
      </c>
      <c r="BT62" s="57"/>
      <c r="BU62" s="56"/>
      <c r="BV62" s="57"/>
      <c r="BW62" s="10">
        <v>8094982.01</v>
      </c>
      <c r="BX62" s="15">
        <v>0.08968055762904839</v>
      </c>
      <c r="BY62" s="11">
        <v>1632</v>
      </c>
      <c r="BZ62" s="15">
        <v>0.13299649580311304</v>
      </c>
      <c r="CA62" s="57"/>
      <c r="CB62" s="56"/>
      <c r="CC62" s="57"/>
      <c r="CD62" s="10">
        <v>7713711.330000006</v>
      </c>
      <c r="CE62" s="15">
        <v>0.09210157836146368</v>
      </c>
      <c r="CF62" s="11">
        <v>1554</v>
      </c>
      <c r="CG62" s="15">
        <v>0.13393087994484185</v>
      </c>
      <c r="CH62" s="57"/>
      <c r="CI62" s="56"/>
      <c r="CJ62" s="57"/>
      <c r="CK62" s="10">
        <v>7269866.860000004</v>
      </c>
      <c r="CL62" s="15">
        <v>0.09198822705973221</v>
      </c>
      <c r="CM62" s="11">
        <v>1463</v>
      </c>
      <c r="CN62" s="15">
        <v>0.13414634146341464</v>
      </c>
      <c r="CO62" s="57"/>
      <c r="CP62" s="56"/>
      <c r="CQ62" s="57"/>
    </row>
    <row r="63" spans="1:95" ht="12.75">
      <c r="A63" s="9" t="s">
        <v>18</v>
      </c>
      <c r="B63" s="9"/>
      <c r="C63" s="9"/>
      <c r="D63" s="10">
        <v>13884187.309999995</v>
      </c>
      <c r="E63" s="15">
        <v>0.10464206062890323</v>
      </c>
      <c r="F63" s="11">
        <v>2001</v>
      </c>
      <c r="G63" s="15">
        <v>0.09053888964300258</v>
      </c>
      <c r="H63" s="9"/>
      <c r="I63" s="9"/>
      <c r="J63" s="10">
        <v>13239191.940000009</v>
      </c>
      <c r="K63" s="15">
        <v>0.1028293077162889</v>
      </c>
      <c r="L63" s="11">
        <v>1907</v>
      </c>
      <c r="M63" s="15">
        <v>0.10201134053707071</v>
      </c>
      <c r="N63" s="57"/>
      <c r="O63" s="56"/>
      <c r="P63" s="57"/>
      <c r="Q63" s="9"/>
      <c r="R63" s="10">
        <v>12621031.909999996</v>
      </c>
      <c r="S63" s="15">
        <v>0.10077202215504852</v>
      </c>
      <c r="T63" s="11">
        <v>1818</v>
      </c>
      <c r="U63" s="15">
        <v>0.10072580198348939</v>
      </c>
      <c r="V63" s="57"/>
      <c r="W63" s="56"/>
      <c r="X63" s="57"/>
      <c r="Y63" s="9"/>
      <c r="Z63" s="10">
        <v>12061765.109999992</v>
      </c>
      <c r="AA63" s="15">
        <v>0.09876431418212299</v>
      </c>
      <c r="AB63" s="11">
        <v>1736</v>
      </c>
      <c r="AC63" s="15">
        <v>0.09963269054178145</v>
      </c>
      <c r="AD63" s="57"/>
      <c r="AE63" s="56"/>
      <c r="AF63" s="57"/>
      <c r="AG63" s="10">
        <v>11599472.739999995</v>
      </c>
      <c r="AH63" s="15">
        <v>0.09759365312867463</v>
      </c>
      <c r="AI63" s="11">
        <v>1670</v>
      </c>
      <c r="AJ63" s="15">
        <v>0.09912155745489079</v>
      </c>
      <c r="AK63" s="57"/>
      <c r="AL63" s="56"/>
      <c r="AM63" s="57"/>
      <c r="AN63" s="10">
        <v>11162041.289999982</v>
      </c>
      <c r="AO63" s="15">
        <v>0.09634067810434584</v>
      </c>
      <c r="AP63" s="11">
        <v>1606</v>
      </c>
      <c r="AQ63" s="15">
        <v>0.09893426969752972</v>
      </c>
      <c r="AR63" s="57"/>
      <c r="AS63" s="56"/>
      <c r="AT63" s="57"/>
      <c r="AU63" s="10">
        <v>10834943.699999992</v>
      </c>
      <c r="AV63" s="15">
        <v>0.09571734278371649</v>
      </c>
      <c r="AW63" s="11">
        <v>1559</v>
      </c>
      <c r="AX63" s="15">
        <v>0.09786566227244194</v>
      </c>
      <c r="AY63" s="57"/>
      <c r="AZ63" s="56"/>
      <c r="BA63" s="57"/>
      <c r="BB63" s="10">
        <v>9429220.570000004</v>
      </c>
      <c r="BC63" s="15">
        <v>0.09401449451717327</v>
      </c>
      <c r="BD63" s="11">
        <v>1355</v>
      </c>
      <c r="BE63" s="15">
        <v>0.09779157043879907</v>
      </c>
      <c r="BF63" s="57"/>
      <c r="BG63" s="56"/>
      <c r="BH63" s="57"/>
      <c r="BI63" s="10">
        <v>9244971.099999985</v>
      </c>
      <c r="BJ63" s="15">
        <v>0.09449812650500294</v>
      </c>
      <c r="BK63" s="11">
        <v>1329</v>
      </c>
      <c r="BL63" s="15">
        <v>0.09885450758702767</v>
      </c>
      <c r="BM63" s="57"/>
      <c r="BN63" s="56"/>
      <c r="BO63" s="57"/>
      <c r="BP63" s="10">
        <v>8667738.109999992</v>
      </c>
      <c r="BQ63" s="15">
        <v>0.093685839524444</v>
      </c>
      <c r="BR63" s="11">
        <v>1246</v>
      </c>
      <c r="BS63" s="15">
        <v>0.09868525265325519</v>
      </c>
      <c r="BT63" s="57"/>
      <c r="BU63" s="56"/>
      <c r="BV63" s="57"/>
      <c r="BW63" s="10">
        <v>8553134.199999997</v>
      </c>
      <c r="BX63" s="15">
        <v>0.09475621361289283</v>
      </c>
      <c r="BY63" s="11">
        <v>1225</v>
      </c>
      <c r="BZ63" s="15">
        <v>0.09982886480319453</v>
      </c>
      <c r="CA63" s="57"/>
      <c r="CB63" s="56"/>
      <c r="CC63" s="57"/>
      <c r="CD63" s="10">
        <v>8334410.379999997</v>
      </c>
      <c r="CE63" s="15">
        <v>0.09951271416196042</v>
      </c>
      <c r="CF63" s="11">
        <v>1196</v>
      </c>
      <c r="CG63" s="15">
        <v>0.10307679048521934</v>
      </c>
      <c r="CH63" s="57"/>
      <c r="CI63" s="56"/>
      <c r="CJ63" s="57"/>
      <c r="CK63" s="10">
        <v>7903726.399999993</v>
      </c>
      <c r="CL63" s="15">
        <v>0.10000867865979031</v>
      </c>
      <c r="CM63" s="11">
        <v>1135</v>
      </c>
      <c r="CN63" s="15">
        <v>0.10407115349348982</v>
      </c>
      <c r="CO63" s="57"/>
      <c r="CP63" s="56"/>
      <c r="CQ63" s="57"/>
    </row>
    <row r="64" spans="1:95" ht="12.75">
      <c r="A64" s="9" t="s">
        <v>19</v>
      </c>
      <c r="B64" s="9"/>
      <c r="C64" s="9"/>
      <c r="D64" s="10">
        <v>11911976.109999992</v>
      </c>
      <c r="E64" s="15">
        <v>0.08977793935514591</v>
      </c>
      <c r="F64" s="11">
        <v>1334</v>
      </c>
      <c r="G64" s="15">
        <v>0.06035925976200172</v>
      </c>
      <c r="H64" s="9"/>
      <c r="I64" s="9"/>
      <c r="J64" s="10">
        <v>11529637.020000007</v>
      </c>
      <c r="K64" s="15">
        <v>0.08955112958251257</v>
      </c>
      <c r="L64" s="11">
        <v>1290</v>
      </c>
      <c r="M64" s="15">
        <v>0.06900609821333048</v>
      </c>
      <c r="N64" s="57"/>
      <c r="O64" s="56"/>
      <c r="P64" s="57"/>
      <c r="Q64" s="9"/>
      <c r="R64" s="10">
        <v>11228501.500000007</v>
      </c>
      <c r="S64" s="15">
        <v>0.08965343008359422</v>
      </c>
      <c r="T64" s="11">
        <v>1257</v>
      </c>
      <c r="U64" s="15">
        <v>0.069643747576043</v>
      </c>
      <c r="V64" s="57"/>
      <c r="W64" s="56"/>
      <c r="X64" s="57"/>
      <c r="Y64" s="9"/>
      <c r="Z64" s="10">
        <v>11047355.340000004</v>
      </c>
      <c r="AA64" s="15">
        <v>0.09045810988117603</v>
      </c>
      <c r="AB64" s="11">
        <v>1236</v>
      </c>
      <c r="AC64" s="15">
        <v>0.0709366391184573</v>
      </c>
      <c r="AD64" s="57"/>
      <c r="AE64" s="56"/>
      <c r="AF64" s="57"/>
      <c r="AG64" s="10">
        <v>10907646.749999998</v>
      </c>
      <c r="AH64" s="15">
        <v>0.09177288633979887</v>
      </c>
      <c r="AI64" s="11">
        <v>1221</v>
      </c>
      <c r="AJ64" s="15">
        <v>0.07247150997150997</v>
      </c>
      <c r="AK64" s="57"/>
      <c r="AL64" s="56"/>
      <c r="AM64" s="57"/>
      <c r="AN64" s="10">
        <v>10831331.62</v>
      </c>
      <c r="AO64" s="15">
        <v>0.09348629035969497</v>
      </c>
      <c r="AP64" s="11">
        <v>1211</v>
      </c>
      <c r="AQ64" s="15">
        <v>0.07460112117291937</v>
      </c>
      <c r="AR64" s="57"/>
      <c r="AS64" s="56"/>
      <c r="AT64" s="57"/>
      <c r="AU64" s="10">
        <v>10849531.200000007</v>
      </c>
      <c r="AV64" s="15">
        <v>0.09584621071109288</v>
      </c>
      <c r="AW64" s="11">
        <v>1213</v>
      </c>
      <c r="AX64" s="15">
        <v>0.07614563716258632</v>
      </c>
      <c r="AY64" s="57"/>
      <c r="AZ64" s="56"/>
      <c r="BA64" s="57"/>
      <c r="BB64" s="10">
        <v>9591542.110000003</v>
      </c>
      <c r="BC64" s="15">
        <v>0.09563292919255907</v>
      </c>
      <c r="BD64" s="11">
        <v>1072</v>
      </c>
      <c r="BE64" s="15">
        <v>0.07736720554272518</v>
      </c>
      <c r="BF64" s="57"/>
      <c r="BG64" s="56"/>
      <c r="BH64" s="57"/>
      <c r="BI64" s="10">
        <v>9441154.789999995</v>
      </c>
      <c r="BJ64" s="15">
        <v>0.09650343197922334</v>
      </c>
      <c r="BK64" s="11">
        <v>1056</v>
      </c>
      <c r="BL64" s="15">
        <v>0.07854805117524546</v>
      </c>
      <c r="BM64" s="57"/>
      <c r="BN64" s="56"/>
      <c r="BO64" s="57"/>
      <c r="BP64" s="10">
        <v>8949560.899999995</v>
      </c>
      <c r="BQ64" s="15">
        <v>0.09673194040372764</v>
      </c>
      <c r="BR64" s="11">
        <v>1002</v>
      </c>
      <c r="BS64" s="15">
        <v>0.07936005068905433</v>
      </c>
      <c r="BT64" s="57"/>
      <c r="BU64" s="56"/>
      <c r="BV64" s="57"/>
      <c r="BW64" s="10">
        <v>8508863.559999999</v>
      </c>
      <c r="BX64" s="15">
        <v>0.09426575969009347</v>
      </c>
      <c r="BY64" s="11">
        <v>952</v>
      </c>
      <c r="BZ64" s="15">
        <v>0.0775812892184826</v>
      </c>
      <c r="CA64" s="57"/>
      <c r="CB64" s="56"/>
      <c r="CC64" s="57"/>
      <c r="CD64" s="10">
        <v>8045508.719999996</v>
      </c>
      <c r="CE64" s="15">
        <v>0.09606323339467235</v>
      </c>
      <c r="CF64" s="11">
        <v>900</v>
      </c>
      <c r="CG64" s="15">
        <v>0.07756614668620185</v>
      </c>
      <c r="CH64" s="57"/>
      <c r="CI64" s="56"/>
      <c r="CJ64" s="57"/>
      <c r="CK64" s="10">
        <v>7529788.409999995</v>
      </c>
      <c r="CL64" s="15">
        <v>0.09527710745046837</v>
      </c>
      <c r="CM64" s="11">
        <v>842</v>
      </c>
      <c r="CN64" s="15">
        <v>0.07720520814230698</v>
      </c>
      <c r="CO64" s="57"/>
      <c r="CP64" s="56"/>
      <c r="CQ64" s="57"/>
    </row>
    <row r="65" spans="1:95" ht="12.75">
      <c r="A65" s="9" t="s">
        <v>20</v>
      </c>
      <c r="B65" s="9"/>
      <c r="C65" s="9"/>
      <c r="D65" s="10">
        <v>13724505.479999976</v>
      </c>
      <c r="E65" s="15">
        <v>0.10343857385916184</v>
      </c>
      <c r="F65" s="11">
        <v>1242</v>
      </c>
      <c r="G65" s="15">
        <v>0.056196552192208496</v>
      </c>
      <c r="H65" s="9"/>
      <c r="I65" s="9"/>
      <c r="J65" s="10">
        <v>13637940.660000004</v>
      </c>
      <c r="K65" s="15">
        <v>0.10592640420194917</v>
      </c>
      <c r="L65" s="11">
        <v>1235</v>
      </c>
      <c r="M65" s="15">
        <v>0.06606397774687066</v>
      </c>
      <c r="N65" s="57"/>
      <c r="O65" s="56"/>
      <c r="P65" s="57"/>
      <c r="Q65" s="9"/>
      <c r="R65" s="10">
        <v>13372388.83</v>
      </c>
      <c r="S65" s="15">
        <v>0.10677119533902547</v>
      </c>
      <c r="T65" s="11">
        <v>1214</v>
      </c>
      <c r="U65" s="15">
        <v>0.06726134411878774</v>
      </c>
      <c r="V65" s="57"/>
      <c r="W65" s="56"/>
      <c r="X65" s="57"/>
      <c r="Y65" s="9"/>
      <c r="Z65" s="10">
        <v>12957691.209999992</v>
      </c>
      <c r="AA65" s="15">
        <v>0.10610034883521069</v>
      </c>
      <c r="AB65" s="11">
        <v>1180</v>
      </c>
      <c r="AC65" s="15">
        <v>0.067722681359045</v>
      </c>
      <c r="AD65" s="57"/>
      <c r="AE65" s="56"/>
      <c r="AF65" s="57"/>
      <c r="AG65" s="10">
        <v>12425820.830000011</v>
      </c>
      <c r="AH65" s="15">
        <v>0.10454623887689583</v>
      </c>
      <c r="AI65" s="11">
        <v>1134</v>
      </c>
      <c r="AJ65" s="15">
        <v>0.0673076923076923</v>
      </c>
      <c r="AK65" s="57"/>
      <c r="AL65" s="56"/>
      <c r="AM65" s="57"/>
      <c r="AN65" s="10">
        <v>11749978.959999993</v>
      </c>
      <c r="AO65" s="15">
        <v>0.10141522606016067</v>
      </c>
      <c r="AP65" s="11">
        <v>1073</v>
      </c>
      <c r="AQ65" s="15">
        <v>0.06609991991622005</v>
      </c>
      <c r="AR65" s="57"/>
      <c r="AS65" s="56"/>
      <c r="AT65" s="57"/>
      <c r="AU65" s="10">
        <v>11096798.199999986</v>
      </c>
      <c r="AV65" s="15">
        <v>0.09803060048305813</v>
      </c>
      <c r="AW65" s="11">
        <v>1013</v>
      </c>
      <c r="AX65" s="15">
        <v>0.06359070935342122</v>
      </c>
      <c r="AY65" s="57"/>
      <c r="AZ65" s="56"/>
      <c r="BA65" s="57"/>
      <c r="BB65" s="10">
        <v>9659044.829999993</v>
      </c>
      <c r="BC65" s="15">
        <v>0.09630596828971673</v>
      </c>
      <c r="BD65" s="11">
        <v>882</v>
      </c>
      <c r="BE65" s="15">
        <v>0.06365473441108545</v>
      </c>
      <c r="BF65" s="57"/>
      <c r="BG65" s="56"/>
      <c r="BH65" s="57"/>
      <c r="BI65" s="10">
        <v>9180647.329999989</v>
      </c>
      <c r="BJ65" s="15">
        <v>0.09384063653678246</v>
      </c>
      <c r="BK65" s="11">
        <v>838</v>
      </c>
      <c r="BL65" s="15">
        <v>0.06233263909550729</v>
      </c>
      <c r="BM65" s="57"/>
      <c r="BN65" s="56"/>
      <c r="BO65" s="57"/>
      <c r="BP65" s="10">
        <v>8652553.51999999</v>
      </c>
      <c r="BQ65" s="15">
        <v>0.0935217158460482</v>
      </c>
      <c r="BR65" s="11">
        <v>789</v>
      </c>
      <c r="BS65" s="15">
        <v>0.062490099794075715</v>
      </c>
      <c r="BT65" s="57"/>
      <c r="BU65" s="56"/>
      <c r="BV65" s="57"/>
      <c r="BW65" s="10">
        <v>8382106.159999991</v>
      </c>
      <c r="BX65" s="15">
        <v>0.09286147314547037</v>
      </c>
      <c r="BY65" s="11">
        <v>764</v>
      </c>
      <c r="BZ65" s="15">
        <v>0.06226061445684948</v>
      </c>
      <c r="CA65" s="57"/>
      <c r="CB65" s="56"/>
      <c r="CC65" s="57"/>
      <c r="CD65" s="10">
        <v>7910360.639999993</v>
      </c>
      <c r="CE65" s="15">
        <v>0.09444956768331605</v>
      </c>
      <c r="CF65" s="11">
        <v>721</v>
      </c>
      <c r="CG65" s="15">
        <v>0.06213910195639059</v>
      </c>
      <c r="CH65" s="57"/>
      <c r="CI65" s="56"/>
      <c r="CJ65" s="57"/>
      <c r="CK65" s="10">
        <v>7460467.549999992</v>
      </c>
      <c r="CL65" s="15">
        <v>0.09439996580090917</v>
      </c>
      <c r="CM65" s="11">
        <v>680</v>
      </c>
      <c r="CN65" s="15">
        <v>0.062350999449844124</v>
      </c>
      <c r="CO65" s="57"/>
      <c r="CP65" s="56"/>
      <c r="CQ65" s="57"/>
    </row>
    <row r="66" spans="1:95" ht="12.75">
      <c r="A66" s="9" t="s">
        <v>21</v>
      </c>
      <c r="B66" s="9"/>
      <c r="C66" s="9"/>
      <c r="D66" s="10">
        <v>11724779.770000026</v>
      </c>
      <c r="E66" s="15">
        <v>0.08836708178585363</v>
      </c>
      <c r="F66" s="11">
        <v>910</v>
      </c>
      <c r="G66" s="15">
        <v>0.04117460748382426</v>
      </c>
      <c r="H66" s="9"/>
      <c r="I66" s="9"/>
      <c r="J66" s="10">
        <v>10981955.350000003</v>
      </c>
      <c r="K66" s="15">
        <v>0.08529726520542422</v>
      </c>
      <c r="L66" s="11">
        <v>850</v>
      </c>
      <c r="M66" s="15">
        <v>0.045469134481651866</v>
      </c>
      <c r="N66" s="57"/>
      <c r="O66" s="56"/>
      <c r="P66" s="57"/>
      <c r="Q66" s="9"/>
      <c r="R66" s="10">
        <v>10559586.730000006</v>
      </c>
      <c r="S66" s="15">
        <v>0.08431251228044136</v>
      </c>
      <c r="T66" s="11">
        <v>816</v>
      </c>
      <c r="U66" s="15">
        <v>0.045210260956285664</v>
      </c>
      <c r="V66" s="57"/>
      <c r="W66" s="56"/>
      <c r="X66" s="57"/>
      <c r="Y66" s="9"/>
      <c r="Z66" s="10">
        <v>10370923.540000008</v>
      </c>
      <c r="AA66" s="15">
        <v>0.08491934153270347</v>
      </c>
      <c r="AB66" s="11">
        <v>801</v>
      </c>
      <c r="AC66" s="15">
        <v>0.04597107438016529</v>
      </c>
      <c r="AD66" s="57"/>
      <c r="AE66" s="56"/>
      <c r="AF66" s="57"/>
      <c r="AG66" s="10">
        <v>10183372.289999992</v>
      </c>
      <c r="AH66" s="15">
        <v>0.08567911018259064</v>
      </c>
      <c r="AI66" s="11">
        <v>786</v>
      </c>
      <c r="AJ66" s="15">
        <v>0.04665242165242165</v>
      </c>
      <c r="AK66" s="57"/>
      <c r="AL66" s="56"/>
      <c r="AM66" s="57"/>
      <c r="AN66" s="10">
        <v>10006559.910000008</v>
      </c>
      <c r="AO66" s="15">
        <v>0.08636760447077364</v>
      </c>
      <c r="AP66" s="11">
        <v>772</v>
      </c>
      <c r="AQ66" s="15">
        <v>0.047557444711390374</v>
      </c>
      <c r="AR66" s="57"/>
      <c r="AS66" s="56"/>
      <c r="AT66" s="57"/>
      <c r="AU66" s="10">
        <v>9826785.940000009</v>
      </c>
      <c r="AV66" s="15">
        <v>0.08681114220106075</v>
      </c>
      <c r="AW66" s="11">
        <v>758</v>
      </c>
      <c r="AX66" s="15">
        <v>0.04758317639673572</v>
      </c>
      <c r="AY66" s="57"/>
      <c r="AZ66" s="56"/>
      <c r="BA66" s="57"/>
      <c r="BB66" s="10">
        <v>8880762.980000002</v>
      </c>
      <c r="BC66" s="15">
        <v>0.08854607189356746</v>
      </c>
      <c r="BD66" s="11">
        <v>685</v>
      </c>
      <c r="BE66" s="15">
        <v>0.04943706697459584</v>
      </c>
      <c r="BF66" s="57"/>
      <c r="BG66" s="56"/>
      <c r="BH66" s="57"/>
      <c r="BI66" s="10">
        <v>8697834.51</v>
      </c>
      <c r="BJ66" s="15">
        <v>0.08890553112119103</v>
      </c>
      <c r="BK66" s="11">
        <v>671</v>
      </c>
      <c r="BL66" s="15">
        <v>0.04991074085093722</v>
      </c>
      <c r="BM66" s="57"/>
      <c r="BN66" s="56"/>
      <c r="BO66" s="57"/>
      <c r="BP66" s="10">
        <v>8306004.44</v>
      </c>
      <c r="BQ66" s="15">
        <v>0.08977601643932918</v>
      </c>
      <c r="BR66" s="11">
        <v>640</v>
      </c>
      <c r="BS66" s="15">
        <v>0.05068905433233011</v>
      </c>
      <c r="BT66" s="57"/>
      <c r="BU66" s="56"/>
      <c r="BV66" s="57"/>
      <c r="BW66" s="10">
        <v>8199057.639999999</v>
      </c>
      <c r="BX66" s="15">
        <v>0.09083356334573367</v>
      </c>
      <c r="BY66" s="11">
        <v>632</v>
      </c>
      <c r="BZ66" s="15">
        <v>0.0515035449433624</v>
      </c>
      <c r="CA66" s="57"/>
      <c r="CB66" s="56"/>
      <c r="CC66" s="57"/>
      <c r="CD66" s="10">
        <v>7687927.049999999</v>
      </c>
      <c r="CE66" s="15">
        <v>0.09179371450925047</v>
      </c>
      <c r="CF66" s="11">
        <v>593</v>
      </c>
      <c r="CG66" s="15">
        <v>0.051107472205464105</v>
      </c>
      <c r="CH66" s="57"/>
      <c r="CI66" s="56"/>
      <c r="CJ66" s="57"/>
      <c r="CK66" s="10">
        <v>7139406.409999999</v>
      </c>
      <c r="CL66" s="15">
        <v>0.09033746429776943</v>
      </c>
      <c r="CM66" s="11">
        <v>551</v>
      </c>
      <c r="CN66" s="15">
        <v>0.050522648083623695</v>
      </c>
      <c r="CO66" s="57"/>
      <c r="CP66" s="56"/>
      <c r="CQ66" s="57"/>
    </row>
    <row r="67" spans="1:95" ht="12.75">
      <c r="A67" s="9" t="s">
        <v>22</v>
      </c>
      <c r="B67" s="9"/>
      <c r="C67" s="9"/>
      <c r="D67" s="10">
        <v>8428692.199999997</v>
      </c>
      <c r="E67" s="15">
        <v>0.06352519600333481</v>
      </c>
      <c r="F67" s="11">
        <v>563</v>
      </c>
      <c r="G67" s="15">
        <v>0.025473960454278088</v>
      </c>
      <c r="H67" s="9"/>
      <c r="I67" s="9"/>
      <c r="J67" s="10">
        <v>8308521.250000006</v>
      </c>
      <c r="K67" s="15">
        <v>0.06453260079282265</v>
      </c>
      <c r="L67" s="11">
        <v>555</v>
      </c>
      <c r="M67" s="15">
        <v>0.02968867016154916</v>
      </c>
      <c r="N67" s="57"/>
      <c r="O67" s="56"/>
      <c r="P67" s="57"/>
      <c r="Q67" s="9"/>
      <c r="R67" s="10">
        <v>8185434.450000009</v>
      </c>
      <c r="S67" s="15">
        <v>0.06535620760855033</v>
      </c>
      <c r="T67" s="11">
        <v>547</v>
      </c>
      <c r="U67" s="15">
        <v>0.030306388165549338</v>
      </c>
      <c r="V67" s="57"/>
      <c r="W67" s="56"/>
      <c r="X67" s="57"/>
      <c r="Y67" s="9"/>
      <c r="Z67" s="10">
        <v>8121781.220000007</v>
      </c>
      <c r="AA67" s="15">
        <v>0.06650288285464277</v>
      </c>
      <c r="AB67" s="11">
        <v>543</v>
      </c>
      <c r="AC67" s="15">
        <v>0.031163911845730027</v>
      </c>
      <c r="AD67" s="57"/>
      <c r="AE67" s="56"/>
      <c r="AF67" s="57"/>
      <c r="AG67" s="10">
        <v>7941591.7100000065</v>
      </c>
      <c r="AH67" s="15">
        <v>0.06681760145550365</v>
      </c>
      <c r="AI67" s="11">
        <v>531</v>
      </c>
      <c r="AJ67" s="15">
        <v>0.031517094017094016</v>
      </c>
      <c r="AK67" s="57"/>
      <c r="AL67" s="56"/>
      <c r="AM67" s="57"/>
      <c r="AN67" s="10">
        <v>7794453.320000007</v>
      </c>
      <c r="AO67" s="15">
        <v>0.06727469454661653</v>
      </c>
      <c r="AP67" s="11">
        <v>521</v>
      </c>
      <c r="AQ67" s="15">
        <v>0.03209511488942278</v>
      </c>
      <c r="AR67" s="57"/>
      <c r="AS67" s="56"/>
      <c r="AT67" s="57"/>
      <c r="AU67" s="10">
        <v>7718907.2100000065</v>
      </c>
      <c r="AV67" s="15">
        <v>0.06818985938388142</v>
      </c>
      <c r="AW67" s="11">
        <v>516</v>
      </c>
      <c r="AX67" s="15">
        <v>0.03239171374764595</v>
      </c>
      <c r="AY67" s="57"/>
      <c r="AZ67" s="56"/>
      <c r="BA67" s="57"/>
      <c r="BB67" s="10">
        <v>7097016.439999998</v>
      </c>
      <c r="BC67" s="15">
        <v>0.07076114173312503</v>
      </c>
      <c r="BD67" s="11">
        <v>474</v>
      </c>
      <c r="BE67" s="15">
        <v>0.03420900692840647</v>
      </c>
      <c r="BF67" s="57"/>
      <c r="BG67" s="56"/>
      <c r="BH67" s="57"/>
      <c r="BI67" s="10">
        <v>6948236.800000001</v>
      </c>
      <c r="BJ67" s="15">
        <v>0.07102189428294892</v>
      </c>
      <c r="BK67" s="11">
        <v>464</v>
      </c>
      <c r="BL67" s="15">
        <v>0.03451353763760785</v>
      </c>
      <c r="BM67" s="57"/>
      <c r="BN67" s="56"/>
      <c r="BO67" s="57"/>
      <c r="BP67" s="10">
        <v>6593208.370000001</v>
      </c>
      <c r="BQ67" s="15">
        <v>0.07126314310193685</v>
      </c>
      <c r="BR67" s="11">
        <v>440</v>
      </c>
      <c r="BS67" s="15">
        <v>0.03484872485347695</v>
      </c>
      <c r="BT67" s="57"/>
      <c r="BU67" s="56"/>
      <c r="BV67" s="57"/>
      <c r="BW67" s="10">
        <v>6531162.660000001</v>
      </c>
      <c r="BX67" s="15">
        <v>0.07235572711480542</v>
      </c>
      <c r="BY67" s="11">
        <v>436</v>
      </c>
      <c r="BZ67" s="15">
        <v>0.035530926574851275</v>
      </c>
      <c r="CA67" s="57"/>
      <c r="CB67" s="56"/>
      <c r="CC67" s="57"/>
      <c r="CD67" s="10">
        <v>6070756.039999999</v>
      </c>
      <c r="CE67" s="15">
        <v>0.07248472093541365</v>
      </c>
      <c r="CF67" s="11">
        <v>405</v>
      </c>
      <c r="CG67" s="15">
        <v>0.03490476600879083</v>
      </c>
      <c r="CH67" s="57"/>
      <c r="CI67" s="56"/>
      <c r="CJ67" s="57"/>
      <c r="CK67" s="10">
        <v>5828511.539999997</v>
      </c>
      <c r="CL67" s="15">
        <v>0.07375024237538635</v>
      </c>
      <c r="CM67" s="11">
        <v>389</v>
      </c>
      <c r="CN67" s="15">
        <v>0.03566843939116083</v>
      </c>
      <c r="CO67" s="57"/>
      <c r="CP67" s="56"/>
      <c r="CQ67" s="57"/>
    </row>
    <row r="68" spans="1:95" ht="12.75">
      <c r="A68" s="9" t="s">
        <v>0</v>
      </c>
      <c r="B68" s="9"/>
      <c r="C68" s="9"/>
      <c r="D68" s="10">
        <v>7576041.000000002</v>
      </c>
      <c r="E68" s="15">
        <v>0.05709895177502162</v>
      </c>
      <c r="F68" s="11">
        <v>448</v>
      </c>
      <c r="G68" s="15">
        <v>0.02027057599203656</v>
      </c>
      <c r="H68" s="9"/>
      <c r="I68" s="9"/>
      <c r="J68" s="10">
        <v>7493199.6000000015</v>
      </c>
      <c r="K68" s="15">
        <v>0.0581999665039959</v>
      </c>
      <c r="L68" s="11">
        <v>443</v>
      </c>
      <c r="M68" s="15">
        <v>0.02369744302984915</v>
      </c>
      <c r="N68" s="57"/>
      <c r="O68" s="56"/>
      <c r="P68" s="57"/>
      <c r="Q68" s="9"/>
      <c r="R68" s="10">
        <v>7479947.970000002</v>
      </c>
      <c r="S68" s="15">
        <v>0.0597232847461718</v>
      </c>
      <c r="T68" s="11">
        <v>442</v>
      </c>
      <c r="U68" s="15">
        <v>0.0244888913513214</v>
      </c>
      <c r="V68" s="57"/>
      <c r="W68" s="56"/>
      <c r="X68" s="57"/>
      <c r="Y68" s="9"/>
      <c r="Z68" s="10">
        <v>7412536.640000002</v>
      </c>
      <c r="AA68" s="15">
        <v>0.060695436440932234</v>
      </c>
      <c r="AB68" s="11">
        <v>438</v>
      </c>
      <c r="AC68" s="15">
        <v>0.025137741046831957</v>
      </c>
      <c r="AD68" s="57"/>
      <c r="AE68" s="56"/>
      <c r="AF68" s="57"/>
      <c r="AG68" s="10">
        <v>7392419.319999992</v>
      </c>
      <c r="AH68" s="15">
        <v>0.062197069045208365</v>
      </c>
      <c r="AI68" s="11">
        <v>437</v>
      </c>
      <c r="AJ68" s="15">
        <v>0.025937796771130103</v>
      </c>
      <c r="AK68" s="57"/>
      <c r="AL68" s="56"/>
      <c r="AM68" s="57"/>
      <c r="AN68" s="10">
        <v>7312910.830000002</v>
      </c>
      <c r="AO68" s="15">
        <v>0.06311845387187381</v>
      </c>
      <c r="AP68" s="11">
        <v>432</v>
      </c>
      <c r="AQ68" s="15">
        <v>0.026612456107928294</v>
      </c>
      <c r="AR68" s="57"/>
      <c r="AS68" s="56"/>
      <c r="AT68" s="57"/>
      <c r="AU68" s="10">
        <v>7278724.330000003</v>
      </c>
      <c r="AV68" s="15">
        <v>0.06430122490832951</v>
      </c>
      <c r="AW68" s="11">
        <v>430</v>
      </c>
      <c r="AX68" s="15">
        <v>0.02699309478970496</v>
      </c>
      <c r="AY68" s="57"/>
      <c r="AZ68" s="56"/>
      <c r="BA68" s="57"/>
      <c r="BB68" s="10">
        <v>6679632.610000008</v>
      </c>
      <c r="BC68" s="15">
        <v>0.06659959630041587</v>
      </c>
      <c r="BD68" s="11">
        <v>395</v>
      </c>
      <c r="BE68" s="15">
        <v>0.028507505773672056</v>
      </c>
      <c r="BF68" s="57"/>
      <c r="BG68" s="56"/>
      <c r="BH68" s="57"/>
      <c r="BI68" s="10">
        <v>6560365.780000002</v>
      </c>
      <c r="BJ68" s="15">
        <v>0.06705724319652373</v>
      </c>
      <c r="BK68" s="11">
        <v>388</v>
      </c>
      <c r="BL68" s="15">
        <v>0.02886045819696519</v>
      </c>
      <c r="BM68" s="57"/>
      <c r="BN68" s="56"/>
      <c r="BO68" s="57"/>
      <c r="BP68" s="10">
        <v>6242562.810000001</v>
      </c>
      <c r="BQ68" s="15">
        <v>0.06747316661127442</v>
      </c>
      <c r="BR68" s="11">
        <v>369</v>
      </c>
      <c r="BS68" s="15">
        <v>0.02922540788848408</v>
      </c>
      <c r="BT68" s="57"/>
      <c r="BU68" s="56"/>
      <c r="BV68" s="57"/>
      <c r="BW68" s="10">
        <v>6158823.040000002</v>
      </c>
      <c r="BX68" s="15">
        <v>0.06823074886189046</v>
      </c>
      <c r="BY68" s="11">
        <v>364</v>
      </c>
      <c r="BZ68" s="15">
        <v>0.02966343411294923</v>
      </c>
      <c r="CA68" s="57"/>
      <c r="CB68" s="56"/>
      <c r="CC68" s="57"/>
      <c r="CD68" s="10">
        <v>5634477.110000002</v>
      </c>
      <c r="CE68" s="15">
        <v>0.0672755581420673</v>
      </c>
      <c r="CF68" s="11">
        <v>333</v>
      </c>
      <c r="CG68" s="15">
        <v>0.028699474273894684</v>
      </c>
      <c r="CH68" s="57"/>
      <c r="CI68" s="56"/>
      <c r="CJ68" s="57"/>
      <c r="CK68" s="10">
        <v>5547725.4300000025</v>
      </c>
      <c r="CL68" s="15">
        <v>0.07019735524013303</v>
      </c>
      <c r="CM68" s="11">
        <v>328</v>
      </c>
      <c r="CN68" s="15">
        <v>0.03007518796992481</v>
      </c>
      <c r="CO68" s="57"/>
      <c r="CP68" s="56"/>
      <c r="CQ68" s="57"/>
    </row>
    <row r="69" spans="1:95" ht="12.75">
      <c r="A69" s="9" t="s">
        <v>1</v>
      </c>
      <c r="B69" s="9"/>
      <c r="C69" s="9"/>
      <c r="D69" s="10">
        <v>5391866.140000002</v>
      </c>
      <c r="E69" s="15">
        <v>0.04063730709815747</v>
      </c>
      <c r="F69" s="11">
        <v>285</v>
      </c>
      <c r="G69" s="15">
        <v>0.01289534410207683</v>
      </c>
      <c r="H69" s="9"/>
      <c r="I69" s="9"/>
      <c r="J69" s="10">
        <v>5332123.54</v>
      </c>
      <c r="K69" s="15">
        <v>0.04141480648976283</v>
      </c>
      <c r="L69" s="11">
        <v>282</v>
      </c>
      <c r="M69" s="15">
        <v>0.015085054028030384</v>
      </c>
      <c r="N69" s="57"/>
      <c r="O69" s="56"/>
      <c r="P69" s="57"/>
      <c r="Q69" s="9"/>
      <c r="R69" s="10">
        <v>5258594.1300000055</v>
      </c>
      <c r="S69" s="15">
        <v>0.041986991868145015</v>
      </c>
      <c r="T69" s="11">
        <v>278</v>
      </c>
      <c r="U69" s="15">
        <v>0.015402515374813009</v>
      </c>
      <c r="V69" s="57"/>
      <c r="W69" s="56"/>
      <c r="X69" s="57"/>
      <c r="Y69" s="9"/>
      <c r="Z69" s="10">
        <v>5201233.59</v>
      </c>
      <c r="AA69" s="15">
        <v>0.042588813803999884</v>
      </c>
      <c r="AB69" s="11">
        <v>275</v>
      </c>
      <c r="AC69" s="15">
        <v>0.015782828282828284</v>
      </c>
      <c r="AD69" s="57"/>
      <c r="AE69" s="56"/>
      <c r="AF69" s="57"/>
      <c r="AG69" s="10">
        <v>5143680.59</v>
      </c>
      <c r="AH69" s="15">
        <v>0.04327701702975482</v>
      </c>
      <c r="AI69" s="11">
        <v>272</v>
      </c>
      <c r="AJ69" s="15">
        <v>0.016144349477682812</v>
      </c>
      <c r="AK69" s="57"/>
      <c r="AL69" s="56"/>
      <c r="AM69" s="57"/>
      <c r="AN69" s="10">
        <v>5069338.79</v>
      </c>
      <c r="AO69" s="15">
        <v>0.04375396254866076</v>
      </c>
      <c r="AP69" s="11">
        <v>268</v>
      </c>
      <c r="AQ69" s="15">
        <v>0.0165095792521407</v>
      </c>
      <c r="AR69" s="57"/>
      <c r="AS69" s="56"/>
      <c r="AT69" s="57"/>
      <c r="AU69" s="10">
        <v>5088401.93</v>
      </c>
      <c r="AV69" s="15">
        <v>0.04495162367619272</v>
      </c>
      <c r="AW69" s="11">
        <v>269</v>
      </c>
      <c r="AX69" s="15">
        <v>0.016886377903327057</v>
      </c>
      <c r="AY69" s="57"/>
      <c r="AZ69" s="56"/>
      <c r="BA69" s="57"/>
      <c r="BB69" s="10">
        <v>4770304.49</v>
      </c>
      <c r="BC69" s="15">
        <v>0.04756254899235555</v>
      </c>
      <c r="BD69" s="11">
        <v>252</v>
      </c>
      <c r="BE69" s="15">
        <v>0.018187066974595843</v>
      </c>
      <c r="BF69" s="57"/>
      <c r="BG69" s="56"/>
      <c r="BH69" s="57"/>
      <c r="BI69" s="10">
        <v>4711398.24</v>
      </c>
      <c r="BJ69" s="15">
        <v>0.04815789060703166</v>
      </c>
      <c r="BK69" s="11">
        <v>249</v>
      </c>
      <c r="BL69" s="15">
        <v>0.01852127343052663</v>
      </c>
      <c r="BM69" s="57"/>
      <c r="BN69" s="56"/>
      <c r="BO69" s="57"/>
      <c r="BP69" s="10">
        <v>4446341.93</v>
      </c>
      <c r="BQ69" s="15">
        <v>0.04805859051558112</v>
      </c>
      <c r="BR69" s="11">
        <v>235</v>
      </c>
      <c r="BS69" s="15">
        <v>0.018612387137652463</v>
      </c>
      <c r="BT69" s="57"/>
      <c r="BU69" s="56"/>
      <c r="BV69" s="57"/>
      <c r="BW69" s="10">
        <v>4408560.16</v>
      </c>
      <c r="BX69" s="15">
        <v>0.048840396804045144</v>
      </c>
      <c r="BY69" s="11">
        <v>233</v>
      </c>
      <c r="BZ69" s="15">
        <v>0.018987857550321896</v>
      </c>
      <c r="CA69" s="57"/>
      <c r="CB69" s="56"/>
      <c r="CC69" s="57"/>
      <c r="CD69" s="10">
        <v>3841933.02</v>
      </c>
      <c r="CE69" s="15">
        <v>0.04587261306044034</v>
      </c>
      <c r="CF69" s="11">
        <v>203</v>
      </c>
      <c r="CG69" s="15">
        <v>0.01749547530810997</v>
      </c>
      <c r="CH69" s="57"/>
      <c r="CI69" s="56"/>
      <c r="CJ69" s="57"/>
      <c r="CK69" s="10">
        <v>3687444.44</v>
      </c>
      <c r="CL69" s="15">
        <v>0.04665855413160442</v>
      </c>
      <c r="CM69" s="11">
        <v>195</v>
      </c>
      <c r="CN69" s="15">
        <v>0.0178800660187053</v>
      </c>
      <c r="CO69" s="57"/>
      <c r="CP69" s="56"/>
      <c r="CQ69" s="57"/>
    </row>
    <row r="70" spans="1:95" ht="12.75">
      <c r="A70" s="9" t="s">
        <v>2</v>
      </c>
      <c r="B70" s="9"/>
      <c r="C70" s="9"/>
      <c r="D70" s="10">
        <v>10635819.449999996</v>
      </c>
      <c r="E70" s="15">
        <v>0.08015982778648988</v>
      </c>
      <c r="F70" s="11">
        <v>481</v>
      </c>
      <c r="G70" s="15">
        <v>0.021763721098592825</v>
      </c>
      <c r="H70" s="9"/>
      <c r="I70" s="9"/>
      <c r="J70" s="10">
        <v>10538001.510000002</v>
      </c>
      <c r="K70" s="15">
        <v>0.08184905883209867</v>
      </c>
      <c r="L70" s="11">
        <v>477</v>
      </c>
      <c r="M70" s="15">
        <v>0.025516208409115223</v>
      </c>
      <c r="N70" s="57"/>
      <c r="O70" s="56"/>
      <c r="P70" s="57"/>
      <c r="Q70" s="9"/>
      <c r="R70" s="10">
        <v>10362340.110000003</v>
      </c>
      <c r="S70" s="15">
        <v>0.08273760613153132</v>
      </c>
      <c r="T70" s="11">
        <v>469</v>
      </c>
      <c r="U70" s="15">
        <v>0.025984819103551444</v>
      </c>
      <c r="V70" s="57"/>
      <c r="W70" s="56"/>
      <c r="X70" s="57"/>
      <c r="Y70" s="9"/>
      <c r="Z70" s="10">
        <v>10228508.34</v>
      </c>
      <c r="AA70" s="15">
        <v>0.08375321539537309</v>
      </c>
      <c r="AB70" s="11">
        <v>463</v>
      </c>
      <c r="AC70" s="15">
        <v>0.026572543617998164</v>
      </c>
      <c r="AD70" s="57"/>
      <c r="AE70" s="56"/>
      <c r="AF70" s="57"/>
      <c r="AG70" s="10">
        <v>10114006.470000006</v>
      </c>
      <c r="AH70" s="15">
        <v>0.08509549195029635</v>
      </c>
      <c r="AI70" s="11">
        <v>458</v>
      </c>
      <c r="AJ70" s="15">
        <v>0.02718423551756885</v>
      </c>
      <c r="AK70" s="57"/>
      <c r="AL70" s="56"/>
      <c r="AM70" s="57"/>
      <c r="AN70" s="10">
        <v>9942112.44</v>
      </c>
      <c r="AO70" s="15">
        <v>0.08581135200757296</v>
      </c>
      <c r="AP70" s="11">
        <v>450</v>
      </c>
      <c r="AQ70" s="15">
        <v>0.02772130844575864</v>
      </c>
      <c r="AR70" s="57"/>
      <c r="AS70" s="56"/>
      <c r="AT70" s="57"/>
      <c r="AU70" s="10">
        <v>9814569.239999998</v>
      </c>
      <c r="AV70" s="15">
        <v>0.08670321823818987</v>
      </c>
      <c r="AW70" s="11">
        <v>444</v>
      </c>
      <c r="AX70" s="15">
        <v>0.027871939736346517</v>
      </c>
      <c r="AY70" s="57"/>
      <c r="AZ70" s="56"/>
      <c r="BA70" s="57"/>
      <c r="BB70" s="10">
        <v>8950143.269999996</v>
      </c>
      <c r="BC70" s="15">
        <v>0.08923783139217938</v>
      </c>
      <c r="BD70" s="11">
        <v>405</v>
      </c>
      <c r="BE70" s="15">
        <v>0.029229214780600463</v>
      </c>
      <c r="BF70" s="57"/>
      <c r="BG70" s="56"/>
      <c r="BH70" s="57"/>
      <c r="BI70" s="10">
        <v>8910106.519999998</v>
      </c>
      <c r="BJ70" s="15">
        <v>0.09107528449710489</v>
      </c>
      <c r="BK70" s="11">
        <v>403</v>
      </c>
      <c r="BL70" s="15">
        <v>0.029976197560249926</v>
      </c>
      <c r="BM70" s="57"/>
      <c r="BN70" s="56"/>
      <c r="BO70" s="57"/>
      <c r="BP70" s="10">
        <v>8485713.399999999</v>
      </c>
      <c r="BQ70" s="15">
        <v>0.0917184130108454</v>
      </c>
      <c r="BR70" s="11">
        <v>384</v>
      </c>
      <c r="BS70" s="15">
        <v>0.030413432599398067</v>
      </c>
      <c r="BT70" s="57"/>
      <c r="BU70" s="56"/>
      <c r="BV70" s="57"/>
      <c r="BW70" s="10">
        <v>8220865.019999998</v>
      </c>
      <c r="BX70" s="15">
        <v>0.09107515721171293</v>
      </c>
      <c r="BY70" s="11">
        <v>372</v>
      </c>
      <c r="BZ70" s="15">
        <v>0.030315377719827234</v>
      </c>
      <c r="CA70" s="57"/>
      <c r="CB70" s="56"/>
      <c r="CC70" s="57"/>
      <c r="CD70" s="10">
        <v>7311983.759999994</v>
      </c>
      <c r="CE70" s="15">
        <v>0.08730495820218734</v>
      </c>
      <c r="CF70" s="11">
        <v>331</v>
      </c>
      <c r="CG70" s="15">
        <v>0.028527105059036457</v>
      </c>
      <c r="CH70" s="57"/>
      <c r="CI70" s="56"/>
      <c r="CJ70" s="57"/>
      <c r="CK70" s="10">
        <v>7105864.639999993</v>
      </c>
      <c r="CL70" s="15">
        <v>0.08991304827830661</v>
      </c>
      <c r="CM70" s="11">
        <v>322</v>
      </c>
      <c r="CN70" s="15">
        <v>0.029525032092426188</v>
      </c>
      <c r="CO70" s="57"/>
      <c r="CP70" s="56"/>
      <c r="CQ70" s="57"/>
    </row>
    <row r="71" spans="1:95" ht="12.75">
      <c r="A71" s="9" t="s">
        <v>3</v>
      </c>
      <c r="B71" s="9"/>
      <c r="C71" s="9"/>
      <c r="D71" s="10">
        <v>5841082.779999998</v>
      </c>
      <c r="E71" s="15">
        <v>0.044022953937172336</v>
      </c>
      <c r="F71" s="11">
        <v>214</v>
      </c>
      <c r="G71" s="15">
        <v>0.00968281978191032</v>
      </c>
      <c r="H71" s="9"/>
      <c r="I71" s="9"/>
      <c r="J71" s="10">
        <v>5760371.160000002</v>
      </c>
      <c r="K71" s="15">
        <v>0.04474102205452849</v>
      </c>
      <c r="L71" s="11">
        <v>211</v>
      </c>
      <c r="M71" s="15">
        <v>0.011287043971327699</v>
      </c>
      <c r="N71" s="57"/>
      <c r="O71" s="56"/>
      <c r="P71" s="57"/>
      <c r="Q71" s="9"/>
      <c r="R71" s="10">
        <v>5700818.590000002</v>
      </c>
      <c r="S71" s="15">
        <v>0.045517911795961284</v>
      </c>
      <c r="T71" s="11">
        <v>209</v>
      </c>
      <c r="U71" s="15">
        <v>0.011579588896891795</v>
      </c>
      <c r="V71" s="57"/>
      <c r="W71" s="56"/>
      <c r="X71" s="57"/>
      <c r="Y71" s="9"/>
      <c r="Z71" s="10">
        <v>5700078.660000001</v>
      </c>
      <c r="AA71" s="15">
        <v>0.04667346400008407</v>
      </c>
      <c r="AB71" s="11">
        <v>209</v>
      </c>
      <c r="AC71" s="15">
        <v>0.011994949494949494</v>
      </c>
      <c r="AD71" s="57"/>
      <c r="AE71" s="56"/>
      <c r="AF71" s="57"/>
      <c r="AG71" s="10">
        <v>5592298.95</v>
      </c>
      <c r="AH71" s="15">
        <v>0.047051525198735164</v>
      </c>
      <c r="AI71" s="11">
        <v>205</v>
      </c>
      <c r="AJ71" s="15">
        <v>0.012167616334283001</v>
      </c>
      <c r="AK71" s="57"/>
      <c r="AL71" s="56"/>
      <c r="AM71" s="57"/>
      <c r="AN71" s="10">
        <v>5506998.890000002</v>
      </c>
      <c r="AO71" s="15">
        <v>0.04753144999183934</v>
      </c>
      <c r="AP71" s="11">
        <v>202</v>
      </c>
      <c r="AQ71" s="15">
        <v>0.012443787346762767</v>
      </c>
      <c r="AR71" s="57"/>
      <c r="AS71" s="56"/>
      <c r="AT71" s="57"/>
      <c r="AU71" s="10">
        <v>5429816.650000001</v>
      </c>
      <c r="AV71" s="15">
        <v>0.04796772700727385</v>
      </c>
      <c r="AW71" s="11">
        <v>199</v>
      </c>
      <c r="AX71" s="15">
        <v>0.012492153170119272</v>
      </c>
      <c r="AY71" s="57"/>
      <c r="AZ71" s="56"/>
      <c r="BA71" s="57"/>
      <c r="BB71" s="10">
        <v>4941024.59</v>
      </c>
      <c r="BC71" s="15">
        <v>0.04926472191176804</v>
      </c>
      <c r="BD71" s="11">
        <v>181</v>
      </c>
      <c r="BE71" s="15">
        <v>0.013062933025404157</v>
      </c>
      <c r="BF71" s="57"/>
      <c r="BG71" s="56"/>
      <c r="BH71" s="57"/>
      <c r="BI71" s="10">
        <v>4834885.27</v>
      </c>
      <c r="BJ71" s="15">
        <v>0.04942012202522041</v>
      </c>
      <c r="BK71" s="11">
        <v>177</v>
      </c>
      <c r="BL71" s="15">
        <v>0.013165724486759893</v>
      </c>
      <c r="BM71" s="57"/>
      <c r="BN71" s="56"/>
      <c r="BO71" s="57"/>
      <c r="BP71" s="10">
        <v>4695161.95</v>
      </c>
      <c r="BQ71" s="15">
        <v>0.050747978700636576</v>
      </c>
      <c r="BR71" s="11">
        <v>172</v>
      </c>
      <c r="BS71" s="15">
        <v>0.013622683351813717</v>
      </c>
      <c r="BT71" s="57"/>
      <c r="BU71" s="56"/>
      <c r="BV71" s="57"/>
      <c r="BW71" s="10">
        <v>4580303.04</v>
      </c>
      <c r="BX71" s="15">
        <v>0.05074305665284928</v>
      </c>
      <c r="BY71" s="11">
        <v>168</v>
      </c>
      <c r="BZ71" s="15">
        <v>0.013690815744438107</v>
      </c>
      <c r="CA71" s="57"/>
      <c r="CB71" s="56"/>
      <c r="CC71" s="57"/>
      <c r="CD71" s="10">
        <v>4088109.39</v>
      </c>
      <c r="CE71" s="15">
        <v>0.04881195461242652</v>
      </c>
      <c r="CF71" s="11">
        <v>150</v>
      </c>
      <c r="CG71" s="15">
        <v>0.012927691114366974</v>
      </c>
      <c r="CH71" s="57"/>
      <c r="CI71" s="56"/>
      <c r="CJ71" s="57"/>
      <c r="CK71" s="10">
        <v>3975967.03</v>
      </c>
      <c r="CL71" s="15">
        <v>0.0503093337169656</v>
      </c>
      <c r="CM71" s="11">
        <v>146</v>
      </c>
      <c r="CN71" s="15">
        <v>0.013387126352466533</v>
      </c>
      <c r="CO71" s="57"/>
      <c r="CP71" s="56"/>
      <c r="CQ71" s="57"/>
    </row>
    <row r="72" spans="1:95" ht="12.75">
      <c r="A72" s="9" t="s">
        <v>4</v>
      </c>
      <c r="B72" s="9"/>
      <c r="C72" s="9"/>
      <c r="D72" s="10">
        <v>8074779.629999998</v>
      </c>
      <c r="E72" s="15">
        <v>0.06085783494140234</v>
      </c>
      <c r="F72" s="11">
        <v>227</v>
      </c>
      <c r="G72" s="15">
        <v>0.010271028460250667</v>
      </c>
      <c r="H72" s="9"/>
      <c r="I72" s="9"/>
      <c r="J72" s="10">
        <v>8003675.720000006</v>
      </c>
      <c r="K72" s="15">
        <v>0.06216485395809362</v>
      </c>
      <c r="L72" s="11">
        <v>225</v>
      </c>
      <c r="M72" s="15">
        <v>0.0120359473627902</v>
      </c>
      <c r="N72" s="57"/>
      <c r="O72" s="56"/>
      <c r="P72" s="57"/>
      <c r="Q72" s="9"/>
      <c r="R72" s="10">
        <v>7923809.7500000065</v>
      </c>
      <c r="S72" s="15">
        <v>0.06326727777676543</v>
      </c>
      <c r="T72" s="11">
        <v>223</v>
      </c>
      <c r="U72" s="15">
        <v>0.012355255138788853</v>
      </c>
      <c r="V72" s="57"/>
      <c r="W72" s="56"/>
      <c r="X72" s="57"/>
      <c r="Y72" s="9"/>
      <c r="Z72" s="10">
        <v>7891872.590000005</v>
      </c>
      <c r="AA72" s="15">
        <v>0.06462034178711061</v>
      </c>
      <c r="AB72" s="11">
        <v>222</v>
      </c>
      <c r="AC72" s="15">
        <v>0.012741046831955923</v>
      </c>
      <c r="AD72" s="57"/>
      <c r="AE72" s="56"/>
      <c r="AF72" s="57"/>
      <c r="AG72" s="10">
        <v>7712609.550000004</v>
      </c>
      <c r="AH72" s="15">
        <v>0.06489103065382987</v>
      </c>
      <c r="AI72" s="11">
        <v>217</v>
      </c>
      <c r="AJ72" s="15">
        <v>0.012879867046533712</v>
      </c>
      <c r="AK72" s="57"/>
      <c r="AL72" s="56"/>
      <c r="AM72" s="57"/>
      <c r="AN72" s="10">
        <v>7712238.520000005</v>
      </c>
      <c r="AO72" s="15">
        <v>0.06656509050767524</v>
      </c>
      <c r="AP72" s="11">
        <v>217</v>
      </c>
      <c r="AQ72" s="15">
        <v>0.013367830961621389</v>
      </c>
      <c r="AR72" s="57"/>
      <c r="AS72" s="56"/>
      <c r="AT72" s="57"/>
      <c r="AU72" s="10">
        <v>7636187.600000005</v>
      </c>
      <c r="AV72" s="15">
        <v>0.0674591032780324</v>
      </c>
      <c r="AW72" s="11">
        <v>215</v>
      </c>
      <c r="AX72" s="15">
        <v>0.01349654739485248</v>
      </c>
      <c r="AY72" s="57"/>
      <c r="AZ72" s="56"/>
      <c r="BA72" s="57"/>
      <c r="BB72" s="10">
        <v>6806886.949999997</v>
      </c>
      <c r="BC72" s="15">
        <v>0.06786839178159057</v>
      </c>
      <c r="BD72" s="11">
        <v>192</v>
      </c>
      <c r="BE72" s="15">
        <v>0.013856812933025405</v>
      </c>
      <c r="BF72" s="57"/>
      <c r="BG72" s="56"/>
      <c r="BH72" s="57"/>
      <c r="BI72" s="10">
        <v>6769706.970000003</v>
      </c>
      <c r="BJ72" s="15">
        <v>0.0691970389883492</v>
      </c>
      <c r="BK72" s="11">
        <v>191</v>
      </c>
      <c r="BL72" s="15">
        <v>0.014207081225825648</v>
      </c>
      <c r="BM72" s="57"/>
      <c r="BN72" s="56"/>
      <c r="BO72" s="57"/>
      <c r="BP72" s="10">
        <v>6496707.670000004</v>
      </c>
      <c r="BQ72" s="15">
        <v>0.0702201086932523</v>
      </c>
      <c r="BR72" s="11">
        <v>183</v>
      </c>
      <c r="BS72" s="15">
        <v>0.014493901473150642</v>
      </c>
      <c r="BT72" s="57"/>
      <c r="BU72" s="56"/>
      <c r="BV72" s="57"/>
      <c r="BW72" s="10">
        <v>6404061.330000004</v>
      </c>
      <c r="BX72" s="15">
        <v>0.07094763032895557</v>
      </c>
      <c r="BY72" s="11">
        <v>180</v>
      </c>
      <c r="BZ72" s="15">
        <v>0.014668731154755114</v>
      </c>
      <c r="CA72" s="57"/>
      <c r="CB72" s="56"/>
      <c r="CC72" s="57"/>
      <c r="CD72" s="10">
        <v>5800764.200000004</v>
      </c>
      <c r="CE72" s="15">
        <v>0.06926102308817839</v>
      </c>
      <c r="CF72" s="11">
        <v>163</v>
      </c>
      <c r="CG72" s="15">
        <v>0.014048091010945445</v>
      </c>
      <c r="CH72" s="57"/>
      <c r="CI72" s="56"/>
      <c r="CJ72" s="57"/>
      <c r="CK72" s="10">
        <v>5354772.75</v>
      </c>
      <c r="CL72" s="15">
        <v>0.06775585592777508</v>
      </c>
      <c r="CM72" s="11">
        <v>152</v>
      </c>
      <c r="CN72" s="15">
        <v>0.013937282229965157</v>
      </c>
      <c r="CO72" s="57"/>
      <c r="CP72" s="56"/>
      <c r="CQ72" s="57"/>
    </row>
    <row r="73" spans="1:95" ht="12.75">
      <c r="A73" s="9" t="s">
        <v>5</v>
      </c>
      <c r="B73" s="9"/>
      <c r="C73" s="9"/>
      <c r="D73" s="10">
        <v>4178859.33</v>
      </c>
      <c r="E73" s="15">
        <v>0.03149514203503771</v>
      </c>
      <c r="F73" s="11">
        <v>73</v>
      </c>
      <c r="G73" s="15">
        <v>0.0033030179629881</v>
      </c>
      <c r="H73" s="9"/>
      <c r="I73" s="9"/>
      <c r="J73" s="10">
        <v>3837144.8</v>
      </c>
      <c r="K73" s="15">
        <v>0.029803249713377715</v>
      </c>
      <c r="L73" s="11">
        <v>68</v>
      </c>
      <c r="M73" s="15">
        <v>0.0036375307585321493</v>
      </c>
      <c r="N73" s="57"/>
      <c r="O73" s="56"/>
      <c r="P73" s="57"/>
      <c r="Q73" s="9"/>
      <c r="R73" s="10">
        <v>3688137.57</v>
      </c>
      <c r="S73" s="15">
        <v>0.0294477570110911</v>
      </c>
      <c r="T73" s="11">
        <v>66</v>
      </c>
      <c r="U73" s="15">
        <v>0.003656712283228988</v>
      </c>
      <c r="V73" s="57"/>
      <c r="W73" s="56"/>
      <c r="X73" s="57"/>
      <c r="Y73" s="9"/>
      <c r="Z73" s="10">
        <v>3459291.72</v>
      </c>
      <c r="AA73" s="15">
        <v>0.028325420961683515</v>
      </c>
      <c r="AB73" s="11">
        <v>62</v>
      </c>
      <c r="AC73" s="15">
        <v>0.0035583103764921945</v>
      </c>
      <c r="AD73" s="57"/>
      <c r="AE73" s="56"/>
      <c r="AF73" s="57"/>
      <c r="AG73" s="10">
        <v>3345037.22</v>
      </c>
      <c r="AH73" s="15">
        <v>0.028143900112410303</v>
      </c>
      <c r="AI73" s="11">
        <v>60</v>
      </c>
      <c r="AJ73" s="15">
        <v>0.0035612535612535613</v>
      </c>
      <c r="AK73" s="57"/>
      <c r="AL73" s="56"/>
      <c r="AM73" s="57"/>
      <c r="AN73" s="10">
        <v>3345037.22</v>
      </c>
      <c r="AO73" s="15">
        <v>0.02887134581268659</v>
      </c>
      <c r="AP73" s="11">
        <v>60</v>
      </c>
      <c r="AQ73" s="15">
        <v>0.0036961744594344852</v>
      </c>
      <c r="AR73" s="57"/>
      <c r="AS73" s="56"/>
      <c r="AT73" s="57"/>
      <c r="AU73" s="10">
        <v>3292625</v>
      </c>
      <c r="AV73" s="15">
        <v>0.02908748993160294</v>
      </c>
      <c r="AW73" s="11">
        <v>59</v>
      </c>
      <c r="AX73" s="15">
        <v>0.003703703703703704</v>
      </c>
      <c r="AY73" s="57"/>
      <c r="AZ73" s="56"/>
      <c r="BA73" s="57"/>
      <c r="BB73" s="10">
        <v>2394956.34</v>
      </c>
      <c r="BC73" s="15">
        <v>0.023879026694122528</v>
      </c>
      <c r="BD73" s="11">
        <v>44</v>
      </c>
      <c r="BE73" s="15">
        <v>0.0031755196304849883</v>
      </c>
      <c r="BF73" s="57"/>
      <c r="BG73" s="56"/>
      <c r="BH73" s="57"/>
      <c r="BI73" s="10">
        <v>2394956.34</v>
      </c>
      <c r="BJ73" s="15">
        <v>0.02448021575657269</v>
      </c>
      <c r="BK73" s="11">
        <v>44</v>
      </c>
      <c r="BL73" s="15">
        <v>0.0032728354656352274</v>
      </c>
      <c r="BM73" s="57"/>
      <c r="BN73" s="56"/>
      <c r="BO73" s="57"/>
      <c r="BP73" s="10">
        <v>2299117.27</v>
      </c>
      <c r="BQ73" s="15">
        <v>0.02485016608388251</v>
      </c>
      <c r="BR73" s="11">
        <v>42</v>
      </c>
      <c r="BS73" s="15">
        <v>0.003326469190559164</v>
      </c>
      <c r="BT73" s="57"/>
      <c r="BU73" s="56"/>
      <c r="BV73" s="57"/>
      <c r="BW73" s="10">
        <v>2298768.85</v>
      </c>
      <c r="BX73" s="15">
        <v>0.0254669957355824</v>
      </c>
      <c r="BY73" s="11">
        <v>42</v>
      </c>
      <c r="BZ73" s="15">
        <v>0.0034227039361095267</v>
      </c>
      <c r="CA73" s="57"/>
      <c r="CB73" s="56"/>
      <c r="CC73" s="57"/>
      <c r="CD73" s="10">
        <v>1892664.5</v>
      </c>
      <c r="CE73" s="15">
        <v>0.02259838102584406</v>
      </c>
      <c r="CF73" s="11">
        <v>35</v>
      </c>
      <c r="CG73" s="15">
        <v>0.0030164612600189606</v>
      </c>
      <c r="CH73" s="57"/>
      <c r="CI73" s="56"/>
      <c r="CJ73" s="57"/>
      <c r="CK73" s="10">
        <v>1546056.09</v>
      </c>
      <c r="CL73" s="15">
        <v>0.0195628009966061</v>
      </c>
      <c r="CM73" s="11">
        <v>28</v>
      </c>
      <c r="CN73" s="15">
        <v>0.0025673940949935813</v>
      </c>
      <c r="CO73" s="57"/>
      <c r="CP73" s="56"/>
      <c r="CQ73" s="57"/>
    </row>
    <row r="74" spans="1:95" ht="12.75">
      <c r="A74" s="9"/>
      <c r="B74" s="9"/>
      <c r="C74" s="9"/>
      <c r="D74" s="10"/>
      <c r="E74" s="15"/>
      <c r="F74" s="11"/>
      <c r="G74" s="15"/>
      <c r="H74" s="9"/>
      <c r="I74" s="9"/>
      <c r="J74" s="10"/>
      <c r="K74" s="15"/>
      <c r="L74" s="11"/>
      <c r="M74" s="15"/>
      <c r="N74" s="57"/>
      <c r="O74" s="56"/>
      <c r="P74" s="57"/>
      <c r="Q74" s="9"/>
      <c r="R74" s="10"/>
      <c r="S74" s="15"/>
      <c r="T74" s="11"/>
      <c r="U74" s="15"/>
      <c r="V74" s="57"/>
      <c r="W74" s="56"/>
      <c r="X74" s="57"/>
      <c r="Y74" s="9"/>
      <c r="Z74" s="10"/>
      <c r="AA74" s="15"/>
      <c r="AB74" s="11"/>
      <c r="AC74" s="15"/>
      <c r="AD74" s="57"/>
      <c r="AE74" s="56"/>
      <c r="AF74" s="57"/>
      <c r="AG74" s="10"/>
      <c r="AH74" s="15"/>
      <c r="AI74" s="11"/>
      <c r="AJ74" s="15"/>
      <c r="AK74" s="57"/>
      <c r="AL74" s="56"/>
      <c r="AM74" s="57"/>
      <c r="AN74" s="10"/>
      <c r="AO74" s="15"/>
      <c r="AP74" s="11"/>
      <c r="AQ74" s="15"/>
      <c r="AR74" s="57"/>
      <c r="AS74" s="56"/>
      <c r="AT74" s="57"/>
      <c r="AU74" s="10"/>
      <c r="AV74" s="15"/>
      <c r="AW74" s="11"/>
      <c r="AX74" s="15"/>
      <c r="AY74" s="57"/>
      <c r="AZ74" s="56"/>
      <c r="BA74" s="57"/>
      <c r="BB74" s="10"/>
      <c r="BC74" s="15"/>
      <c r="BD74" s="11"/>
      <c r="BE74" s="15"/>
      <c r="BF74" s="57"/>
      <c r="BG74" s="56"/>
      <c r="BH74" s="57"/>
      <c r="BI74" s="10"/>
      <c r="BJ74" s="15"/>
      <c r="BK74" s="11"/>
      <c r="BL74" s="15"/>
      <c r="BM74" s="57"/>
      <c r="BN74" s="56"/>
      <c r="BO74" s="57"/>
      <c r="BP74" s="10"/>
      <c r="BQ74" s="15"/>
      <c r="BR74" s="11"/>
      <c r="BS74" s="15"/>
      <c r="BT74" s="57"/>
      <c r="BU74" s="56"/>
      <c r="BV74" s="57"/>
      <c r="BW74" s="10"/>
      <c r="BX74" s="15"/>
      <c r="BY74" s="11"/>
      <c r="BZ74" s="15"/>
      <c r="CA74" s="57"/>
      <c r="CB74" s="56"/>
      <c r="CC74" s="57"/>
      <c r="CD74" s="10"/>
      <c r="CE74" s="15"/>
      <c r="CF74" s="11"/>
      <c r="CG74" s="15"/>
      <c r="CH74" s="57"/>
      <c r="CI74" s="56"/>
      <c r="CJ74" s="57"/>
      <c r="CK74" s="10"/>
      <c r="CL74" s="15"/>
      <c r="CM74" s="11"/>
      <c r="CN74" s="15"/>
      <c r="CO74" s="57"/>
      <c r="CP74" s="56"/>
      <c r="CQ74" s="57"/>
    </row>
    <row r="75" spans="1:95" ht="13.5" thickBot="1">
      <c r="A75" s="9"/>
      <c r="B75" s="13"/>
      <c r="C75" s="13"/>
      <c r="D75" s="22">
        <f>SUM(D60:D73)</f>
        <v>132682663.41999994</v>
      </c>
      <c r="E75" s="24"/>
      <c r="F75" s="23">
        <f>SUM(F60:F73)</f>
        <v>22101</v>
      </c>
      <c r="G75" s="13"/>
      <c r="H75" s="9"/>
      <c r="I75" s="9"/>
      <c r="J75" s="22">
        <f>SUM(J60:J73)</f>
        <v>128749208.12000005</v>
      </c>
      <c r="K75" s="24"/>
      <c r="L75" s="23">
        <f>SUM(L60:L73)</f>
        <v>18694</v>
      </c>
      <c r="M75" s="13"/>
      <c r="N75" s="58"/>
      <c r="O75" s="32"/>
      <c r="P75" s="54"/>
      <c r="Q75" s="9"/>
      <c r="R75" s="22">
        <f>SUM(R60:R73)</f>
        <v>125243412.21000001</v>
      </c>
      <c r="S75" s="24"/>
      <c r="T75" s="23">
        <f>SUM(T60:T73)</f>
        <v>18049</v>
      </c>
      <c r="U75" s="13"/>
      <c r="V75" s="58"/>
      <c r="W75" s="32"/>
      <c r="X75" s="54"/>
      <c r="Y75" s="9"/>
      <c r="Z75" s="22">
        <f>SUM(Z60:Z73)</f>
        <v>122126754.08000001</v>
      </c>
      <c r="AA75" s="24"/>
      <c r="AB75" s="23">
        <f>SUM(AB60:AB73)</f>
        <v>17424</v>
      </c>
      <c r="AC75" s="13"/>
      <c r="AD75" s="58"/>
      <c r="AE75" s="32"/>
      <c r="AF75" s="54"/>
      <c r="AG75" s="22">
        <f>SUM(AG60:AG73)</f>
        <v>118854785.82</v>
      </c>
      <c r="AH75" s="24"/>
      <c r="AI75" s="23">
        <f>SUM(AI60:AI73)</f>
        <v>16848</v>
      </c>
      <c r="AJ75" s="13"/>
      <c r="AK75" s="58"/>
      <c r="AL75" s="32"/>
      <c r="AM75" s="54"/>
      <c r="AN75" s="22">
        <f>SUM(AN60:AN73)</f>
        <v>115860107.17000002</v>
      </c>
      <c r="AO75" s="24"/>
      <c r="AP75" s="23">
        <f>SUM(AP60:AP73)</f>
        <v>16233</v>
      </c>
      <c r="AQ75" s="13"/>
      <c r="AR75" s="58"/>
      <c r="AS75" s="32"/>
      <c r="AT75" s="54"/>
      <c r="AU75" s="22">
        <f>SUM(AU60:AU73)</f>
        <v>113197288.85999998</v>
      </c>
      <c r="AV75" s="24"/>
      <c r="AW75" s="23">
        <f>SUM(AW60:AW73)</f>
        <v>15930</v>
      </c>
      <c r="AX75" s="13"/>
      <c r="AY75" s="58"/>
      <c r="AZ75" s="32"/>
      <c r="BA75" s="54"/>
      <c r="BB75" s="22">
        <f>SUM(BB60:BB73)</f>
        <v>100295391.88</v>
      </c>
      <c r="BC75" s="24"/>
      <c r="BD75" s="23">
        <f>SUM(BD60:BD73)</f>
        <v>13856</v>
      </c>
      <c r="BE75" s="13"/>
      <c r="BF75" s="58"/>
      <c r="BG75" s="32"/>
      <c r="BH75" s="54"/>
      <c r="BI75" s="22">
        <f>SUM(BI60:BI73)</f>
        <v>97832321.56999996</v>
      </c>
      <c r="BJ75" s="24"/>
      <c r="BK75" s="23">
        <f>SUM(BK60:BK73)</f>
        <v>13444</v>
      </c>
      <c r="BL75" s="13"/>
      <c r="BM75" s="58"/>
      <c r="BN75" s="32"/>
      <c r="BO75" s="54"/>
      <c r="BP75" s="22">
        <f>SUM(BP60:BP73)</f>
        <v>92519191.30999999</v>
      </c>
      <c r="BQ75" s="24"/>
      <c r="BR75" s="23">
        <f>SUM(BR60:BR73)</f>
        <v>12626</v>
      </c>
      <c r="BS75" s="13"/>
      <c r="BT75" s="58"/>
      <c r="BU75" s="32"/>
      <c r="BV75" s="54"/>
      <c r="BW75" s="22">
        <f>SUM(BW60:BW73)</f>
        <v>90264626.17999999</v>
      </c>
      <c r="BX75" s="24"/>
      <c r="BY75" s="23">
        <f>SUM(BY60:BY73)</f>
        <v>12271</v>
      </c>
      <c r="BZ75" s="13"/>
      <c r="CA75" s="58"/>
      <c r="CB75" s="32"/>
      <c r="CC75" s="54"/>
      <c r="CD75" s="22">
        <f>SUM(CD60:CD73)</f>
        <v>83752216.49</v>
      </c>
      <c r="CE75" s="24"/>
      <c r="CF75" s="23">
        <f>SUM(CF60:CF73)</f>
        <v>11603</v>
      </c>
      <c r="CG75" s="13"/>
      <c r="CH75" s="58"/>
      <c r="CI75" s="32"/>
      <c r="CJ75" s="54"/>
      <c r="CK75" s="22">
        <f>SUM(CK60:CK73)</f>
        <v>79030405.21999997</v>
      </c>
      <c r="CL75" s="24"/>
      <c r="CM75" s="23">
        <f>SUM(CM60:CM73)</f>
        <v>10906</v>
      </c>
      <c r="CN75" s="13"/>
      <c r="CO75" s="58"/>
      <c r="CP75" s="32"/>
      <c r="CQ75" s="54"/>
    </row>
    <row r="76" spans="1:95" ht="13.5" thickTop="1">
      <c r="A76" s="13"/>
      <c r="B76" s="9"/>
      <c r="C76" s="9"/>
      <c r="D76" s="10"/>
      <c r="E76" s="9"/>
      <c r="F76" s="11"/>
      <c r="G76" s="9"/>
      <c r="H76" s="9"/>
      <c r="I76" s="9"/>
      <c r="J76" s="10"/>
      <c r="K76" s="9"/>
      <c r="L76" s="11"/>
      <c r="M76" s="9"/>
      <c r="N76" s="55"/>
      <c r="O76" s="56"/>
      <c r="P76" s="55"/>
      <c r="Q76" s="9"/>
      <c r="R76" s="10"/>
      <c r="S76" s="9"/>
      <c r="T76" s="11"/>
      <c r="U76" s="9"/>
      <c r="V76" s="55"/>
      <c r="W76" s="56"/>
      <c r="X76" s="55"/>
      <c r="Y76" s="9"/>
      <c r="Z76" s="10"/>
      <c r="AA76" s="9"/>
      <c r="AB76" s="11"/>
      <c r="AC76" s="9"/>
      <c r="AD76" s="55"/>
      <c r="AE76" s="56"/>
      <c r="AF76" s="55"/>
      <c r="AG76" s="10"/>
      <c r="AH76" s="9"/>
      <c r="AI76" s="11"/>
      <c r="AJ76" s="9"/>
      <c r="AK76" s="55"/>
      <c r="AL76" s="56"/>
      <c r="AM76" s="55"/>
      <c r="AN76" s="10"/>
      <c r="AO76" s="9"/>
      <c r="AP76" s="11"/>
      <c r="AQ76" s="9"/>
      <c r="AR76" s="55"/>
      <c r="AS76" s="56"/>
      <c r="AT76" s="55"/>
      <c r="AU76" s="10"/>
      <c r="AV76" s="9"/>
      <c r="AW76" s="11"/>
      <c r="AX76" s="9"/>
      <c r="AY76" s="55"/>
      <c r="AZ76" s="56"/>
      <c r="BA76" s="55"/>
      <c r="BB76" s="10"/>
      <c r="BC76" s="9"/>
      <c r="BD76" s="11"/>
      <c r="BE76" s="9"/>
      <c r="BF76" s="55"/>
      <c r="BG76" s="56"/>
      <c r="BH76" s="55"/>
      <c r="BI76" s="10"/>
      <c r="BJ76" s="9"/>
      <c r="BK76" s="11"/>
      <c r="BL76" s="9"/>
      <c r="BM76" s="55"/>
      <c r="BN76" s="56"/>
      <c r="BO76" s="55"/>
      <c r="BP76" s="10"/>
      <c r="BQ76" s="9"/>
      <c r="BR76" s="11"/>
      <c r="BS76" s="9"/>
      <c r="BT76" s="55"/>
      <c r="BU76" s="56"/>
      <c r="BV76" s="55"/>
      <c r="BW76" s="10"/>
      <c r="BX76" s="9"/>
      <c r="BY76" s="11"/>
      <c r="BZ76" s="9"/>
      <c r="CA76" s="55"/>
      <c r="CB76" s="56"/>
      <c r="CC76" s="55"/>
      <c r="CD76" s="10"/>
      <c r="CE76" s="9"/>
      <c r="CF76" s="11"/>
      <c r="CG76" s="9"/>
      <c r="CH76" s="55"/>
      <c r="CI76" s="56"/>
      <c r="CJ76" s="55"/>
      <c r="CK76" s="10"/>
      <c r="CL76" s="9"/>
      <c r="CM76" s="11"/>
      <c r="CN76" s="9"/>
      <c r="CO76" s="55"/>
      <c r="CP76" s="56"/>
      <c r="CQ76" s="55"/>
    </row>
    <row r="77" spans="1:95" ht="12.75">
      <c r="A77" s="9"/>
      <c r="B77" s="9"/>
      <c r="C77" s="9"/>
      <c r="D77" s="10"/>
      <c r="E77" s="9"/>
      <c r="F77" s="11"/>
      <c r="G77" s="9"/>
      <c r="H77" s="9"/>
      <c r="I77" s="9"/>
      <c r="J77" s="9"/>
      <c r="K77" s="9"/>
      <c r="L77" s="9"/>
      <c r="M77" s="10"/>
      <c r="N77" s="9"/>
      <c r="O77" s="11"/>
      <c r="P77" s="9"/>
      <c r="Q77" s="9"/>
      <c r="R77" s="9"/>
      <c r="S77" s="9"/>
      <c r="T77" s="9"/>
      <c r="U77" s="10"/>
      <c r="V77" s="9"/>
      <c r="W77" s="11"/>
      <c r="X77" s="9"/>
      <c r="Y77" s="9"/>
      <c r="Z77" s="9"/>
      <c r="AA77" s="9"/>
      <c r="AB77" s="9"/>
      <c r="AC77" s="10"/>
      <c r="AD77" s="9"/>
      <c r="AE77" s="11"/>
      <c r="AF77" s="9"/>
      <c r="AG77" s="9"/>
      <c r="AH77" s="9"/>
      <c r="AI77" s="9"/>
      <c r="AJ77" s="10"/>
      <c r="AK77" s="9"/>
      <c r="AL77" s="11"/>
      <c r="AM77" s="9"/>
      <c r="AN77" s="9"/>
      <c r="AO77" s="9"/>
      <c r="AP77" s="9"/>
      <c r="AQ77" s="10"/>
      <c r="AR77" s="9"/>
      <c r="AS77" s="11"/>
      <c r="AT77" s="9"/>
      <c r="AU77" s="9"/>
      <c r="AV77" s="9"/>
      <c r="AW77" s="9"/>
      <c r="AX77" s="10"/>
      <c r="AY77" s="9"/>
      <c r="AZ77" s="11"/>
      <c r="BA77" s="9"/>
      <c r="BB77" s="9"/>
      <c r="BC77" s="9"/>
      <c r="BD77" s="9"/>
      <c r="BE77" s="10"/>
      <c r="BF77" s="9"/>
      <c r="BG77" s="11"/>
      <c r="BH77" s="9"/>
      <c r="BI77" s="9"/>
      <c r="BJ77" s="9"/>
      <c r="BK77" s="9"/>
      <c r="BL77" s="10"/>
      <c r="BM77" s="9"/>
      <c r="BN77" s="11"/>
      <c r="BO77" s="9"/>
      <c r="BP77" s="9"/>
      <c r="BQ77" s="9"/>
      <c r="BR77" s="9"/>
      <c r="BS77" s="10"/>
      <c r="BT77" s="9"/>
      <c r="BU77" s="11"/>
      <c r="BV77" s="9"/>
      <c r="BW77" s="9"/>
      <c r="BX77" s="9"/>
      <c r="BY77" s="9"/>
      <c r="BZ77" s="10"/>
      <c r="CA77" s="9"/>
      <c r="CB77" s="11"/>
      <c r="CC77" s="9"/>
      <c r="CD77" s="9"/>
      <c r="CE77" s="9"/>
      <c r="CF77" s="9"/>
      <c r="CG77" s="10"/>
      <c r="CH77" s="9"/>
      <c r="CI77" s="11"/>
      <c r="CJ77" s="9"/>
      <c r="CK77" s="9"/>
      <c r="CL77" s="9"/>
      <c r="CM77" s="9"/>
      <c r="CN77" s="10"/>
      <c r="CO77" s="9"/>
      <c r="CP77" s="11"/>
      <c r="CQ77" s="9"/>
    </row>
    <row r="78" spans="1:95" ht="12.75">
      <c r="A78" s="20" t="s">
        <v>105</v>
      </c>
      <c r="B78" s="9"/>
      <c r="C78" s="9"/>
      <c r="D78" s="10"/>
      <c r="E78" s="9"/>
      <c r="F78" s="11"/>
      <c r="G78" s="9"/>
      <c r="H78" s="9"/>
      <c r="I78" s="9"/>
      <c r="J78" s="20" t="s">
        <v>105</v>
      </c>
      <c r="K78" s="9"/>
      <c r="L78" s="9"/>
      <c r="M78" s="10"/>
      <c r="N78" s="9"/>
      <c r="O78" s="11"/>
      <c r="P78" s="9"/>
      <c r="Q78" s="9"/>
      <c r="R78" s="20" t="s">
        <v>105</v>
      </c>
      <c r="S78" s="9"/>
      <c r="T78" s="9"/>
      <c r="U78" s="10"/>
      <c r="V78" s="9"/>
      <c r="W78" s="11"/>
      <c r="X78" s="9"/>
      <c r="Y78" s="9"/>
      <c r="Z78" s="20" t="s">
        <v>105</v>
      </c>
      <c r="AA78" s="9"/>
      <c r="AB78" s="9"/>
      <c r="AC78" s="10"/>
      <c r="AD78" s="9"/>
      <c r="AE78" s="11"/>
      <c r="AF78" s="9"/>
      <c r="AG78" s="20" t="s">
        <v>105</v>
      </c>
      <c r="AH78" s="9"/>
      <c r="AI78" s="9"/>
      <c r="AJ78" s="10"/>
      <c r="AK78" s="9"/>
      <c r="AL78" s="11"/>
      <c r="AM78" s="9"/>
      <c r="AN78" s="20" t="s">
        <v>105</v>
      </c>
      <c r="AO78" s="9"/>
      <c r="AP78" s="9"/>
      <c r="AQ78" s="10"/>
      <c r="AR78" s="9"/>
      <c r="AS78" s="11"/>
      <c r="AT78" s="9"/>
      <c r="AU78" s="20" t="s">
        <v>105</v>
      </c>
      <c r="AV78" s="9"/>
      <c r="AW78" s="9"/>
      <c r="AX78" s="10"/>
      <c r="AY78" s="9"/>
      <c r="AZ78" s="11"/>
      <c r="BA78" s="9"/>
      <c r="BB78" s="20" t="s">
        <v>105</v>
      </c>
      <c r="BC78" s="9"/>
      <c r="BD78" s="9"/>
      <c r="BE78" s="10"/>
      <c r="BF78" s="9"/>
      <c r="BG78" s="11"/>
      <c r="BH78" s="9"/>
      <c r="BI78" s="20" t="s">
        <v>105</v>
      </c>
      <c r="BJ78" s="9"/>
      <c r="BK78" s="9"/>
      <c r="BL78" s="10"/>
      <c r="BM78" s="9"/>
      <c r="BN78" s="11"/>
      <c r="BO78" s="9"/>
      <c r="BP78" s="20" t="s">
        <v>105</v>
      </c>
      <c r="BQ78" s="9"/>
      <c r="BR78" s="9"/>
      <c r="BS78" s="10"/>
      <c r="BT78" s="9"/>
      <c r="BU78" s="11"/>
      <c r="BV78" s="9"/>
      <c r="BW78" s="20" t="s">
        <v>105</v>
      </c>
      <c r="BX78" s="9"/>
      <c r="BY78" s="9"/>
      <c r="BZ78" s="10"/>
      <c r="CA78" s="9"/>
      <c r="CB78" s="11"/>
      <c r="CC78" s="9"/>
      <c r="CD78" s="20" t="s">
        <v>105</v>
      </c>
      <c r="CE78" s="9"/>
      <c r="CF78" s="9"/>
      <c r="CG78" s="10"/>
      <c r="CH78" s="9"/>
      <c r="CI78" s="11"/>
      <c r="CJ78" s="9"/>
      <c r="CK78" s="20" t="s">
        <v>105</v>
      </c>
      <c r="CL78" s="9"/>
      <c r="CM78" s="9"/>
      <c r="CN78" s="10"/>
      <c r="CO78" s="9"/>
      <c r="CP78" s="11"/>
      <c r="CQ78" s="9"/>
    </row>
    <row r="79" spans="1:95" ht="12.75">
      <c r="A79" s="20"/>
      <c r="B79" s="9"/>
      <c r="C79" s="9"/>
      <c r="D79" s="10"/>
      <c r="E79" s="9"/>
      <c r="F79" s="11"/>
      <c r="G79" s="9"/>
      <c r="H79" s="9"/>
      <c r="I79" s="9"/>
      <c r="J79" s="20"/>
      <c r="K79" s="9"/>
      <c r="L79" s="9"/>
      <c r="M79" s="10"/>
      <c r="N79" s="9"/>
      <c r="O79" s="11"/>
      <c r="P79" s="9"/>
      <c r="Q79" s="9"/>
      <c r="R79" s="20"/>
      <c r="S79" s="9"/>
      <c r="T79" s="9"/>
      <c r="U79" s="10"/>
      <c r="V79" s="9"/>
      <c r="W79" s="11"/>
      <c r="X79" s="9"/>
      <c r="Y79" s="9"/>
      <c r="Z79" s="20"/>
      <c r="AA79" s="9"/>
      <c r="AB79" s="9"/>
      <c r="AC79" s="10"/>
      <c r="AD79" s="9"/>
      <c r="AE79" s="11"/>
      <c r="AF79" s="9"/>
      <c r="AG79" s="20"/>
      <c r="AH79" s="9"/>
      <c r="AI79" s="9"/>
      <c r="AJ79" s="10"/>
      <c r="AK79" s="9"/>
      <c r="AL79" s="11"/>
      <c r="AM79" s="9"/>
      <c r="AN79" s="20"/>
      <c r="AO79" s="9"/>
      <c r="AP79" s="9"/>
      <c r="AQ79" s="10"/>
      <c r="AR79" s="9"/>
      <c r="AS79" s="11"/>
      <c r="AT79" s="9"/>
      <c r="AU79" s="20"/>
      <c r="AV79" s="9"/>
      <c r="AW79" s="9"/>
      <c r="AX79" s="10"/>
      <c r="AY79" s="9"/>
      <c r="AZ79" s="11"/>
      <c r="BA79" s="9"/>
      <c r="BB79" s="20"/>
      <c r="BC79" s="9"/>
      <c r="BD79" s="9"/>
      <c r="BE79" s="10"/>
      <c r="BF79" s="9"/>
      <c r="BG79" s="11"/>
      <c r="BH79" s="9"/>
      <c r="BI79" s="20"/>
      <c r="BJ79" s="9"/>
      <c r="BK79" s="9"/>
      <c r="BL79" s="10"/>
      <c r="BM79" s="9"/>
      <c r="BN79" s="11"/>
      <c r="BO79" s="9"/>
      <c r="BP79" s="20"/>
      <c r="BQ79" s="9"/>
      <c r="BR79" s="9"/>
      <c r="BS79" s="10"/>
      <c r="BT79" s="9"/>
      <c r="BU79" s="11"/>
      <c r="BV79" s="9"/>
      <c r="BW79" s="20"/>
      <c r="BX79" s="9"/>
      <c r="BY79" s="9"/>
      <c r="BZ79" s="10"/>
      <c r="CA79" s="9"/>
      <c r="CB79" s="11"/>
      <c r="CC79" s="9"/>
      <c r="CD79" s="20"/>
      <c r="CE79" s="9"/>
      <c r="CF79" s="9"/>
      <c r="CG79" s="10"/>
      <c r="CH79" s="9"/>
      <c r="CI79" s="11"/>
      <c r="CJ79" s="9"/>
      <c r="CK79" s="20"/>
      <c r="CL79" s="9"/>
      <c r="CM79" s="9"/>
      <c r="CN79" s="10"/>
      <c r="CO79" s="9"/>
      <c r="CP79" s="11"/>
      <c r="CQ79" s="9"/>
    </row>
    <row r="80" spans="1:95" s="30" customFormat="1" ht="12.75">
      <c r="A80" s="26"/>
      <c r="B80" s="27"/>
      <c r="C80" s="27"/>
      <c r="D80" s="28" t="s">
        <v>143</v>
      </c>
      <c r="E80" s="27" t="s">
        <v>96</v>
      </c>
      <c r="F80" s="29" t="s">
        <v>97</v>
      </c>
      <c r="G80" s="27" t="s">
        <v>96</v>
      </c>
      <c r="H80" s="26"/>
      <c r="I80" s="26"/>
      <c r="J80" s="28" t="s">
        <v>143</v>
      </c>
      <c r="K80" s="27" t="s">
        <v>96</v>
      </c>
      <c r="L80" s="29" t="s">
        <v>97</v>
      </c>
      <c r="M80" s="27" t="s">
        <v>96</v>
      </c>
      <c r="N80" s="65"/>
      <c r="O80" s="66"/>
      <c r="P80" s="65"/>
      <c r="Q80" s="26"/>
      <c r="R80" s="28" t="s">
        <v>143</v>
      </c>
      <c r="S80" s="27" t="s">
        <v>96</v>
      </c>
      <c r="T80" s="29" t="s">
        <v>97</v>
      </c>
      <c r="U80" s="27" t="s">
        <v>96</v>
      </c>
      <c r="V80" s="65"/>
      <c r="W80" s="66"/>
      <c r="X80" s="65"/>
      <c r="Y80" s="26"/>
      <c r="Z80" s="28" t="s">
        <v>143</v>
      </c>
      <c r="AA80" s="27" t="s">
        <v>96</v>
      </c>
      <c r="AB80" s="29" t="s">
        <v>97</v>
      </c>
      <c r="AC80" s="27" t="s">
        <v>96</v>
      </c>
      <c r="AD80" s="65"/>
      <c r="AE80" s="66"/>
      <c r="AF80" s="65"/>
      <c r="AG80" s="28" t="s">
        <v>143</v>
      </c>
      <c r="AH80" s="27" t="s">
        <v>96</v>
      </c>
      <c r="AI80" s="29" t="s">
        <v>97</v>
      </c>
      <c r="AJ80" s="27" t="s">
        <v>96</v>
      </c>
      <c r="AK80" s="65"/>
      <c r="AL80" s="66"/>
      <c r="AM80" s="65"/>
      <c r="AN80" s="28" t="s">
        <v>143</v>
      </c>
      <c r="AO80" s="27" t="s">
        <v>96</v>
      </c>
      <c r="AP80" s="29" t="s">
        <v>97</v>
      </c>
      <c r="AQ80" s="27" t="s">
        <v>96</v>
      </c>
      <c r="AR80" s="65"/>
      <c r="AS80" s="66"/>
      <c r="AT80" s="65"/>
      <c r="AU80" s="94" t="s">
        <v>143</v>
      </c>
      <c r="AV80" s="45" t="s">
        <v>96</v>
      </c>
      <c r="AW80" s="93" t="s">
        <v>97</v>
      </c>
      <c r="AX80" s="45" t="s">
        <v>96</v>
      </c>
      <c r="AY80" s="65"/>
      <c r="AZ80" s="66"/>
      <c r="BA80" s="65"/>
      <c r="BB80" s="94" t="s">
        <v>143</v>
      </c>
      <c r="BC80" s="45" t="s">
        <v>96</v>
      </c>
      <c r="BD80" s="93" t="s">
        <v>97</v>
      </c>
      <c r="BE80" s="45" t="s">
        <v>96</v>
      </c>
      <c r="BF80" s="65"/>
      <c r="BG80" s="66"/>
      <c r="BH80" s="65"/>
      <c r="BI80" s="94" t="s">
        <v>143</v>
      </c>
      <c r="BJ80" s="45" t="s">
        <v>96</v>
      </c>
      <c r="BK80" s="93" t="s">
        <v>97</v>
      </c>
      <c r="BL80" s="45" t="s">
        <v>96</v>
      </c>
      <c r="BM80" s="65"/>
      <c r="BN80" s="66"/>
      <c r="BO80" s="65"/>
      <c r="BP80" s="94" t="s">
        <v>143</v>
      </c>
      <c r="BQ80" s="45" t="s">
        <v>96</v>
      </c>
      <c r="BR80" s="93" t="s">
        <v>97</v>
      </c>
      <c r="BS80" s="45" t="s">
        <v>96</v>
      </c>
      <c r="BT80" s="65"/>
      <c r="BU80" s="66"/>
      <c r="BV80" s="65"/>
      <c r="BW80" s="94" t="s">
        <v>143</v>
      </c>
      <c r="BX80" s="45" t="s">
        <v>96</v>
      </c>
      <c r="BY80" s="93" t="s">
        <v>97</v>
      </c>
      <c r="BZ80" s="45" t="s">
        <v>96</v>
      </c>
      <c r="CA80" s="65"/>
      <c r="CB80" s="66"/>
      <c r="CC80" s="65"/>
      <c r="CD80" s="94" t="s">
        <v>143</v>
      </c>
      <c r="CE80" s="45" t="s">
        <v>96</v>
      </c>
      <c r="CF80" s="93" t="s">
        <v>97</v>
      </c>
      <c r="CG80" s="45" t="s">
        <v>96</v>
      </c>
      <c r="CH80" s="65"/>
      <c r="CI80" s="66"/>
      <c r="CJ80" s="65"/>
      <c r="CK80" s="94" t="s">
        <v>143</v>
      </c>
      <c r="CL80" s="45" t="s">
        <v>96</v>
      </c>
      <c r="CM80" s="93" t="s">
        <v>97</v>
      </c>
      <c r="CN80" s="45" t="s">
        <v>96</v>
      </c>
      <c r="CO80" s="65"/>
      <c r="CP80" s="66"/>
      <c r="CQ80" s="65"/>
    </row>
    <row r="81" spans="1:95" ht="12.75">
      <c r="A81" s="13"/>
      <c r="B81" s="9"/>
      <c r="C81" s="9"/>
      <c r="D81" s="10"/>
      <c r="E81" s="9"/>
      <c r="F81" s="11"/>
      <c r="G81" s="9"/>
      <c r="H81" s="9"/>
      <c r="I81" s="9"/>
      <c r="J81" s="10"/>
      <c r="K81" s="9"/>
      <c r="L81" s="11"/>
      <c r="M81" s="9"/>
      <c r="N81" s="55"/>
      <c r="O81" s="56"/>
      <c r="P81" s="55"/>
      <c r="Q81" s="9"/>
      <c r="R81" s="10"/>
      <c r="S81" s="9"/>
      <c r="T81" s="11"/>
      <c r="U81" s="9"/>
      <c r="V81" s="55"/>
      <c r="W81" s="56"/>
      <c r="X81" s="55"/>
      <c r="Y81" s="9"/>
      <c r="Z81" s="10"/>
      <c r="AA81" s="9"/>
      <c r="AB81" s="11"/>
      <c r="AC81" s="9"/>
      <c r="AD81" s="55"/>
      <c r="AE81" s="56"/>
      <c r="AF81" s="55"/>
      <c r="AG81" s="10"/>
      <c r="AH81" s="9"/>
      <c r="AI81" s="11"/>
      <c r="AJ81" s="9"/>
      <c r="AK81" s="55"/>
      <c r="AL81" s="56"/>
      <c r="AM81" s="55"/>
      <c r="AN81" s="10"/>
      <c r="AO81" s="9"/>
      <c r="AP81" s="11"/>
      <c r="AQ81" s="9"/>
      <c r="AR81" s="55"/>
      <c r="AS81" s="56"/>
      <c r="AT81" s="55"/>
      <c r="AU81" s="10"/>
      <c r="AV81" s="9"/>
      <c r="AW81" s="11"/>
      <c r="AX81" s="9"/>
      <c r="AY81" s="55"/>
      <c r="AZ81" s="56"/>
      <c r="BA81" s="55"/>
      <c r="BB81" s="10"/>
      <c r="BC81" s="9"/>
      <c r="BD81" s="11"/>
      <c r="BE81" s="9"/>
      <c r="BF81" s="55"/>
      <c r="BG81" s="56"/>
      <c r="BH81" s="55"/>
      <c r="BI81" s="10"/>
      <c r="BJ81" s="9"/>
      <c r="BK81" s="11"/>
      <c r="BL81" s="9"/>
      <c r="BM81" s="55"/>
      <c r="BN81" s="56"/>
      <c r="BO81" s="55"/>
      <c r="BP81" s="10"/>
      <c r="BQ81" s="9"/>
      <c r="BR81" s="11"/>
      <c r="BS81" s="9"/>
      <c r="BT81" s="55"/>
      <c r="BU81" s="56"/>
      <c r="BV81" s="55"/>
      <c r="BW81" s="10"/>
      <c r="BX81" s="9"/>
      <c r="BY81" s="11"/>
      <c r="BZ81" s="9"/>
      <c r="CA81" s="55"/>
      <c r="CB81" s="56"/>
      <c r="CC81" s="55"/>
      <c r="CD81" s="10"/>
      <c r="CE81" s="9"/>
      <c r="CF81" s="11"/>
      <c r="CG81" s="9"/>
      <c r="CH81" s="55"/>
      <c r="CI81" s="56"/>
      <c r="CJ81" s="55"/>
      <c r="CK81" s="10"/>
      <c r="CL81" s="9"/>
      <c r="CM81" s="11"/>
      <c r="CN81" s="9"/>
      <c r="CO81" s="55"/>
      <c r="CP81" s="56"/>
      <c r="CQ81" s="55"/>
    </row>
    <row r="82" spans="1:95" ht="12.75">
      <c r="A82" s="9" t="s">
        <v>23</v>
      </c>
      <c r="B82" s="9"/>
      <c r="C82" s="9"/>
      <c r="D82" s="10">
        <v>20891960.85000002</v>
      </c>
      <c r="E82" s="15">
        <v>0.15745810576523928</v>
      </c>
      <c r="F82" s="11">
        <v>4375</v>
      </c>
      <c r="G82" s="15">
        <v>0.19795484367223204</v>
      </c>
      <c r="H82" s="9"/>
      <c r="I82" s="9"/>
      <c r="J82" s="10">
        <v>20492464.720000047</v>
      </c>
      <c r="K82" s="15">
        <v>0.1591657534771022</v>
      </c>
      <c r="L82" s="11">
        <v>3021</v>
      </c>
      <c r="M82" s="15">
        <v>0.16160265325772974</v>
      </c>
      <c r="N82" s="57"/>
      <c r="O82" s="56"/>
      <c r="P82" s="57"/>
      <c r="Q82" s="9"/>
      <c r="R82" s="10">
        <v>22841087.440000005</v>
      </c>
      <c r="S82" s="15">
        <v>0.1823735639021201</v>
      </c>
      <c r="T82" s="11">
        <v>3186</v>
      </c>
      <c r="U82" s="15">
        <v>0.17651947476314478</v>
      </c>
      <c r="V82" s="57"/>
      <c r="W82" s="56"/>
      <c r="X82" s="57"/>
      <c r="Y82" s="9"/>
      <c r="Z82" s="10">
        <v>24130140.94000004</v>
      </c>
      <c r="AA82" s="15">
        <v>0.19758275835443403</v>
      </c>
      <c r="AB82" s="11">
        <v>3265</v>
      </c>
      <c r="AC82" s="15">
        <v>0.1873852157943067</v>
      </c>
      <c r="AD82" s="57"/>
      <c r="AE82" s="56"/>
      <c r="AF82" s="57"/>
      <c r="AG82" s="10">
        <v>26001587.42000004</v>
      </c>
      <c r="AH82" s="15">
        <v>0.21876769404454832</v>
      </c>
      <c r="AI82" s="11">
        <v>3429</v>
      </c>
      <c r="AJ82" s="15">
        <v>0.20352564102564102</v>
      </c>
      <c r="AK82" s="57"/>
      <c r="AL82" s="56"/>
      <c r="AM82" s="57"/>
      <c r="AN82" s="10">
        <v>27140441.680000048</v>
      </c>
      <c r="AO82" s="15">
        <v>0.23425182612836043</v>
      </c>
      <c r="AP82" s="11">
        <v>3498</v>
      </c>
      <c r="AQ82" s="15">
        <v>0.2154869709850305</v>
      </c>
      <c r="AR82" s="57"/>
      <c r="AS82" s="56"/>
      <c r="AT82" s="57"/>
      <c r="AU82" s="10">
        <v>28246348.120000035</v>
      </c>
      <c r="AV82" s="15">
        <v>0.24953201975477163</v>
      </c>
      <c r="AW82" s="11">
        <v>3540</v>
      </c>
      <c r="AX82" s="15">
        <v>0.2222222222222222</v>
      </c>
      <c r="AY82" s="57"/>
      <c r="AZ82" s="56"/>
      <c r="BA82" s="57"/>
      <c r="BB82" s="10">
        <v>26488247.1</v>
      </c>
      <c r="BC82" s="15">
        <v>0.2641023341500303</v>
      </c>
      <c r="BD82" s="11">
        <v>3169</v>
      </c>
      <c r="BE82" s="15">
        <v>0.228709584295612</v>
      </c>
      <c r="BF82" s="57"/>
      <c r="BG82" s="56"/>
      <c r="BH82" s="57"/>
      <c r="BI82" s="10">
        <v>26714857.890000045</v>
      </c>
      <c r="BJ82" s="15">
        <v>0.27306781093695354</v>
      </c>
      <c r="BK82" s="11">
        <v>3183</v>
      </c>
      <c r="BL82" s="15">
        <v>0.23675989288902113</v>
      </c>
      <c r="BM82" s="57"/>
      <c r="BN82" s="56"/>
      <c r="BO82" s="57"/>
      <c r="BP82" s="10">
        <v>25120961.870000035</v>
      </c>
      <c r="BQ82" s="15">
        <v>0.27152163258570094</v>
      </c>
      <c r="BR82" s="11">
        <v>2941</v>
      </c>
      <c r="BS82" s="15">
        <v>0.23293204498653572</v>
      </c>
      <c r="BT82" s="57"/>
      <c r="BU82" s="56"/>
      <c r="BV82" s="57"/>
      <c r="BW82" s="10">
        <v>24547219.230000023</v>
      </c>
      <c r="BX82" s="15">
        <v>0.271947276234762</v>
      </c>
      <c r="BY82" s="11">
        <v>2858</v>
      </c>
      <c r="BZ82" s="15">
        <v>0.2329068535571673</v>
      </c>
      <c r="CA82" s="57"/>
      <c r="CB82" s="56"/>
      <c r="CC82" s="57"/>
      <c r="CD82" s="10">
        <v>23942565.94000002</v>
      </c>
      <c r="CE82" s="15">
        <v>0.28587381854973043</v>
      </c>
      <c r="CF82" s="11">
        <v>2800</v>
      </c>
      <c r="CG82" s="15">
        <v>0.24131690080151685</v>
      </c>
      <c r="CH82" s="57"/>
      <c r="CI82" s="56"/>
      <c r="CJ82" s="57"/>
      <c r="CK82" s="10">
        <v>23094266.810000032</v>
      </c>
      <c r="CL82" s="15">
        <v>0.2922200227331694</v>
      </c>
      <c r="CM82" s="11">
        <v>2690</v>
      </c>
      <c r="CN82" s="15">
        <v>0.24665321841188337</v>
      </c>
      <c r="CO82" s="57"/>
      <c r="CP82" s="56"/>
      <c r="CQ82" s="57"/>
    </row>
    <row r="83" spans="1:95" ht="12.75">
      <c r="A83" s="9" t="s">
        <v>64</v>
      </c>
      <c r="B83" s="9"/>
      <c r="C83" s="9"/>
      <c r="D83" s="10">
        <v>1183027.24</v>
      </c>
      <c r="E83" s="15">
        <v>0.008916215649479309</v>
      </c>
      <c r="F83" s="11">
        <v>394</v>
      </c>
      <c r="G83" s="15">
        <v>0.017827247635853583</v>
      </c>
      <c r="H83" s="9"/>
      <c r="I83" s="9"/>
      <c r="J83" s="10">
        <v>1091146.71</v>
      </c>
      <c r="K83" s="15">
        <v>0.008474978028470687</v>
      </c>
      <c r="L83" s="11">
        <v>247</v>
      </c>
      <c r="M83" s="15">
        <v>0.01321279554937413</v>
      </c>
      <c r="N83" s="57"/>
      <c r="O83" s="56"/>
      <c r="P83" s="57"/>
      <c r="Q83" s="9"/>
      <c r="R83" s="10">
        <v>1196603.7</v>
      </c>
      <c r="S83" s="15">
        <v>0.009554224680445561</v>
      </c>
      <c r="T83" s="11">
        <v>255</v>
      </c>
      <c r="U83" s="15">
        <v>0.014128206548839272</v>
      </c>
      <c r="V83" s="57"/>
      <c r="W83" s="56"/>
      <c r="X83" s="57"/>
      <c r="Y83" s="9"/>
      <c r="Z83" s="10">
        <v>1204097.33</v>
      </c>
      <c r="AA83" s="15">
        <v>0.009859406639197552</v>
      </c>
      <c r="AB83" s="11">
        <v>258</v>
      </c>
      <c r="AC83" s="15">
        <v>0.014807162534435262</v>
      </c>
      <c r="AD83" s="57"/>
      <c r="AE83" s="56"/>
      <c r="AF83" s="57"/>
      <c r="AG83" s="10">
        <v>1223584.16</v>
      </c>
      <c r="AH83" s="15">
        <v>0.010294782423427717</v>
      </c>
      <c r="AI83" s="11">
        <v>266</v>
      </c>
      <c r="AJ83" s="15">
        <v>0.015788224121557455</v>
      </c>
      <c r="AK83" s="57"/>
      <c r="AL83" s="56"/>
      <c r="AM83" s="57"/>
      <c r="AN83" s="10">
        <v>1191249.77</v>
      </c>
      <c r="AO83" s="15">
        <v>0.01028179413171174</v>
      </c>
      <c r="AP83" s="11">
        <v>256</v>
      </c>
      <c r="AQ83" s="15">
        <v>0.015770344360253805</v>
      </c>
      <c r="AR83" s="57"/>
      <c r="AS83" s="56"/>
      <c r="AT83" s="57"/>
      <c r="AU83" s="10">
        <v>1165407.02</v>
      </c>
      <c r="AV83" s="15">
        <v>0.010295361591577986</v>
      </c>
      <c r="AW83" s="11">
        <v>254</v>
      </c>
      <c r="AX83" s="15">
        <v>0.015944758317639675</v>
      </c>
      <c r="AY83" s="57"/>
      <c r="AZ83" s="56"/>
      <c r="BA83" s="57"/>
      <c r="BB83" s="10">
        <v>1102363.54</v>
      </c>
      <c r="BC83" s="15">
        <v>0.010991168381085147</v>
      </c>
      <c r="BD83" s="11">
        <v>234</v>
      </c>
      <c r="BE83" s="15">
        <v>0.016887990762124713</v>
      </c>
      <c r="BF83" s="57"/>
      <c r="BG83" s="56"/>
      <c r="BH83" s="57"/>
      <c r="BI83" s="10">
        <v>1052038.94</v>
      </c>
      <c r="BJ83" s="15">
        <v>0.010753490493908545</v>
      </c>
      <c r="BK83" s="11">
        <v>227</v>
      </c>
      <c r="BL83" s="15">
        <v>0.016884855697709016</v>
      </c>
      <c r="BM83" s="57"/>
      <c r="BN83" s="56"/>
      <c r="BO83" s="57"/>
      <c r="BP83" s="10">
        <v>994807.46</v>
      </c>
      <c r="BQ83" s="15">
        <v>0.01075244439466338</v>
      </c>
      <c r="BR83" s="11">
        <v>216</v>
      </c>
      <c r="BS83" s="15">
        <v>0.017107555837161413</v>
      </c>
      <c r="BT83" s="57"/>
      <c r="BU83" s="56"/>
      <c r="BV83" s="57"/>
      <c r="BW83" s="10">
        <v>954321.9</v>
      </c>
      <c r="BX83" s="15">
        <v>0.010572490469267002</v>
      </c>
      <c r="BY83" s="11">
        <v>208</v>
      </c>
      <c r="BZ83" s="15">
        <v>0.01695053377882813</v>
      </c>
      <c r="CA83" s="57"/>
      <c r="CB83" s="56"/>
      <c r="CC83" s="57"/>
      <c r="CD83" s="10">
        <v>916090.8</v>
      </c>
      <c r="CE83" s="15">
        <v>0.010938108128868213</v>
      </c>
      <c r="CF83" s="11">
        <v>198</v>
      </c>
      <c r="CG83" s="15">
        <v>0.017064552270964407</v>
      </c>
      <c r="CH83" s="57"/>
      <c r="CI83" s="56"/>
      <c r="CJ83" s="57"/>
      <c r="CK83" s="10">
        <v>857727.59</v>
      </c>
      <c r="CL83" s="15">
        <v>0.010853134152764479</v>
      </c>
      <c r="CM83" s="11">
        <v>190</v>
      </c>
      <c r="CN83" s="15">
        <v>0.017421602787456445</v>
      </c>
      <c r="CO83" s="57"/>
      <c r="CP83" s="56"/>
      <c r="CQ83" s="57"/>
    </row>
    <row r="84" spans="1:95" ht="12.75">
      <c r="A84" s="9" t="s">
        <v>65</v>
      </c>
      <c r="B84" s="9"/>
      <c r="C84" s="9"/>
      <c r="D84" s="10">
        <v>121523.19</v>
      </c>
      <c r="E84" s="15">
        <v>0.000915893507619188</v>
      </c>
      <c r="F84" s="11">
        <v>25</v>
      </c>
      <c r="G84" s="15">
        <v>0.0011311705352698973</v>
      </c>
      <c r="H84" s="9"/>
      <c r="I84" s="9"/>
      <c r="J84" s="10">
        <v>121523.19</v>
      </c>
      <c r="K84" s="15">
        <v>0.0009438752422207907</v>
      </c>
      <c r="L84" s="11">
        <v>20</v>
      </c>
      <c r="M84" s="15">
        <v>0.0010698619878035734</v>
      </c>
      <c r="N84" s="57"/>
      <c r="O84" s="56"/>
      <c r="P84" s="57"/>
      <c r="Q84" s="9"/>
      <c r="R84" s="10">
        <v>170258.35</v>
      </c>
      <c r="S84" s="15">
        <v>0.0013594196053563427</v>
      </c>
      <c r="T84" s="11">
        <v>24</v>
      </c>
      <c r="U84" s="15">
        <v>0.0013297135575378138</v>
      </c>
      <c r="V84" s="57"/>
      <c r="W84" s="56"/>
      <c r="X84" s="57"/>
      <c r="Y84" s="9"/>
      <c r="Z84" s="10">
        <v>195585.32</v>
      </c>
      <c r="AA84" s="15">
        <v>0.0016014944593703059</v>
      </c>
      <c r="AB84" s="11">
        <v>29</v>
      </c>
      <c r="AC84" s="15">
        <v>0.0016643709825528007</v>
      </c>
      <c r="AD84" s="57"/>
      <c r="AE84" s="56"/>
      <c r="AF84" s="57"/>
      <c r="AG84" s="10">
        <v>170180.44</v>
      </c>
      <c r="AH84" s="15">
        <v>0.0014318349810308064</v>
      </c>
      <c r="AI84" s="11">
        <v>27</v>
      </c>
      <c r="AJ84" s="15">
        <v>0.0016025641025641025</v>
      </c>
      <c r="AK84" s="57"/>
      <c r="AL84" s="56"/>
      <c r="AM84" s="57"/>
      <c r="AN84" s="10">
        <v>183418.06</v>
      </c>
      <c r="AO84" s="15">
        <v>0.0015830993469639473</v>
      </c>
      <c r="AP84" s="11">
        <v>30</v>
      </c>
      <c r="AQ84" s="15">
        <v>0.0018480872297172426</v>
      </c>
      <c r="AR84" s="57"/>
      <c r="AS84" s="56"/>
      <c r="AT84" s="57"/>
      <c r="AU84" s="10">
        <v>170732.95</v>
      </c>
      <c r="AV84" s="15">
        <v>0.0015082777310255135</v>
      </c>
      <c r="AW84" s="11">
        <v>29</v>
      </c>
      <c r="AX84" s="15">
        <v>0.0018204645323289391</v>
      </c>
      <c r="AY84" s="57"/>
      <c r="AZ84" s="56"/>
      <c r="BA84" s="57"/>
      <c r="BB84" s="10">
        <v>186118.45</v>
      </c>
      <c r="BC84" s="15">
        <v>0.0018557029043037628</v>
      </c>
      <c r="BD84" s="11">
        <v>30</v>
      </c>
      <c r="BE84" s="15">
        <v>0.0021651270207852192</v>
      </c>
      <c r="BF84" s="57"/>
      <c r="BG84" s="56"/>
      <c r="BH84" s="57"/>
      <c r="BI84" s="10">
        <v>181906.1</v>
      </c>
      <c r="BJ84" s="15">
        <v>0.001859366077394413</v>
      </c>
      <c r="BK84" s="11">
        <v>30</v>
      </c>
      <c r="BL84" s="15">
        <v>0.0022314787265694733</v>
      </c>
      <c r="BM84" s="57"/>
      <c r="BN84" s="56"/>
      <c r="BO84" s="57"/>
      <c r="BP84" s="10">
        <v>174511.75</v>
      </c>
      <c r="BQ84" s="15">
        <v>0.0018862221721682676</v>
      </c>
      <c r="BR84" s="11">
        <v>28</v>
      </c>
      <c r="BS84" s="15">
        <v>0.0022176461270394425</v>
      </c>
      <c r="BT84" s="57"/>
      <c r="BU84" s="56"/>
      <c r="BV84" s="57"/>
      <c r="BW84" s="10">
        <v>173221.33</v>
      </c>
      <c r="BX84" s="15">
        <v>0.001919038911816604</v>
      </c>
      <c r="BY84" s="11">
        <v>27</v>
      </c>
      <c r="BZ84" s="15">
        <v>0.002200309673213267</v>
      </c>
      <c r="CA84" s="57"/>
      <c r="CB84" s="56"/>
      <c r="CC84" s="57"/>
      <c r="CD84" s="10">
        <v>148095.11</v>
      </c>
      <c r="CE84" s="15">
        <v>0.0017682530231027665</v>
      </c>
      <c r="CF84" s="11">
        <v>25</v>
      </c>
      <c r="CG84" s="15">
        <v>0.002154615185727829</v>
      </c>
      <c r="CH84" s="57"/>
      <c r="CI84" s="56"/>
      <c r="CJ84" s="57"/>
      <c r="CK84" s="10">
        <v>147034.9</v>
      </c>
      <c r="CL84" s="15">
        <v>0.001860485209340544</v>
      </c>
      <c r="CM84" s="11">
        <v>25</v>
      </c>
      <c r="CN84" s="15">
        <v>0.0022923161562442692</v>
      </c>
      <c r="CO84" s="57"/>
      <c r="CP84" s="56"/>
      <c r="CQ84" s="57"/>
    </row>
    <row r="85" spans="1:95" ht="12.75">
      <c r="A85" s="9" t="s">
        <v>66</v>
      </c>
      <c r="B85" s="9"/>
      <c r="C85" s="9"/>
      <c r="D85" s="10">
        <v>660839.69</v>
      </c>
      <c r="E85" s="15">
        <v>0.004980603139598925</v>
      </c>
      <c r="F85" s="11">
        <v>143</v>
      </c>
      <c r="G85" s="15">
        <v>0.0064702954617438125</v>
      </c>
      <c r="H85" s="9"/>
      <c r="I85" s="9"/>
      <c r="J85" s="10">
        <v>622208.01</v>
      </c>
      <c r="K85" s="15">
        <v>0.004832713296535962</v>
      </c>
      <c r="L85" s="11">
        <v>134</v>
      </c>
      <c r="M85" s="15">
        <v>0.007168075318283941</v>
      </c>
      <c r="N85" s="57"/>
      <c r="O85" s="56"/>
      <c r="P85" s="57"/>
      <c r="Q85" s="9"/>
      <c r="R85" s="10">
        <v>618860.13</v>
      </c>
      <c r="S85" s="15">
        <v>0.004941258937933882</v>
      </c>
      <c r="T85" s="11">
        <v>134</v>
      </c>
      <c r="U85" s="15">
        <v>0.007424234029586127</v>
      </c>
      <c r="V85" s="57"/>
      <c r="W85" s="56"/>
      <c r="X85" s="57"/>
      <c r="Y85" s="9"/>
      <c r="Z85" s="10">
        <v>632595.55</v>
      </c>
      <c r="AA85" s="15">
        <v>0.005179827751629376</v>
      </c>
      <c r="AB85" s="11">
        <v>135</v>
      </c>
      <c r="AC85" s="15">
        <v>0.007747933884297521</v>
      </c>
      <c r="AD85" s="57"/>
      <c r="AE85" s="56"/>
      <c r="AF85" s="57"/>
      <c r="AG85" s="10">
        <v>649309.76</v>
      </c>
      <c r="AH85" s="15">
        <v>0.005463051029205928</v>
      </c>
      <c r="AI85" s="11">
        <v>128</v>
      </c>
      <c r="AJ85" s="15">
        <v>0.007597340930674264</v>
      </c>
      <c r="AK85" s="57"/>
      <c r="AL85" s="56"/>
      <c r="AM85" s="57"/>
      <c r="AN85" s="10">
        <v>596651.33</v>
      </c>
      <c r="AO85" s="15">
        <v>0.005149756413780469</v>
      </c>
      <c r="AP85" s="11">
        <v>119</v>
      </c>
      <c r="AQ85" s="15">
        <v>0.007330746011211729</v>
      </c>
      <c r="AR85" s="57"/>
      <c r="AS85" s="56"/>
      <c r="AT85" s="57"/>
      <c r="AU85" s="10">
        <v>568776.5</v>
      </c>
      <c r="AV85" s="15">
        <v>0.005024647725472049</v>
      </c>
      <c r="AW85" s="11">
        <v>115</v>
      </c>
      <c r="AX85" s="15">
        <v>0.007219083490269931</v>
      </c>
      <c r="AY85" s="57"/>
      <c r="AZ85" s="56"/>
      <c r="BA85" s="57"/>
      <c r="BB85" s="10">
        <v>541729.66</v>
      </c>
      <c r="BC85" s="15">
        <v>0.00540134147586921</v>
      </c>
      <c r="BD85" s="11">
        <v>112</v>
      </c>
      <c r="BE85" s="15">
        <v>0.008083140877598153</v>
      </c>
      <c r="BF85" s="57"/>
      <c r="BG85" s="56"/>
      <c r="BH85" s="57"/>
      <c r="BI85" s="10">
        <v>490975.91</v>
      </c>
      <c r="BJ85" s="15">
        <v>0.005018545017851806</v>
      </c>
      <c r="BK85" s="11">
        <v>105</v>
      </c>
      <c r="BL85" s="15">
        <v>0.0078101755429931564</v>
      </c>
      <c r="BM85" s="57"/>
      <c r="BN85" s="56"/>
      <c r="BO85" s="57"/>
      <c r="BP85" s="10">
        <v>452782.41</v>
      </c>
      <c r="BQ85" s="15">
        <v>0.004893929611672471</v>
      </c>
      <c r="BR85" s="11">
        <v>99</v>
      </c>
      <c r="BS85" s="15">
        <v>0.007840963092032313</v>
      </c>
      <c r="BT85" s="57"/>
      <c r="BU85" s="56"/>
      <c r="BV85" s="57"/>
      <c r="BW85" s="10">
        <v>414947.81</v>
      </c>
      <c r="BX85" s="15">
        <v>0.004597014661895759</v>
      </c>
      <c r="BY85" s="11">
        <v>93</v>
      </c>
      <c r="BZ85" s="15">
        <v>0.007578844429956808</v>
      </c>
      <c r="CA85" s="57"/>
      <c r="CB85" s="56"/>
      <c r="CC85" s="57"/>
      <c r="CD85" s="10">
        <v>393740.51</v>
      </c>
      <c r="CE85" s="15">
        <v>0.00470125480257603</v>
      </c>
      <c r="CF85" s="11">
        <v>90</v>
      </c>
      <c r="CG85" s="15">
        <v>0.007756614668620185</v>
      </c>
      <c r="CH85" s="57"/>
      <c r="CI85" s="56"/>
      <c r="CJ85" s="57"/>
      <c r="CK85" s="10">
        <v>371790.85</v>
      </c>
      <c r="CL85" s="15">
        <v>0.004704402678501152</v>
      </c>
      <c r="CM85" s="11">
        <v>87</v>
      </c>
      <c r="CN85" s="15">
        <v>0.007977260223730057</v>
      </c>
      <c r="CO85" s="57"/>
      <c r="CP85" s="56"/>
      <c r="CQ85" s="57"/>
    </row>
    <row r="86" spans="1:95" ht="12.75">
      <c r="A86" s="9" t="s">
        <v>67</v>
      </c>
      <c r="B86" s="9"/>
      <c r="C86" s="9"/>
      <c r="D86" s="10">
        <v>378102.23</v>
      </c>
      <c r="E86" s="15">
        <v>0.0028496731996036063</v>
      </c>
      <c r="F86" s="11">
        <v>112</v>
      </c>
      <c r="G86" s="15">
        <v>0.00506764399800914</v>
      </c>
      <c r="H86" s="9"/>
      <c r="I86" s="9"/>
      <c r="J86" s="10">
        <v>359818.54</v>
      </c>
      <c r="K86" s="15">
        <v>0.00279472429581573</v>
      </c>
      <c r="L86" s="11">
        <v>105</v>
      </c>
      <c r="M86" s="15">
        <v>0.00561677543596876</v>
      </c>
      <c r="N86" s="57"/>
      <c r="O86" s="56"/>
      <c r="P86" s="57"/>
      <c r="Q86" s="9"/>
      <c r="R86" s="10">
        <v>398603.11</v>
      </c>
      <c r="S86" s="15">
        <v>0.003182627357131156</v>
      </c>
      <c r="T86" s="11">
        <v>107</v>
      </c>
      <c r="U86" s="15">
        <v>0.005928306277356086</v>
      </c>
      <c r="V86" s="57"/>
      <c r="W86" s="56"/>
      <c r="X86" s="57"/>
      <c r="Y86" s="9"/>
      <c r="Z86" s="10">
        <v>365620.14</v>
      </c>
      <c r="AA86" s="15">
        <v>0.0029937759564173617</v>
      </c>
      <c r="AB86" s="11">
        <v>100</v>
      </c>
      <c r="AC86" s="15">
        <v>0.00573921028466483</v>
      </c>
      <c r="AD86" s="57"/>
      <c r="AE86" s="56"/>
      <c r="AF86" s="57"/>
      <c r="AG86" s="10">
        <v>345707.96</v>
      </c>
      <c r="AH86" s="15">
        <v>0.0029086583061414036</v>
      </c>
      <c r="AI86" s="11">
        <v>97</v>
      </c>
      <c r="AJ86" s="15">
        <v>0.005757359924026591</v>
      </c>
      <c r="AK86" s="57"/>
      <c r="AL86" s="56"/>
      <c r="AM86" s="57"/>
      <c r="AN86" s="10">
        <v>330285.2</v>
      </c>
      <c r="AO86" s="15">
        <v>0.00285072410226047</v>
      </c>
      <c r="AP86" s="11">
        <v>96</v>
      </c>
      <c r="AQ86" s="15">
        <v>0.005913879135095177</v>
      </c>
      <c r="AR86" s="57"/>
      <c r="AS86" s="56"/>
      <c r="AT86" s="57"/>
      <c r="AU86" s="10">
        <v>305078.26</v>
      </c>
      <c r="AV86" s="15">
        <v>0.002695102180206057</v>
      </c>
      <c r="AW86" s="11">
        <v>93</v>
      </c>
      <c r="AX86" s="15">
        <v>0.005838041431261771</v>
      </c>
      <c r="AY86" s="57"/>
      <c r="AZ86" s="56"/>
      <c r="BA86" s="57"/>
      <c r="BB86" s="10">
        <v>266897.38</v>
      </c>
      <c r="BC86" s="15">
        <v>0.0026611130880203697</v>
      </c>
      <c r="BD86" s="11">
        <v>86</v>
      </c>
      <c r="BE86" s="15">
        <v>0.006206697459584296</v>
      </c>
      <c r="BF86" s="57"/>
      <c r="BG86" s="56"/>
      <c r="BH86" s="57"/>
      <c r="BI86" s="10">
        <v>239396.77</v>
      </c>
      <c r="BJ86" s="15">
        <v>0.0024470110302831647</v>
      </c>
      <c r="BK86" s="11">
        <v>83</v>
      </c>
      <c r="BL86" s="15">
        <v>0.006173757810175543</v>
      </c>
      <c r="BM86" s="57"/>
      <c r="BN86" s="56"/>
      <c r="BO86" s="57"/>
      <c r="BP86" s="10">
        <v>206658.85</v>
      </c>
      <c r="BQ86" s="15">
        <v>0.0022336862987437584</v>
      </c>
      <c r="BR86" s="11">
        <v>79</v>
      </c>
      <c r="BS86" s="15">
        <v>0.006256930144146998</v>
      </c>
      <c r="BT86" s="57"/>
      <c r="BU86" s="56"/>
      <c r="BV86" s="57"/>
      <c r="BW86" s="10">
        <v>189917.54</v>
      </c>
      <c r="BX86" s="15">
        <v>0.0021040084918900375</v>
      </c>
      <c r="BY86" s="11">
        <v>77</v>
      </c>
      <c r="BZ86" s="15">
        <v>0.006274957216200799</v>
      </c>
      <c r="CA86" s="57"/>
      <c r="CB86" s="56"/>
      <c r="CC86" s="57"/>
      <c r="CD86" s="10">
        <v>161527.76</v>
      </c>
      <c r="CE86" s="15">
        <v>0.0019286386291553989</v>
      </c>
      <c r="CF86" s="11">
        <v>69</v>
      </c>
      <c r="CG86" s="15">
        <v>0.005946737912608808</v>
      </c>
      <c r="CH86" s="57"/>
      <c r="CI86" s="56"/>
      <c r="CJ86" s="57"/>
      <c r="CK86" s="10">
        <v>143725.05</v>
      </c>
      <c r="CL86" s="15">
        <v>0.0018186044927886518</v>
      </c>
      <c r="CM86" s="11">
        <v>54</v>
      </c>
      <c r="CN86" s="15">
        <v>0.004951402897487621</v>
      </c>
      <c r="CO86" s="57"/>
      <c r="CP86" s="56"/>
      <c r="CQ86" s="57"/>
    </row>
    <row r="87" spans="1:95" ht="12.75">
      <c r="A87" s="9" t="s">
        <v>68</v>
      </c>
      <c r="B87" s="9"/>
      <c r="C87" s="9"/>
      <c r="D87" s="10">
        <v>11205032.519999979</v>
      </c>
      <c r="E87" s="15">
        <v>0.08444986127939737</v>
      </c>
      <c r="F87" s="11">
        <v>3021</v>
      </c>
      <c r="G87" s="15">
        <v>0.1366906474820144</v>
      </c>
      <c r="H87" s="9"/>
      <c r="I87" s="9"/>
      <c r="J87" s="10">
        <v>10358426.469999993</v>
      </c>
      <c r="K87" s="15">
        <v>0.08045429266132245</v>
      </c>
      <c r="L87" s="11">
        <v>2820</v>
      </c>
      <c r="M87" s="15">
        <v>0.15085054028030384</v>
      </c>
      <c r="N87" s="57"/>
      <c r="O87" s="56"/>
      <c r="P87" s="57"/>
      <c r="Q87" s="9"/>
      <c r="R87" s="10">
        <v>9611354.379999992</v>
      </c>
      <c r="S87" s="15">
        <v>0.07674139669625335</v>
      </c>
      <c r="T87" s="11">
        <v>2687</v>
      </c>
      <c r="U87" s="15">
        <v>0.14887251371267107</v>
      </c>
      <c r="V87" s="57"/>
      <c r="W87" s="56"/>
      <c r="X87" s="57"/>
      <c r="Y87" s="9"/>
      <c r="Z87" s="10">
        <v>8860381.910000004</v>
      </c>
      <c r="AA87" s="15">
        <v>0.07255070337983391</v>
      </c>
      <c r="AB87" s="11">
        <v>2537</v>
      </c>
      <c r="AC87" s="15">
        <v>0.14560376492194674</v>
      </c>
      <c r="AD87" s="57"/>
      <c r="AE87" s="56"/>
      <c r="AF87" s="57"/>
      <c r="AG87" s="10">
        <v>8197447.830000008</v>
      </c>
      <c r="AH87" s="15">
        <v>0.0689702797699259</v>
      </c>
      <c r="AI87" s="11">
        <v>2420</v>
      </c>
      <c r="AJ87" s="15">
        <v>0.1436372269705603</v>
      </c>
      <c r="AK87" s="57"/>
      <c r="AL87" s="56"/>
      <c r="AM87" s="57"/>
      <c r="AN87" s="10">
        <v>7604967.420000007</v>
      </c>
      <c r="AO87" s="15">
        <v>0.06563922307478395</v>
      </c>
      <c r="AP87" s="11">
        <v>2293</v>
      </c>
      <c r="AQ87" s="15">
        <v>0.14125546725805457</v>
      </c>
      <c r="AR87" s="57"/>
      <c r="AS87" s="56"/>
      <c r="AT87" s="57"/>
      <c r="AU87" s="10">
        <v>7107940.389999991</v>
      </c>
      <c r="AV87" s="15">
        <v>0.06279249672481961</v>
      </c>
      <c r="AW87" s="11">
        <v>2199</v>
      </c>
      <c r="AX87" s="15">
        <v>0.13804143126177024</v>
      </c>
      <c r="AY87" s="57"/>
      <c r="AZ87" s="56"/>
      <c r="BA87" s="57"/>
      <c r="BB87" s="10">
        <v>6190536.019999999</v>
      </c>
      <c r="BC87" s="15">
        <v>0.06172303536544094</v>
      </c>
      <c r="BD87" s="11">
        <v>2021</v>
      </c>
      <c r="BE87" s="15">
        <v>0.14585739030023095</v>
      </c>
      <c r="BF87" s="57"/>
      <c r="BG87" s="56"/>
      <c r="BH87" s="57"/>
      <c r="BI87" s="10">
        <v>5728435.320000009</v>
      </c>
      <c r="BJ87" s="15">
        <v>0.058553607111339445</v>
      </c>
      <c r="BK87" s="11">
        <v>1935</v>
      </c>
      <c r="BL87" s="15">
        <v>0.14393037786373103</v>
      </c>
      <c r="BM87" s="57"/>
      <c r="BN87" s="56"/>
      <c r="BO87" s="57"/>
      <c r="BP87" s="10">
        <v>5311838.800000016</v>
      </c>
      <c r="BQ87" s="15">
        <v>0.05741337256398904</v>
      </c>
      <c r="BR87" s="11">
        <v>1847</v>
      </c>
      <c r="BS87" s="15">
        <v>0.14628544273720892</v>
      </c>
      <c r="BT87" s="57"/>
      <c r="BU87" s="56"/>
      <c r="BV87" s="57"/>
      <c r="BW87" s="10">
        <v>4970302.32000001</v>
      </c>
      <c r="BX87" s="15">
        <v>0.05506367810230046</v>
      </c>
      <c r="BY87" s="11">
        <v>1758</v>
      </c>
      <c r="BZ87" s="15">
        <v>0.1432646076114416</v>
      </c>
      <c r="CA87" s="57"/>
      <c r="CB87" s="56"/>
      <c r="CC87" s="57"/>
      <c r="CD87" s="10">
        <v>4644981.290000007</v>
      </c>
      <c r="CE87" s="15">
        <v>0.05546099535830926</v>
      </c>
      <c r="CF87" s="11">
        <v>1655</v>
      </c>
      <c r="CG87" s="15">
        <v>0.14263552529518228</v>
      </c>
      <c r="CH87" s="57"/>
      <c r="CI87" s="56"/>
      <c r="CJ87" s="57"/>
      <c r="CK87" s="10">
        <v>4291867.28</v>
      </c>
      <c r="CL87" s="15">
        <v>0.05430653263199851</v>
      </c>
      <c r="CM87" s="11">
        <v>1534</v>
      </c>
      <c r="CN87" s="15">
        <v>0.14065651934714835</v>
      </c>
      <c r="CO87" s="57"/>
      <c r="CP87" s="56"/>
      <c r="CQ87" s="57"/>
    </row>
    <row r="88" spans="1:95" ht="12.75">
      <c r="A88" s="9" t="s">
        <v>69</v>
      </c>
      <c r="B88" s="9"/>
      <c r="C88" s="9"/>
      <c r="D88" s="10">
        <v>824734.45</v>
      </c>
      <c r="E88" s="15">
        <v>0.006215841834508142</v>
      </c>
      <c r="F88" s="11">
        <v>226</v>
      </c>
      <c r="G88" s="15">
        <v>0.010225781638839871</v>
      </c>
      <c r="H88" s="9"/>
      <c r="I88" s="9"/>
      <c r="J88" s="10">
        <v>799111.51</v>
      </c>
      <c r="K88" s="15">
        <v>0.00620672951444635</v>
      </c>
      <c r="L88" s="11">
        <v>158</v>
      </c>
      <c r="M88" s="15">
        <v>0.008451909703648229</v>
      </c>
      <c r="N88" s="57"/>
      <c r="O88" s="56"/>
      <c r="P88" s="57"/>
      <c r="Q88" s="9"/>
      <c r="R88" s="10">
        <v>857558.91</v>
      </c>
      <c r="S88" s="15">
        <v>0.006847137864322167</v>
      </c>
      <c r="T88" s="11">
        <v>172</v>
      </c>
      <c r="U88" s="15">
        <v>0.009529613829020999</v>
      </c>
      <c r="V88" s="57"/>
      <c r="W88" s="56"/>
      <c r="X88" s="57"/>
      <c r="Y88" s="9"/>
      <c r="Z88" s="10">
        <v>826953.29</v>
      </c>
      <c r="AA88" s="15">
        <v>0.006771270523232756</v>
      </c>
      <c r="AB88" s="11">
        <v>168</v>
      </c>
      <c r="AC88" s="15">
        <v>0.009641873278236915</v>
      </c>
      <c r="AD88" s="57"/>
      <c r="AE88" s="56"/>
      <c r="AF88" s="57"/>
      <c r="AG88" s="10">
        <v>865878.7000000005</v>
      </c>
      <c r="AH88" s="15">
        <v>0.007285181610703793</v>
      </c>
      <c r="AI88" s="11">
        <v>172</v>
      </c>
      <c r="AJ88" s="15">
        <v>0.010208926875593542</v>
      </c>
      <c r="AK88" s="57"/>
      <c r="AL88" s="56"/>
      <c r="AM88" s="57"/>
      <c r="AN88" s="10">
        <v>835940.56</v>
      </c>
      <c r="AO88" s="15">
        <v>0.007215085333672577</v>
      </c>
      <c r="AP88" s="11">
        <v>165</v>
      </c>
      <c r="AQ88" s="15">
        <v>0.010164479763444834</v>
      </c>
      <c r="AR88" s="57"/>
      <c r="AS88" s="56"/>
      <c r="AT88" s="57"/>
      <c r="AU88" s="10">
        <v>886577.83</v>
      </c>
      <c r="AV88" s="15">
        <v>0.007832147208900941</v>
      </c>
      <c r="AW88" s="11">
        <v>165</v>
      </c>
      <c r="AX88" s="15">
        <v>0.010357815442561206</v>
      </c>
      <c r="AY88" s="57"/>
      <c r="AZ88" s="56"/>
      <c r="BA88" s="57"/>
      <c r="BB88" s="10">
        <v>814382.96</v>
      </c>
      <c r="BC88" s="15">
        <v>0.00811984423944802</v>
      </c>
      <c r="BD88" s="11">
        <v>154</v>
      </c>
      <c r="BE88" s="15">
        <v>0.011114318706697459</v>
      </c>
      <c r="BF88" s="57"/>
      <c r="BG88" s="56"/>
      <c r="BH88" s="57"/>
      <c r="BI88" s="10">
        <v>789257.43</v>
      </c>
      <c r="BJ88" s="15">
        <v>0.00806745068842384</v>
      </c>
      <c r="BK88" s="11">
        <v>150</v>
      </c>
      <c r="BL88" s="15">
        <v>0.011157393632847366</v>
      </c>
      <c r="BM88" s="57"/>
      <c r="BN88" s="56"/>
      <c r="BO88" s="57"/>
      <c r="BP88" s="10">
        <v>744842.39</v>
      </c>
      <c r="BQ88" s="15">
        <v>0.008050679858455399</v>
      </c>
      <c r="BR88" s="11">
        <v>140</v>
      </c>
      <c r="BS88" s="15">
        <v>0.011088230635197212</v>
      </c>
      <c r="BT88" s="57"/>
      <c r="BU88" s="56"/>
      <c r="BV88" s="57"/>
      <c r="BW88" s="10">
        <v>725425.45</v>
      </c>
      <c r="BX88" s="15">
        <v>0.008036652681122301</v>
      </c>
      <c r="BY88" s="11">
        <v>139</v>
      </c>
      <c r="BZ88" s="15">
        <v>0.011327520169505337</v>
      </c>
      <c r="CA88" s="57"/>
      <c r="CB88" s="56"/>
      <c r="CC88" s="57"/>
      <c r="CD88" s="10">
        <v>697394.25</v>
      </c>
      <c r="CE88" s="15">
        <v>0.008326875147038863</v>
      </c>
      <c r="CF88" s="11">
        <v>132</v>
      </c>
      <c r="CG88" s="15">
        <v>0.011376368180642938</v>
      </c>
      <c r="CH88" s="57"/>
      <c r="CI88" s="56"/>
      <c r="CJ88" s="57"/>
      <c r="CK88" s="10">
        <v>660906.09</v>
      </c>
      <c r="CL88" s="15">
        <v>0.00836268127640506</v>
      </c>
      <c r="CM88" s="11">
        <v>123</v>
      </c>
      <c r="CN88" s="15">
        <v>0.011278195488721804</v>
      </c>
      <c r="CO88" s="57"/>
      <c r="CP88" s="56"/>
      <c r="CQ88" s="57"/>
    </row>
    <row r="89" spans="1:95" ht="12.75">
      <c r="A89" s="9" t="s">
        <v>70</v>
      </c>
      <c r="B89" s="9"/>
      <c r="C89" s="9"/>
      <c r="D89" s="10">
        <v>4261633.18</v>
      </c>
      <c r="E89" s="15">
        <v>0.03211899030478471</v>
      </c>
      <c r="F89" s="11">
        <v>1805</v>
      </c>
      <c r="G89" s="15">
        <v>0.08167051264648659</v>
      </c>
      <c r="H89" s="9"/>
      <c r="I89" s="9"/>
      <c r="J89" s="10">
        <v>3978054.9700000114</v>
      </c>
      <c r="K89" s="15">
        <v>0.030897704367177828</v>
      </c>
      <c r="L89" s="11">
        <v>1542</v>
      </c>
      <c r="M89" s="15">
        <v>0.0824863592596555</v>
      </c>
      <c r="N89" s="57"/>
      <c r="O89" s="56"/>
      <c r="P89" s="57"/>
      <c r="Q89" s="9"/>
      <c r="R89" s="10">
        <v>3707555.0600000094</v>
      </c>
      <c r="S89" s="15">
        <v>0.029602795025924576</v>
      </c>
      <c r="T89" s="11">
        <v>1458</v>
      </c>
      <c r="U89" s="15">
        <v>0.08078009862042218</v>
      </c>
      <c r="V89" s="57"/>
      <c r="W89" s="56"/>
      <c r="X89" s="57"/>
      <c r="Y89" s="9"/>
      <c r="Z89" s="10">
        <v>3471665.500000009</v>
      </c>
      <c r="AA89" s="15">
        <v>0.028426740120562514</v>
      </c>
      <c r="AB89" s="11">
        <v>1376</v>
      </c>
      <c r="AC89" s="15">
        <v>0.07897153351698806</v>
      </c>
      <c r="AD89" s="57"/>
      <c r="AE89" s="56"/>
      <c r="AF89" s="57"/>
      <c r="AG89" s="10">
        <v>3224753.51</v>
      </c>
      <c r="AH89" s="15">
        <v>0.027131877675365523</v>
      </c>
      <c r="AI89" s="11">
        <v>1272</v>
      </c>
      <c r="AJ89" s="15">
        <v>0.0754985754985755</v>
      </c>
      <c r="AK89" s="57"/>
      <c r="AL89" s="56"/>
      <c r="AM89" s="57"/>
      <c r="AN89" s="10">
        <v>2991805.07</v>
      </c>
      <c r="AO89" s="15">
        <v>0.025822564324147975</v>
      </c>
      <c r="AP89" s="11">
        <v>1170</v>
      </c>
      <c r="AQ89" s="15">
        <v>0.07207540195897247</v>
      </c>
      <c r="AR89" s="57"/>
      <c r="AS89" s="56"/>
      <c r="AT89" s="57"/>
      <c r="AU89" s="10">
        <v>2780394.53</v>
      </c>
      <c r="AV89" s="15">
        <v>0.02456237740321451</v>
      </c>
      <c r="AW89" s="11">
        <v>1090</v>
      </c>
      <c r="AX89" s="15">
        <v>0.06842435655994979</v>
      </c>
      <c r="AY89" s="57"/>
      <c r="AZ89" s="56"/>
      <c r="BA89" s="57"/>
      <c r="BB89" s="10">
        <v>2388555.39</v>
      </c>
      <c r="BC89" s="15">
        <v>0.023815205716109282</v>
      </c>
      <c r="BD89" s="11">
        <v>932</v>
      </c>
      <c r="BE89" s="15">
        <v>0.06726327944572748</v>
      </c>
      <c r="BF89" s="57"/>
      <c r="BG89" s="56"/>
      <c r="BH89" s="57"/>
      <c r="BI89" s="10">
        <v>2253057.65</v>
      </c>
      <c r="BJ89" s="15">
        <v>0.023029788252422415</v>
      </c>
      <c r="BK89" s="11">
        <v>873</v>
      </c>
      <c r="BL89" s="15">
        <v>0.06493603094317167</v>
      </c>
      <c r="BM89" s="57"/>
      <c r="BN89" s="56"/>
      <c r="BO89" s="57"/>
      <c r="BP89" s="10">
        <v>2098253.29</v>
      </c>
      <c r="BQ89" s="15">
        <v>0.022679114033427646</v>
      </c>
      <c r="BR89" s="11">
        <v>832</v>
      </c>
      <c r="BS89" s="15">
        <v>0.06589577063202914</v>
      </c>
      <c r="BT89" s="57"/>
      <c r="BU89" s="56"/>
      <c r="BV89" s="57"/>
      <c r="BW89" s="10">
        <v>1994238.02</v>
      </c>
      <c r="BX89" s="15">
        <v>0.022093239670911785</v>
      </c>
      <c r="BY89" s="11">
        <v>810</v>
      </c>
      <c r="BZ89" s="15">
        <v>0.06600929019639801</v>
      </c>
      <c r="CA89" s="57"/>
      <c r="CB89" s="56"/>
      <c r="CC89" s="57"/>
      <c r="CD89" s="10">
        <v>1861383.09</v>
      </c>
      <c r="CE89" s="15">
        <v>0.022224881537579948</v>
      </c>
      <c r="CF89" s="11">
        <v>776</v>
      </c>
      <c r="CG89" s="15">
        <v>0.06687925536499181</v>
      </c>
      <c r="CH89" s="57"/>
      <c r="CI89" s="56"/>
      <c r="CJ89" s="57"/>
      <c r="CK89" s="10">
        <v>1724742.43</v>
      </c>
      <c r="CL89" s="15">
        <v>0.021823783203423597</v>
      </c>
      <c r="CM89" s="11">
        <v>733</v>
      </c>
      <c r="CN89" s="15">
        <v>0.06721070970108198</v>
      </c>
      <c r="CO89" s="57"/>
      <c r="CP89" s="56"/>
      <c r="CQ89" s="57"/>
    </row>
    <row r="90" spans="1:95" ht="12.75">
      <c r="A90" s="9" t="s">
        <v>71</v>
      </c>
      <c r="B90" s="9"/>
      <c r="C90" s="9"/>
      <c r="D90" s="10">
        <v>51894</v>
      </c>
      <c r="E90" s="15">
        <v>0.00039111364410685846</v>
      </c>
      <c r="F90" s="11">
        <v>9</v>
      </c>
      <c r="G90" s="15">
        <v>0.000407221392697163</v>
      </c>
      <c r="H90" s="9"/>
      <c r="I90" s="9"/>
      <c r="J90" s="10">
        <v>51741.01</v>
      </c>
      <c r="K90" s="15">
        <v>0.00040187439406831203</v>
      </c>
      <c r="L90" s="11">
        <v>8</v>
      </c>
      <c r="M90" s="15">
        <v>0.00042794479512142934</v>
      </c>
      <c r="N90" s="57"/>
      <c r="O90" s="56"/>
      <c r="P90" s="57"/>
      <c r="Q90" s="9"/>
      <c r="R90" s="10">
        <v>51038.08</v>
      </c>
      <c r="S90" s="15">
        <v>0.00040751109459092883</v>
      </c>
      <c r="T90" s="11">
        <v>7</v>
      </c>
      <c r="U90" s="15">
        <v>0.000387833120948529</v>
      </c>
      <c r="V90" s="57"/>
      <c r="W90" s="56"/>
      <c r="X90" s="57"/>
      <c r="Y90" s="9"/>
      <c r="Z90" s="10">
        <v>51038.08</v>
      </c>
      <c r="AA90" s="15">
        <v>0.00041791072222035087</v>
      </c>
      <c r="AB90" s="11">
        <v>7</v>
      </c>
      <c r="AC90" s="15">
        <v>0.0004017447199265381</v>
      </c>
      <c r="AD90" s="57"/>
      <c r="AE90" s="56"/>
      <c r="AF90" s="57"/>
      <c r="AG90" s="10">
        <v>56945.1</v>
      </c>
      <c r="AH90" s="15">
        <v>0.0004791149099056118</v>
      </c>
      <c r="AI90" s="11">
        <v>8</v>
      </c>
      <c r="AJ90" s="15">
        <v>0.0004748338081671415</v>
      </c>
      <c r="AK90" s="57"/>
      <c r="AL90" s="56"/>
      <c r="AM90" s="57"/>
      <c r="AN90" s="10">
        <v>46168.2</v>
      </c>
      <c r="AO90" s="15">
        <v>0.00039848228288152715</v>
      </c>
      <c r="AP90" s="11">
        <v>8</v>
      </c>
      <c r="AQ90" s="15">
        <v>0.0004928232612579314</v>
      </c>
      <c r="AR90" s="57"/>
      <c r="AS90" s="56"/>
      <c r="AT90" s="57"/>
      <c r="AU90" s="10">
        <v>46168.2</v>
      </c>
      <c r="AV90" s="15">
        <v>0.00040785605790523807</v>
      </c>
      <c r="AW90" s="11">
        <v>8</v>
      </c>
      <c r="AX90" s="15">
        <v>0.0005021971123666039</v>
      </c>
      <c r="AY90" s="57"/>
      <c r="AZ90" s="56"/>
      <c r="BA90" s="57"/>
      <c r="BB90" s="10">
        <v>46168.2</v>
      </c>
      <c r="BC90" s="15">
        <v>0.00046032224546506254</v>
      </c>
      <c r="BD90" s="11">
        <v>8</v>
      </c>
      <c r="BE90" s="15">
        <v>0.0005773672055427252</v>
      </c>
      <c r="BF90" s="57"/>
      <c r="BG90" s="56"/>
      <c r="BH90" s="57"/>
      <c r="BI90" s="10">
        <v>46168.2</v>
      </c>
      <c r="BJ90" s="15">
        <v>0.0004719115243213984</v>
      </c>
      <c r="BK90" s="11">
        <v>8</v>
      </c>
      <c r="BL90" s="15">
        <v>0.0005950609937518596</v>
      </c>
      <c r="BM90" s="57"/>
      <c r="BN90" s="56"/>
      <c r="BO90" s="57"/>
      <c r="BP90" s="10">
        <v>46168.2</v>
      </c>
      <c r="BQ90" s="15">
        <v>0.0004990121438189635</v>
      </c>
      <c r="BR90" s="11">
        <v>8</v>
      </c>
      <c r="BS90" s="15">
        <v>0.0006336131791541264</v>
      </c>
      <c r="BT90" s="57"/>
      <c r="BU90" s="56"/>
      <c r="BV90" s="57"/>
      <c r="BW90" s="10">
        <v>46168.2</v>
      </c>
      <c r="BX90" s="15">
        <v>0.0005114761114496196</v>
      </c>
      <c r="BY90" s="11">
        <v>8</v>
      </c>
      <c r="BZ90" s="15">
        <v>0.0006519436068780051</v>
      </c>
      <c r="CA90" s="57"/>
      <c r="CB90" s="56"/>
      <c r="CC90" s="57"/>
      <c r="CD90" s="10">
        <v>45506.8</v>
      </c>
      <c r="CE90" s="15">
        <v>0.0005433503960511119</v>
      </c>
      <c r="CF90" s="11">
        <v>8</v>
      </c>
      <c r="CG90" s="15">
        <v>0.0006894768594329053</v>
      </c>
      <c r="CH90" s="57"/>
      <c r="CI90" s="56"/>
      <c r="CJ90" s="57"/>
      <c r="CK90" s="10">
        <v>45364.07</v>
      </c>
      <c r="CL90" s="15">
        <v>0.0005740078122302196</v>
      </c>
      <c r="CM90" s="11">
        <v>7</v>
      </c>
      <c r="CN90" s="15">
        <v>0.0006418485237483953</v>
      </c>
      <c r="CO90" s="57"/>
      <c r="CP90" s="56"/>
      <c r="CQ90" s="57"/>
    </row>
    <row r="91" spans="1:95" ht="12.75">
      <c r="A91" s="9" t="s">
        <v>72</v>
      </c>
      <c r="B91" s="9"/>
      <c r="C91" s="9"/>
      <c r="D91" s="10">
        <v>7239611.86000001</v>
      </c>
      <c r="E91" s="15">
        <v>0.054563359472845324</v>
      </c>
      <c r="F91" s="11">
        <v>1069</v>
      </c>
      <c r="G91" s="15">
        <v>0.04836885208814081</v>
      </c>
      <c r="H91" s="9"/>
      <c r="I91" s="9"/>
      <c r="J91" s="10">
        <v>6991641.969999995</v>
      </c>
      <c r="K91" s="15">
        <v>0.05430434930118928</v>
      </c>
      <c r="L91" s="11">
        <v>908</v>
      </c>
      <c r="M91" s="15">
        <v>0.04857173424628223</v>
      </c>
      <c r="N91" s="57"/>
      <c r="O91" s="56"/>
      <c r="P91" s="57"/>
      <c r="Q91" s="9"/>
      <c r="R91" s="10">
        <v>6549842.619999998</v>
      </c>
      <c r="S91" s="15">
        <v>0.05229690332149086</v>
      </c>
      <c r="T91" s="11">
        <v>857</v>
      </c>
      <c r="U91" s="15">
        <v>0.047481854950412766</v>
      </c>
      <c r="V91" s="57"/>
      <c r="W91" s="56"/>
      <c r="X91" s="57"/>
      <c r="Y91" s="9"/>
      <c r="Z91" s="10">
        <v>6235485.159999997</v>
      </c>
      <c r="AA91" s="15">
        <v>0.05105748700989299</v>
      </c>
      <c r="AB91" s="11">
        <v>812</v>
      </c>
      <c r="AC91" s="15">
        <v>0.04660238751147842</v>
      </c>
      <c r="AD91" s="57"/>
      <c r="AE91" s="56"/>
      <c r="AF91" s="57"/>
      <c r="AG91" s="10">
        <v>5930242.41</v>
      </c>
      <c r="AH91" s="15">
        <v>0.04989485588725963</v>
      </c>
      <c r="AI91" s="11">
        <v>765</v>
      </c>
      <c r="AJ91" s="15">
        <v>0.045405982905982904</v>
      </c>
      <c r="AK91" s="57"/>
      <c r="AL91" s="56"/>
      <c r="AM91" s="57"/>
      <c r="AN91" s="10">
        <v>5566493.819999999</v>
      </c>
      <c r="AO91" s="15">
        <v>0.04804495659435526</v>
      </c>
      <c r="AP91" s="11">
        <v>707</v>
      </c>
      <c r="AQ91" s="15">
        <v>0.043553255713669685</v>
      </c>
      <c r="AR91" s="57"/>
      <c r="AS91" s="56"/>
      <c r="AT91" s="57"/>
      <c r="AU91" s="10">
        <v>5339204.539999994</v>
      </c>
      <c r="AV91" s="15">
        <v>0.04716724750010067</v>
      </c>
      <c r="AW91" s="11">
        <v>668</v>
      </c>
      <c r="AX91" s="15">
        <v>0.04193345888261143</v>
      </c>
      <c r="AY91" s="57"/>
      <c r="AZ91" s="56"/>
      <c r="BA91" s="57"/>
      <c r="BB91" s="10">
        <v>4639514.52</v>
      </c>
      <c r="BC91" s="15">
        <v>0.04625850134322245</v>
      </c>
      <c r="BD91" s="11">
        <v>568</v>
      </c>
      <c r="BE91" s="15">
        <v>0.040993071593533485</v>
      </c>
      <c r="BF91" s="57"/>
      <c r="BG91" s="56"/>
      <c r="BH91" s="57"/>
      <c r="BI91" s="10">
        <v>4424831.06</v>
      </c>
      <c r="BJ91" s="15">
        <v>0.045228723891970454</v>
      </c>
      <c r="BK91" s="11">
        <v>542</v>
      </c>
      <c r="BL91" s="15">
        <v>0.040315382326688486</v>
      </c>
      <c r="BM91" s="57"/>
      <c r="BN91" s="56"/>
      <c r="BO91" s="57"/>
      <c r="BP91" s="10">
        <v>4205528.46</v>
      </c>
      <c r="BQ91" s="15">
        <v>0.04545574167319207</v>
      </c>
      <c r="BR91" s="11">
        <v>520</v>
      </c>
      <c r="BS91" s="15">
        <v>0.04118485664501822</v>
      </c>
      <c r="BT91" s="57"/>
      <c r="BU91" s="56"/>
      <c r="BV91" s="57"/>
      <c r="BW91" s="10">
        <v>4067160.99</v>
      </c>
      <c r="BX91" s="15">
        <v>0.045058193470934274</v>
      </c>
      <c r="BY91" s="11">
        <v>505</v>
      </c>
      <c r="BZ91" s="15">
        <v>0.04115394018417407</v>
      </c>
      <c r="CA91" s="57"/>
      <c r="CB91" s="56"/>
      <c r="CC91" s="57"/>
      <c r="CD91" s="10">
        <v>3917008.2900000056</v>
      </c>
      <c r="CE91" s="15">
        <v>0.046769010471116215</v>
      </c>
      <c r="CF91" s="11">
        <v>484</v>
      </c>
      <c r="CG91" s="15">
        <v>0.04171334999569077</v>
      </c>
      <c r="CH91" s="57"/>
      <c r="CI91" s="56"/>
      <c r="CJ91" s="57"/>
      <c r="CK91" s="10">
        <v>3776831.62</v>
      </c>
      <c r="CL91" s="15">
        <v>0.04778960210929304</v>
      </c>
      <c r="CM91" s="11">
        <v>462</v>
      </c>
      <c r="CN91" s="15">
        <v>0.04236200256739409</v>
      </c>
      <c r="CO91" s="57"/>
      <c r="CP91" s="56"/>
      <c r="CQ91" s="57"/>
    </row>
    <row r="92" spans="1:95" ht="12.75">
      <c r="A92" s="9" t="s">
        <v>73</v>
      </c>
      <c r="B92" s="9"/>
      <c r="C92" s="9"/>
      <c r="D92" s="10">
        <v>5402409.910000003</v>
      </c>
      <c r="E92" s="15">
        <v>0.04071677316952068</v>
      </c>
      <c r="F92" s="11">
        <v>528</v>
      </c>
      <c r="G92" s="15">
        <v>0.02389032170490023</v>
      </c>
      <c r="H92" s="9"/>
      <c r="I92" s="9"/>
      <c r="J92" s="10">
        <v>5197065.9</v>
      </c>
      <c r="K92" s="15">
        <v>0.04036580865923539</v>
      </c>
      <c r="L92" s="11">
        <v>491</v>
      </c>
      <c r="M92" s="15">
        <v>0.026265111800577726</v>
      </c>
      <c r="N92" s="57"/>
      <c r="O92" s="56"/>
      <c r="P92" s="57"/>
      <c r="Q92" s="9"/>
      <c r="R92" s="10">
        <v>4758667.759999992</v>
      </c>
      <c r="S92" s="15">
        <v>0.037995353815663914</v>
      </c>
      <c r="T92" s="11">
        <v>444</v>
      </c>
      <c r="U92" s="15">
        <v>0.024599700814449555</v>
      </c>
      <c r="V92" s="57"/>
      <c r="W92" s="56"/>
      <c r="X92" s="57"/>
      <c r="Y92" s="9"/>
      <c r="Z92" s="10">
        <v>4523886.67</v>
      </c>
      <c r="AA92" s="15">
        <v>0.037042552257113066</v>
      </c>
      <c r="AB92" s="11">
        <v>421</v>
      </c>
      <c r="AC92" s="15">
        <v>0.024162075298438935</v>
      </c>
      <c r="AD92" s="57"/>
      <c r="AE92" s="56"/>
      <c r="AF92" s="57"/>
      <c r="AG92" s="10">
        <v>4193367.029999994</v>
      </c>
      <c r="AH92" s="15">
        <v>0.03528143188403585</v>
      </c>
      <c r="AI92" s="11">
        <v>395</v>
      </c>
      <c r="AJ92" s="15">
        <v>0.02344491927825261</v>
      </c>
      <c r="AK92" s="57"/>
      <c r="AL92" s="56"/>
      <c r="AM92" s="57"/>
      <c r="AN92" s="10">
        <v>3976505.14</v>
      </c>
      <c r="AO92" s="15">
        <v>0.034321607645031116</v>
      </c>
      <c r="AP92" s="11">
        <v>373</v>
      </c>
      <c r="AQ92" s="15">
        <v>0.02297788455615105</v>
      </c>
      <c r="AR92" s="57"/>
      <c r="AS92" s="56"/>
      <c r="AT92" s="57"/>
      <c r="AU92" s="10">
        <v>3748043.31</v>
      </c>
      <c r="AV92" s="15">
        <v>0.03311071623486945</v>
      </c>
      <c r="AW92" s="11">
        <v>352</v>
      </c>
      <c r="AX92" s="15">
        <v>0.02209667294413057</v>
      </c>
      <c r="AY92" s="57"/>
      <c r="AZ92" s="56"/>
      <c r="BA92" s="57"/>
      <c r="BB92" s="10">
        <v>3306087.37</v>
      </c>
      <c r="BC92" s="15">
        <v>0.03296350219116367</v>
      </c>
      <c r="BD92" s="11">
        <v>315</v>
      </c>
      <c r="BE92" s="15">
        <v>0.022733833718244802</v>
      </c>
      <c r="BF92" s="57"/>
      <c r="BG92" s="56"/>
      <c r="BH92" s="57"/>
      <c r="BI92" s="10">
        <v>3144120.54</v>
      </c>
      <c r="BJ92" s="15">
        <v>0.03213785065654755</v>
      </c>
      <c r="BK92" s="11">
        <v>300</v>
      </c>
      <c r="BL92" s="15">
        <v>0.022314787265694733</v>
      </c>
      <c r="BM92" s="57"/>
      <c r="BN92" s="56"/>
      <c r="BO92" s="57"/>
      <c r="BP92" s="10">
        <v>3045120.56</v>
      </c>
      <c r="BQ92" s="15">
        <v>0.032913393609298236</v>
      </c>
      <c r="BR92" s="11">
        <v>290</v>
      </c>
      <c r="BS92" s="15">
        <v>0.022968477744337083</v>
      </c>
      <c r="BT92" s="57"/>
      <c r="BU92" s="56"/>
      <c r="BV92" s="57"/>
      <c r="BW92" s="10">
        <v>2973664.58</v>
      </c>
      <c r="BX92" s="15">
        <v>0.03294385304460355</v>
      </c>
      <c r="BY92" s="11">
        <v>282</v>
      </c>
      <c r="BZ92" s="15">
        <v>0.02298101214244968</v>
      </c>
      <c r="CA92" s="57"/>
      <c r="CB92" s="56"/>
      <c r="CC92" s="57"/>
      <c r="CD92" s="10">
        <v>2797607.48</v>
      </c>
      <c r="CE92" s="15">
        <v>0.03340338437889617</v>
      </c>
      <c r="CF92" s="11">
        <v>265</v>
      </c>
      <c r="CG92" s="15">
        <v>0.02283892096871499</v>
      </c>
      <c r="CH92" s="57"/>
      <c r="CI92" s="56"/>
      <c r="CJ92" s="57"/>
      <c r="CK92" s="10">
        <v>2685402.95</v>
      </c>
      <c r="CL92" s="15">
        <v>0.03397936455626838</v>
      </c>
      <c r="CM92" s="11">
        <v>252</v>
      </c>
      <c r="CN92" s="15">
        <v>0.023106546854942234</v>
      </c>
      <c r="CO92" s="57"/>
      <c r="CP92" s="56"/>
      <c r="CQ92" s="57"/>
    </row>
    <row r="93" spans="1:95" ht="12.75">
      <c r="A93" s="9" t="s">
        <v>74</v>
      </c>
      <c r="B93" s="9"/>
      <c r="C93" s="9"/>
      <c r="D93" s="10">
        <v>80461894.30000007</v>
      </c>
      <c r="E93" s="15">
        <v>0.6064235690332965</v>
      </c>
      <c r="F93" s="11">
        <v>10394</v>
      </c>
      <c r="G93" s="15">
        <v>0.4702954617438125</v>
      </c>
      <c r="H93" s="9"/>
      <c r="I93" s="9"/>
      <c r="J93" s="10">
        <v>78686005.11999995</v>
      </c>
      <c r="K93" s="15">
        <v>0.6111571967624149</v>
      </c>
      <c r="L93" s="11">
        <v>9240</v>
      </c>
      <c r="M93" s="15">
        <v>0.49427623836525086</v>
      </c>
      <c r="N93" s="57"/>
      <c r="O93" s="56"/>
      <c r="P93" s="57"/>
      <c r="Q93" s="9"/>
      <c r="R93" s="10">
        <v>74481982.67000002</v>
      </c>
      <c r="S93" s="15">
        <v>0.5946978076987672</v>
      </c>
      <c r="T93" s="11">
        <v>8718</v>
      </c>
      <c r="U93" s="15">
        <v>0.4830184497756108</v>
      </c>
      <c r="V93" s="57"/>
      <c r="W93" s="56"/>
      <c r="X93" s="57"/>
      <c r="Y93" s="9"/>
      <c r="Z93" s="10">
        <v>71629304.19</v>
      </c>
      <c r="AA93" s="15">
        <v>0.5865160728260957</v>
      </c>
      <c r="AB93" s="11">
        <v>8316</v>
      </c>
      <c r="AC93" s="15">
        <v>0.4772727272727273</v>
      </c>
      <c r="AD93" s="57"/>
      <c r="AE93" s="56"/>
      <c r="AF93" s="57"/>
      <c r="AG93" s="10">
        <v>67995781.49999975</v>
      </c>
      <c r="AH93" s="15">
        <v>0.5720912374784494</v>
      </c>
      <c r="AI93" s="11">
        <v>7869</v>
      </c>
      <c r="AJ93" s="15">
        <v>0.4670584045584046</v>
      </c>
      <c r="AK93" s="57"/>
      <c r="AL93" s="56"/>
      <c r="AM93" s="57"/>
      <c r="AN93" s="10">
        <v>65396180.91999995</v>
      </c>
      <c r="AO93" s="15">
        <v>0.5644408806220504</v>
      </c>
      <c r="AP93" s="11">
        <v>7518</v>
      </c>
      <c r="AQ93" s="15">
        <v>0.463130659767141</v>
      </c>
      <c r="AR93" s="57"/>
      <c r="AS93" s="56"/>
      <c r="AT93" s="57"/>
      <c r="AU93" s="10">
        <v>62832617.20999968</v>
      </c>
      <c r="AV93" s="15">
        <v>0.5550717498871364</v>
      </c>
      <c r="AW93" s="11">
        <v>7417</v>
      </c>
      <c r="AX93" s="15">
        <v>0.4655994978028876</v>
      </c>
      <c r="AY93" s="57"/>
      <c r="AZ93" s="56"/>
      <c r="BA93" s="57"/>
      <c r="BB93" s="10">
        <v>54324791.29000001</v>
      </c>
      <c r="BC93" s="15">
        <v>0.5416479288998417</v>
      </c>
      <c r="BD93" s="11">
        <v>6227</v>
      </c>
      <c r="BE93" s="15">
        <v>0.4494081986143187</v>
      </c>
      <c r="BF93" s="57"/>
      <c r="BG93" s="56"/>
      <c r="BH93" s="57"/>
      <c r="BI93" s="10">
        <v>52767275.760000095</v>
      </c>
      <c r="BJ93" s="15">
        <v>0.5393644443185834</v>
      </c>
      <c r="BK93" s="11">
        <v>6008</v>
      </c>
      <c r="BL93" s="15">
        <v>0.44689080630764655</v>
      </c>
      <c r="BM93" s="57"/>
      <c r="BN93" s="56"/>
      <c r="BO93" s="57"/>
      <c r="BP93" s="10">
        <v>50117717.27000009</v>
      </c>
      <c r="BQ93" s="15">
        <v>0.5417007710548698</v>
      </c>
      <c r="BR93" s="11">
        <v>5626</v>
      </c>
      <c r="BS93" s="15">
        <v>0.44558846824013937</v>
      </c>
      <c r="BT93" s="57"/>
      <c r="BU93" s="56"/>
      <c r="BV93" s="57"/>
      <c r="BW93" s="10">
        <v>49208038.8100001</v>
      </c>
      <c r="BX93" s="15">
        <v>0.5451530781490468</v>
      </c>
      <c r="BY93" s="11">
        <v>5506</v>
      </c>
      <c r="BZ93" s="15">
        <v>0.448700187433787</v>
      </c>
      <c r="CA93" s="57"/>
      <c r="CB93" s="56"/>
      <c r="CC93" s="57"/>
      <c r="CD93" s="10">
        <v>44226315.17000003</v>
      </c>
      <c r="CE93" s="15">
        <v>0.5280614295775755</v>
      </c>
      <c r="CF93" s="11">
        <v>5101</v>
      </c>
      <c r="CG93" s="15">
        <v>0.4396276824959062</v>
      </c>
      <c r="CH93" s="57"/>
      <c r="CI93" s="56"/>
      <c r="CJ93" s="57"/>
      <c r="CK93" s="10">
        <v>41230745.58000012</v>
      </c>
      <c r="CL93" s="15">
        <v>0.521707379143817</v>
      </c>
      <c r="CM93" s="11">
        <v>4749</v>
      </c>
      <c r="CN93" s="15">
        <v>0.43544837704016137</v>
      </c>
      <c r="CO93" s="57"/>
      <c r="CP93" s="56"/>
      <c r="CQ93" s="57"/>
    </row>
    <row r="94" spans="1:95" ht="12.75">
      <c r="A94" s="9"/>
      <c r="B94" s="9"/>
      <c r="C94" s="9"/>
      <c r="D94" s="10"/>
      <c r="E94" s="9"/>
      <c r="F94" s="11"/>
      <c r="G94" s="9"/>
      <c r="H94" s="9"/>
      <c r="I94" s="9"/>
      <c r="J94" s="10"/>
      <c r="K94" s="9"/>
      <c r="L94" s="11"/>
      <c r="M94" s="9"/>
      <c r="N94" s="55"/>
      <c r="O94" s="56"/>
      <c r="P94" s="55"/>
      <c r="Q94" s="9"/>
      <c r="R94" s="10"/>
      <c r="S94" s="9"/>
      <c r="T94" s="11"/>
      <c r="U94" s="9"/>
      <c r="V94" s="55"/>
      <c r="W94" s="56"/>
      <c r="X94" s="55"/>
      <c r="Y94" s="9"/>
      <c r="Z94" s="10"/>
      <c r="AA94" s="9"/>
      <c r="AB94" s="11"/>
      <c r="AC94" s="9"/>
      <c r="AD94" s="55"/>
      <c r="AE94" s="56"/>
      <c r="AF94" s="55"/>
      <c r="AG94" s="10"/>
      <c r="AH94" s="9"/>
      <c r="AI94" s="11"/>
      <c r="AJ94" s="9"/>
      <c r="AK94" s="55"/>
      <c r="AL94" s="56"/>
      <c r="AM94" s="55"/>
      <c r="AN94" s="10"/>
      <c r="AO94" s="9"/>
      <c r="AP94" s="11"/>
      <c r="AQ94" s="9"/>
      <c r="AR94" s="55"/>
      <c r="AS94" s="56"/>
      <c r="AT94" s="55"/>
      <c r="AU94" s="10"/>
      <c r="AV94" s="9"/>
      <c r="AW94" s="11"/>
      <c r="AX94" s="9"/>
      <c r="AY94" s="55"/>
      <c r="AZ94" s="56"/>
      <c r="BA94" s="55"/>
      <c r="BB94" s="10"/>
      <c r="BC94" s="9"/>
      <c r="BD94" s="11"/>
      <c r="BE94" s="9"/>
      <c r="BF94" s="55"/>
      <c r="BG94" s="56"/>
      <c r="BH94" s="55"/>
      <c r="BI94" s="10"/>
      <c r="BJ94" s="9"/>
      <c r="BK94" s="11"/>
      <c r="BL94" s="9"/>
      <c r="BM94" s="55"/>
      <c r="BN94" s="56"/>
      <c r="BO94" s="55"/>
      <c r="BP94" s="10"/>
      <c r="BQ94" s="9"/>
      <c r="BR94" s="11"/>
      <c r="BS94" s="9"/>
      <c r="BT94" s="55"/>
      <c r="BU94" s="56"/>
      <c r="BV94" s="55"/>
      <c r="BW94" s="10"/>
      <c r="BX94" s="9"/>
      <c r="BY94" s="11"/>
      <c r="BZ94" s="9"/>
      <c r="CA94" s="55"/>
      <c r="CB94" s="56"/>
      <c r="CC94" s="55"/>
      <c r="CD94" s="10"/>
      <c r="CE94" s="9"/>
      <c r="CF94" s="11"/>
      <c r="CG94" s="9"/>
      <c r="CH94" s="55"/>
      <c r="CI94" s="56"/>
      <c r="CJ94" s="55"/>
      <c r="CK94" s="10"/>
      <c r="CL94" s="9"/>
      <c r="CM94" s="11"/>
      <c r="CN94" s="9"/>
      <c r="CO94" s="55"/>
      <c r="CP94" s="56"/>
      <c r="CQ94" s="55"/>
    </row>
    <row r="95" spans="1:95" s="1" customFormat="1" ht="13.5" thickBot="1">
      <c r="A95" s="9"/>
      <c r="B95" s="13"/>
      <c r="C95" s="13"/>
      <c r="D95" s="22">
        <f>SUM(D82:D93)</f>
        <v>132682663.42000008</v>
      </c>
      <c r="E95" s="13"/>
      <c r="F95" s="23">
        <f>SUM(F82:F93)</f>
        <v>22101</v>
      </c>
      <c r="G95" s="13"/>
      <c r="H95" s="13"/>
      <c r="I95" s="13"/>
      <c r="J95" s="22">
        <f>SUM(J82:J93)</f>
        <v>128749208.12</v>
      </c>
      <c r="K95" s="13"/>
      <c r="L95" s="23">
        <f>SUM(L82:L93)</f>
        <v>18694</v>
      </c>
      <c r="M95" s="13"/>
      <c r="N95" s="54"/>
      <c r="O95" s="32"/>
      <c r="P95" s="54"/>
      <c r="Q95" s="13"/>
      <c r="R95" s="22">
        <f>SUM(R82:R93)</f>
        <v>125243412.21000001</v>
      </c>
      <c r="S95" s="13"/>
      <c r="T95" s="23">
        <f>SUM(T82:T93)</f>
        <v>18049</v>
      </c>
      <c r="U95" s="13"/>
      <c r="V95" s="54"/>
      <c r="W95" s="32"/>
      <c r="X95" s="54"/>
      <c r="Y95" s="13"/>
      <c r="Z95" s="22">
        <f>SUM(Z82:Z93)</f>
        <v>122126754.08000004</v>
      </c>
      <c r="AA95" s="13"/>
      <c r="AB95" s="23">
        <f>SUM(AB82:AB93)</f>
        <v>17424</v>
      </c>
      <c r="AC95" s="13"/>
      <c r="AD95" s="54"/>
      <c r="AE95" s="32"/>
      <c r="AF95" s="54"/>
      <c r="AG95" s="22">
        <f>SUM(AG82:AG93)</f>
        <v>118854785.81999978</v>
      </c>
      <c r="AH95" s="13"/>
      <c r="AI95" s="23">
        <f>SUM(AI82:AI93)</f>
        <v>16848</v>
      </c>
      <c r="AJ95" s="13"/>
      <c r="AK95" s="54"/>
      <c r="AL95" s="32"/>
      <c r="AM95" s="54"/>
      <c r="AN95" s="22">
        <f>SUM(AN82:AN93)</f>
        <v>115860107.17000002</v>
      </c>
      <c r="AO95" s="13"/>
      <c r="AP95" s="23">
        <f>SUM(AP82:AP93)</f>
        <v>16233</v>
      </c>
      <c r="AQ95" s="13"/>
      <c r="AR95" s="54"/>
      <c r="AS95" s="32"/>
      <c r="AT95" s="54"/>
      <c r="AU95" s="22">
        <f>SUM(AU82:AU93)</f>
        <v>113197288.8599997</v>
      </c>
      <c r="AV95" s="13"/>
      <c r="AW95" s="23">
        <f>SUM(AW82:AW93)</f>
        <v>15930</v>
      </c>
      <c r="AX95" s="13"/>
      <c r="AY95" s="54"/>
      <c r="AZ95" s="32"/>
      <c r="BA95" s="54"/>
      <c r="BB95" s="22">
        <f>SUM(BB82:BB93)</f>
        <v>100295391.88</v>
      </c>
      <c r="BC95" s="13"/>
      <c r="BD95" s="23">
        <f>SUM(BD82:BD93)</f>
        <v>13856</v>
      </c>
      <c r="BE95" s="13"/>
      <c r="BF95" s="54"/>
      <c r="BG95" s="32"/>
      <c r="BH95" s="54"/>
      <c r="BI95" s="22">
        <f>SUM(BI82:BI93)</f>
        <v>97832321.57000016</v>
      </c>
      <c r="BJ95" s="13"/>
      <c r="BK95" s="23">
        <f>SUM(BK82:BK93)</f>
        <v>13444</v>
      </c>
      <c r="BL95" s="13"/>
      <c r="BM95" s="54"/>
      <c r="BN95" s="32"/>
      <c r="BO95" s="54"/>
      <c r="BP95" s="22">
        <f>SUM(BP82:BP93)</f>
        <v>92519191.31000015</v>
      </c>
      <c r="BQ95" s="13"/>
      <c r="BR95" s="23">
        <f>SUM(BR82:BR93)</f>
        <v>12626</v>
      </c>
      <c r="BS95" s="13"/>
      <c r="BT95" s="54"/>
      <c r="BU95" s="32"/>
      <c r="BV95" s="54"/>
      <c r="BW95" s="22">
        <f>SUM(BW82:BW93)</f>
        <v>90264626.18000013</v>
      </c>
      <c r="BX95" s="13"/>
      <c r="BY95" s="23">
        <f>SUM(BY82:BY93)</f>
        <v>12271</v>
      </c>
      <c r="BZ95" s="13"/>
      <c r="CA95" s="54"/>
      <c r="CB95" s="32"/>
      <c r="CC95" s="54"/>
      <c r="CD95" s="22">
        <f>SUM(CD82:CD93)</f>
        <v>83752216.49000007</v>
      </c>
      <c r="CE95" s="13"/>
      <c r="CF95" s="23">
        <f>SUM(CF82:CF93)</f>
        <v>11603</v>
      </c>
      <c r="CG95" s="13"/>
      <c r="CH95" s="54"/>
      <c r="CI95" s="32"/>
      <c r="CJ95" s="54"/>
      <c r="CK95" s="22">
        <f>SUM(CK82:CK93)</f>
        <v>79030405.22000015</v>
      </c>
      <c r="CL95" s="13"/>
      <c r="CM95" s="23">
        <f>SUM(CM82:CM93)</f>
        <v>10906</v>
      </c>
      <c r="CN95" s="13"/>
      <c r="CO95" s="54"/>
      <c r="CP95" s="32"/>
      <c r="CQ95" s="54"/>
    </row>
    <row r="96" spans="1:95" ht="13.5" thickTop="1">
      <c r="A96" s="13"/>
      <c r="B96" s="9"/>
      <c r="C96" s="9"/>
      <c r="D96" s="10"/>
      <c r="E96" s="9"/>
      <c r="F96" s="11"/>
      <c r="G96" s="9"/>
      <c r="H96" s="9"/>
      <c r="I96" s="9"/>
      <c r="J96" s="10"/>
      <c r="K96" s="9"/>
      <c r="L96" s="11"/>
      <c r="M96" s="9"/>
      <c r="N96" s="55"/>
      <c r="O96" s="56"/>
      <c r="P96" s="55"/>
      <c r="Q96" s="9"/>
      <c r="R96" s="10"/>
      <c r="S96" s="9"/>
      <c r="T96" s="11"/>
      <c r="U96" s="9"/>
      <c r="V96" s="55"/>
      <c r="W96" s="56"/>
      <c r="X96" s="55"/>
      <c r="Y96" s="9"/>
      <c r="Z96" s="10"/>
      <c r="AA96" s="9"/>
      <c r="AB96" s="11"/>
      <c r="AC96" s="9"/>
      <c r="AD96" s="55"/>
      <c r="AE96" s="56"/>
      <c r="AF96" s="55"/>
      <c r="AG96" s="10"/>
      <c r="AH96" s="9"/>
      <c r="AI96" s="11"/>
      <c r="AJ96" s="9"/>
      <c r="AK96" s="55"/>
      <c r="AL96" s="56"/>
      <c r="AM96" s="55"/>
      <c r="AN96" s="10"/>
      <c r="AO96" s="9"/>
      <c r="AP96" s="11"/>
      <c r="AQ96" s="9"/>
      <c r="AR96" s="55"/>
      <c r="AS96" s="56"/>
      <c r="AT96" s="55"/>
      <c r="AU96" s="10"/>
      <c r="AV96" s="9"/>
      <c r="AW96" s="11"/>
      <c r="AX96" s="9"/>
      <c r="AY96" s="55"/>
      <c r="AZ96" s="56"/>
      <c r="BA96" s="55"/>
      <c r="BB96" s="10"/>
      <c r="BC96" s="9"/>
      <c r="BD96" s="11"/>
      <c r="BE96" s="9"/>
      <c r="BF96" s="55"/>
      <c r="BG96" s="56"/>
      <c r="BH96" s="55"/>
      <c r="BI96" s="10"/>
      <c r="BJ96" s="9"/>
      <c r="BK96" s="11"/>
      <c r="BL96" s="9"/>
      <c r="BM96" s="55"/>
      <c r="BN96" s="56"/>
      <c r="BO96" s="55"/>
      <c r="BP96" s="10"/>
      <c r="BQ96" s="9"/>
      <c r="BR96" s="11"/>
      <c r="BS96" s="9"/>
      <c r="BT96" s="55"/>
      <c r="BU96" s="56"/>
      <c r="BV96" s="55"/>
      <c r="BW96" s="10"/>
      <c r="BX96" s="9"/>
      <c r="BY96" s="11"/>
      <c r="BZ96" s="9"/>
      <c r="CA96" s="55"/>
      <c r="CB96" s="56"/>
      <c r="CC96" s="55"/>
      <c r="CD96" s="10"/>
      <c r="CE96" s="9"/>
      <c r="CF96" s="11"/>
      <c r="CG96" s="9"/>
      <c r="CH96" s="55"/>
      <c r="CI96" s="56"/>
      <c r="CJ96" s="55"/>
      <c r="CK96" s="10"/>
      <c r="CL96" s="9"/>
      <c r="CM96" s="11"/>
      <c r="CN96" s="9"/>
      <c r="CO96" s="55"/>
      <c r="CP96" s="56"/>
      <c r="CQ96" s="55"/>
    </row>
    <row r="97" spans="1:95" ht="12.75">
      <c r="A97" s="9"/>
      <c r="B97" s="9"/>
      <c r="C97" s="9"/>
      <c r="D97" s="10"/>
      <c r="E97" s="9"/>
      <c r="F97" s="11"/>
      <c r="G97" s="9"/>
      <c r="H97" s="9"/>
      <c r="I97" s="9"/>
      <c r="J97" s="9"/>
      <c r="K97" s="9"/>
      <c r="L97" s="9"/>
      <c r="M97" s="10"/>
      <c r="N97" s="9"/>
      <c r="O97" s="11"/>
      <c r="P97" s="9"/>
      <c r="Q97" s="9"/>
      <c r="R97" s="9"/>
      <c r="S97" s="9"/>
      <c r="T97" s="9"/>
      <c r="U97" s="10"/>
      <c r="V97" s="9"/>
      <c r="W97" s="11"/>
      <c r="X97" s="9"/>
      <c r="Y97" s="9"/>
      <c r="Z97" s="9"/>
      <c r="AA97" s="9"/>
      <c r="AB97" s="9"/>
      <c r="AC97" s="10"/>
      <c r="AD97" s="9"/>
      <c r="AE97" s="11"/>
      <c r="AF97" s="9"/>
      <c r="AG97" s="9"/>
      <c r="AH97" s="9"/>
      <c r="AI97" s="9"/>
      <c r="AJ97" s="10"/>
      <c r="AK97" s="9"/>
      <c r="AL97" s="11"/>
      <c r="AM97" s="9"/>
      <c r="AN97" s="9"/>
      <c r="AO97" s="9"/>
      <c r="AP97" s="9"/>
      <c r="AQ97" s="10"/>
      <c r="AR97" s="9"/>
      <c r="AS97" s="11"/>
      <c r="AT97" s="9"/>
      <c r="AU97" s="9"/>
      <c r="AV97" s="9"/>
      <c r="AW97" s="9"/>
      <c r="AX97" s="10"/>
      <c r="AY97" s="9"/>
      <c r="AZ97" s="11"/>
      <c r="BA97" s="9"/>
      <c r="BB97" s="9"/>
      <c r="BC97" s="9"/>
      <c r="BD97" s="9"/>
      <c r="BE97" s="10"/>
      <c r="BF97" s="9"/>
      <c r="BG97" s="11"/>
      <c r="BH97" s="9"/>
      <c r="BI97" s="9"/>
      <c r="BJ97" s="9"/>
      <c r="BK97" s="9"/>
      <c r="BL97" s="10"/>
      <c r="BM97" s="9"/>
      <c r="BN97" s="11"/>
      <c r="BO97" s="9"/>
      <c r="BP97" s="9"/>
      <c r="BQ97" s="9"/>
      <c r="BR97" s="9"/>
      <c r="BS97" s="10"/>
      <c r="BT97" s="9"/>
      <c r="BU97" s="11"/>
      <c r="BV97" s="9"/>
      <c r="BW97" s="9"/>
      <c r="BX97" s="9"/>
      <c r="BY97" s="9"/>
      <c r="BZ97" s="10"/>
      <c r="CA97" s="9"/>
      <c r="CB97" s="11"/>
      <c r="CC97" s="9"/>
      <c r="CD97" s="9"/>
      <c r="CE97" s="9"/>
      <c r="CF97" s="9"/>
      <c r="CG97" s="10"/>
      <c r="CH97" s="9"/>
      <c r="CI97" s="11"/>
      <c r="CJ97" s="9"/>
      <c r="CK97" s="9"/>
      <c r="CL97" s="9"/>
      <c r="CM97" s="9"/>
      <c r="CN97" s="10"/>
      <c r="CO97" s="9"/>
      <c r="CP97" s="11"/>
      <c r="CQ97" s="9"/>
    </row>
    <row r="98" spans="1:95" ht="12.75">
      <c r="A98" s="20" t="s">
        <v>110</v>
      </c>
      <c r="B98" s="9"/>
      <c r="C98" s="9"/>
      <c r="D98" s="9"/>
      <c r="E98" s="11"/>
      <c r="F98" s="9"/>
      <c r="G98" s="11"/>
      <c r="H98" s="9"/>
      <c r="I98" s="9"/>
      <c r="J98" s="20" t="s">
        <v>110</v>
      </c>
      <c r="K98" s="9"/>
      <c r="L98" s="9"/>
      <c r="M98" s="9"/>
      <c r="N98" s="11"/>
      <c r="O98" s="9"/>
      <c r="P98" s="11"/>
      <c r="Q98" s="9"/>
      <c r="R98" s="20" t="s">
        <v>110</v>
      </c>
      <c r="S98" s="9"/>
      <c r="T98" s="9"/>
      <c r="U98" s="9"/>
      <c r="V98" s="11"/>
      <c r="W98" s="9"/>
      <c r="X98" s="11"/>
      <c r="Y98" s="9"/>
      <c r="Z98" s="20" t="s">
        <v>110</v>
      </c>
      <c r="AA98" s="9"/>
      <c r="AB98" s="9"/>
      <c r="AC98" s="9"/>
      <c r="AD98" s="11"/>
      <c r="AE98" s="9"/>
      <c r="AF98" s="11"/>
      <c r="AG98" s="20" t="s">
        <v>110</v>
      </c>
      <c r="AH98" s="9"/>
      <c r="AI98" s="9"/>
      <c r="AJ98" s="9"/>
      <c r="AK98" s="11"/>
      <c r="AL98" s="9"/>
      <c r="AM98" s="11"/>
      <c r="AN98" s="20" t="s">
        <v>110</v>
      </c>
      <c r="AO98" s="9"/>
      <c r="AP98" s="9"/>
      <c r="AQ98" s="9"/>
      <c r="AR98" s="11"/>
      <c r="AS98" s="9"/>
      <c r="AT98" s="11"/>
      <c r="AU98" s="20" t="s">
        <v>110</v>
      </c>
      <c r="AV98" s="9"/>
      <c r="AW98" s="9"/>
      <c r="AX98" s="9"/>
      <c r="AY98" s="11"/>
      <c r="AZ98" s="9"/>
      <c r="BA98" s="11"/>
      <c r="BB98" s="20" t="s">
        <v>110</v>
      </c>
      <c r="BC98" s="9"/>
      <c r="BD98" s="9"/>
      <c r="BE98" s="9"/>
      <c r="BF98" s="11"/>
      <c r="BG98" s="9"/>
      <c r="BH98" s="11"/>
      <c r="BI98" s="20" t="s">
        <v>110</v>
      </c>
      <c r="BJ98" s="9"/>
      <c r="BK98" s="9"/>
      <c r="BL98" s="9"/>
      <c r="BM98" s="11"/>
      <c r="BN98" s="9"/>
      <c r="BO98" s="11"/>
      <c r="BP98" s="20" t="s">
        <v>110</v>
      </c>
      <c r="BQ98" s="9"/>
      <c r="BR98" s="9"/>
      <c r="BS98" s="9"/>
      <c r="BT98" s="11"/>
      <c r="BU98" s="9"/>
      <c r="BV98" s="11"/>
      <c r="BW98" s="20" t="s">
        <v>110</v>
      </c>
      <c r="BX98" s="9"/>
      <c r="BY98" s="9"/>
      <c r="BZ98" s="9"/>
      <c r="CA98" s="11"/>
      <c r="CB98" s="9"/>
      <c r="CC98" s="11"/>
      <c r="CD98" s="20" t="s">
        <v>110</v>
      </c>
      <c r="CE98" s="9"/>
      <c r="CF98" s="9"/>
      <c r="CG98" s="9"/>
      <c r="CH98" s="11"/>
      <c r="CI98" s="9"/>
      <c r="CJ98" s="11"/>
      <c r="CK98" s="20" t="s">
        <v>110</v>
      </c>
      <c r="CL98" s="9"/>
      <c r="CM98" s="9"/>
      <c r="CN98" s="9"/>
      <c r="CO98" s="11"/>
      <c r="CP98" s="9"/>
      <c r="CQ98" s="11"/>
    </row>
    <row r="99" spans="1:95" ht="12.75">
      <c r="A99" s="20"/>
      <c r="B99" s="9"/>
      <c r="C99" s="9"/>
      <c r="D99" s="9"/>
      <c r="E99" s="11"/>
      <c r="F99" s="9"/>
      <c r="G99" s="11"/>
      <c r="H99" s="9"/>
      <c r="I99" s="9"/>
      <c r="J99" s="20"/>
      <c r="K99" s="9"/>
      <c r="L99" s="9"/>
      <c r="M99" s="9"/>
      <c r="N99" s="11"/>
      <c r="O99" s="9"/>
      <c r="P99" s="11"/>
      <c r="Q99" s="9"/>
      <c r="R99" s="20"/>
      <c r="S99" s="9"/>
      <c r="T99" s="9"/>
      <c r="U99" s="9"/>
      <c r="V99" s="11"/>
      <c r="W99" s="9"/>
      <c r="X99" s="11"/>
      <c r="Y99" s="9"/>
      <c r="Z99" s="20"/>
      <c r="AA99" s="9"/>
      <c r="AB99" s="9"/>
      <c r="AC99" s="9"/>
      <c r="AD99" s="11"/>
      <c r="AE99" s="9"/>
      <c r="AF99" s="11"/>
      <c r="AG99" s="20"/>
      <c r="AH99" s="9"/>
      <c r="AI99" s="9"/>
      <c r="AJ99" s="9"/>
      <c r="AK99" s="11"/>
      <c r="AL99" s="9"/>
      <c r="AM99" s="11"/>
      <c r="AN99" s="20"/>
      <c r="AO99" s="9"/>
      <c r="AP99" s="9"/>
      <c r="AQ99" s="9"/>
      <c r="AR99" s="11"/>
      <c r="AS99" s="9"/>
      <c r="AT99" s="11"/>
      <c r="AU99" s="20"/>
      <c r="AV99" s="9"/>
      <c r="AW99" s="9"/>
      <c r="AX99" s="9"/>
      <c r="AY99" s="11"/>
      <c r="AZ99" s="9"/>
      <c r="BA99" s="11"/>
      <c r="BB99" s="20"/>
      <c r="BC99" s="9"/>
      <c r="BD99" s="9"/>
      <c r="BE99" s="9"/>
      <c r="BF99" s="11"/>
      <c r="BG99" s="9"/>
      <c r="BH99" s="11"/>
      <c r="BI99" s="20"/>
      <c r="BJ99" s="9"/>
      <c r="BK99" s="9"/>
      <c r="BL99" s="9"/>
      <c r="BM99" s="11"/>
      <c r="BN99" s="9"/>
      <c r="BO99" s="11"/>
      <c r="BP99" s="20"/>
      <c r="BQ99" s="9"/>
      <c r="BR99" s="9"/>
      <c r="BS99" s="9"/>
      <c r="BT99" s="11"/>
      <c r="BU99" s="9"/>
      <c r="BV99" s="11"/>
      <c r="BW99" s="20"/>
      <c r="BX99" s="9"/>
      <c r="BY99" s="9"/>
      <c r="BZ99" s="9"/>
      <c r="CA99" s="11"/>
      <c r="CB99" s="9"/>
      <c r="CC99" s="11"/>
      <c r="CD99" s="20"/>
      <c r="CE99" s="9"/>
      <c r="CF99" s="9"/>
      <c r="CG99" s="9"/>
      <c r="CH99" s="11"/>
      <c r="CI99" s="9"/>
      <c r="CJ99" s="11"/>
      <c r="CK99" s="20"/>
      <c r="CL99" s="9"/>
      <c r="CM99" s="9"/>
      <c r="CN99" s="9"/>
      <c r="CO99" s="11"/>
      <c r="CP99" s="9"/>
      <c r="CQ99" s="11"/>
    </row>
    <row r="100" spans="1:95" s="30" customFormat="1" ht="12.75">
      <c r="A100" s="26"/>
      <c r="B100" s="27"/>
      <c r="C100" s="27"/>
      <c r="D100" s="28" t="s">
        <v>143</v>
      </c>
      <c r="E100" s="27" t="s">
        <v>96</v>
      </c>
      <c r="F100" s="29" t="s">
        <v>97</v>
      </c>
      <c r="G100" s="27" t="s">
        <v>96</v>
      </c>
      <c r="H100" s="26"/>
      <c r="I100" s="26"/>
      <c r="J100" s="28" t="s">
        <v>143</v>
      </c>
      <c r="K100" s="27" t="s">
        <v>96</v>
      </c>
      <c r="L100" s="29" t="s">
        <v>97</v>
      </c>
      <c r="M100" s="27" t="s">
        <v>96</v>
      </c>
      <c r="N100" s="65"/>
      <c r="O100" s="66"/>
      <c r="P100" s="65"/>
      <c r="Q100" s="26"/>
      <c r="R100" s="28" t="s">
        <v>143</v>
      </c>
      <c r="S100" s="27" t="s">
        <v>96</v>
      </c>
      <c r="T100" s="29" t="s">
        <v>97</v>
      </c>
      <c r="U100" s="27" t="s">
        <v>96</v>
      </c>
      <c r="V100" s="65"/>
      <c r="W100" s="66"/>
      <c r="X100" s="65"/>
      <c r="Y100" s="26"/>
      <c r="Z100" s="28" t="s">
        <v>143</v>
      </c>
      <c r="AA100" s="27" t="s">
        <v>96</v>
      </c>
      <c r="AB100" s="29" t="s">
        <v>97</v>
      </c>
      <c r="AC100" s="27" t="s">
        <v>96</v>
      </c>
      <c r="AD100" s="65"/>
      <c r="AE100" s="66"/>
      <c r="AF100" s="65"/>
      <c r="AG100" s="28" t="s">
        <v>143</v>
      </c>
      <c r="AH100" s="27" t="s">
        <v>96</v>
      </c>
      <c r="AI100" s="29" t="s">
        <v>97</v>
      </c>
      <c r="AJ100" s="27" t="s">
        <v>96</v>
      </c>
      <c r="AK100" s="65"/>
      <c r="AL100" s="66"/>
      <c r="AM100" s="65"/>
      <c r="AN100" s="28" t="s">
        <v>143</v>
      </c>
      <c r="AO100" s="27" t="s">
        <v>96</v>
      </c>
      <c r="AP100" s="29" t="s">
        <v>97</v>
      </c>
      <c r="AQ100" s="27" t="s">
        <v>96</v>
      </c>
      <c r="AR100" s="65"/>
      <c r="AS100" s="66"/>
      <c r="AT100" s="65"/>
      <c r="AU100" s="94" t="s">
        <v>143</v>
      </c>
      <c r="AV100" s="45" t="s">
        <v>96</v>
      </c>
      <c r="AW100" s="93" t="s">
        <v>97</v>
      </c>
      <c r="AX100" s="45" t="s">
        <v>96</v>
      </c>
      <c r="AY100" s="65"/>
      <c r="AZ100" s="66"/>
      <c r="BA100" s="65"/>
      <c r="BB100" s="94" t="s">
        <v>143</v>
      </c>
      <c r="BC100" s="45" t="s">
        <v>96</v>
      </c>
      <c r="BD100" s="93" t="s">
        <v>97</v>
      </c>
      <c r="BE100" s="45" t="s">
        <v>96</v>
      </c>
      <c r="BF100" s="65"/>
      <c r="BG100" s="66"/>
      <c r="BH100" s="65"/>
      <c r="BI100" s="94" t="s">
        <v>143</v>
      </c>
      <c r="BJ100" s="45" t="s">
        <v>96</v>
      </c>
      <c r="BK100" s="93" t="s">
        <v>97</v>
      </c>
      <c r="BL100" s="45" t="s">
        <v>96</v>
      </c>
      <c r="BM100" s="65"/>
      <c r="BN100" s="66"/>
      <c r="BO100" s="65"/>
      <c r="BP100" s="94" t="s">
        <v>143</v>
      </c>
      <c r="BQ100" s="45" t="s">
        <v>96</v>
      </c>
      <c r="BR100" s="93" t="s">
        <v>97</v>
      </c>
      <c r="BS100" s="45" t="s">
        <v>96</v>
      </c>
      <c r="BT100" s="65"/>
      <c r="BU100" s="66"/>
      <c r="BV100" s="65"/>
      <c r="BW100" s="94" t="s">
        <v>143</v>
      </c>
      <c r="BX100" s="45" t="s">
        <v>96</v>
      </c>
      <c r="BY100" s="93" t="s">
        <v>97</v>
      </c>
      <c r="BZ100" s="45" t="s">
        <v>96</v>
      </c>
      <c r="CA100" s="65"/>
      <c r="CB100" s="66"/>
      <c r="CC100" s="65"/>
      <c r="CD100" s="94" t="s">
        <v>143</v>
      </c>
      <c r="CE100" s="45" t="s">
        <v>96</v>
      </c>
      <c r="CF100" s="93" t="s">
        <v>97</v>
      </c>
      <c r="CG100" s="45" t="s">
        <v>96</v>
      </c>
      <c r="CH100" s="65"/>
      <c r="CI100" s="66"/>
      <c r="CJ100" s="65"/>
      <c r="CK100" s="94" t="s">
        <v>143</v>
      </c>
      <c r="CL100" s="45" t="s">
        <v>96</v>
      </c>
      <c r="CM100" s="93" t="s">
        <v>97</v>
      </c>
      <c r="CN100" s="45" t="s">
        <v>96</v>
      </c>
      <c r="CO100" s="65"/>
      <c r="CP100" s="66"/>
      <c r="CQ100" s="65"/>
    </row>
    <row r="101" spans="1:95" s="30" customFormat="1" ht="12.75">
      <c r="A101" s="27"/>
      <c r="B101" s="26"/>
      <c r="C101" s="26"/>
      <c r="D101" s="39"/>
      <c r="E101" s="26"/>
      <c r="F101" s="39"/>
      <c r="G101" s="26"/>
      <c r="H101" s="26"/>
      <c r="I101" s="26"/>
      <c r="J101" s="11"/>
      <c r="K101" s="9"/>
      <c r="L101" s="11"/>
      <c r="M101" s="9"/>
      <c r="N101" s="55"/>
      <c r="O101" s="56"/>
      <c r="P101" s="55"/>
      <c r="Q101" s="26"/>
      <c r="R101" s="11"/>
      <c r="S101" s="9"/>
      <c r="T101" s="11"/>
      <c r="U101" s="9"/>
      <c r="V101" s="55"/>
      <c r="W101" s="56"/>
      <c r="X101" s="55"/>
      <c r="Y101" s="26"/>
      <c r="Z101" s="11"/>
      <c r="AA101" s="9"/>
      <c r="AB101" s="11"/>
      <c r="AC101" s="9"/>
      <c r="AD101" s="55"/>
      <c r="AE101" s="56"/>
      <c r="AF101" s="55"/>
      <c r="AG101" s="11"/>
      <c r="AH101" s="9"/>
      <c r="AI101" s="11"/>
      <c r="AJ101" s="9"/>
      <c r="AK101" s="55"/>
      <c r="AL101" s="56"/>
      <c r="AM101" s="55"/>
      <c r="AN101" s="11"/>
      <c r="AO101" s="9"/>
      <c r="AP101" s="11"/>
      <c r="AQ101" s="9"/>
      <c r="AR101" s="55"/>
      <c r="AS101" s="56"/>
      <c r="AT101" s="55"/>
      <c r="AU101" s="11"/>
      <c r="AV101" s="9"/>
      <c r="AW101" s="11"/>
      <c r="AX101" s="9"/>
      <c r="AY101" s="55"/>
      <c r="AZ101" s="56"/>
      <c r="BA101" s="55"/>
      <c r="BB101" s="11"/>
      <c r="BC101" s="9"/>
      <c r="BD101" s="11"/>
      <c r="BE101" s="9"/>
      <c r="BF101" s="55"/>
      <c r="BG101" s="56"/>
      <c r="BH101" s="55"/>
      <c r="BI101" s="11"/>
      <c r="BJ101" s="9"/>
      <c r="BK101" s="11"/>
      <c r="BL101" s="9"/>
      <c r="BM101" s="55"/>
      <c r="BN101" s="56"/>
      <c r="BO101" s="55"/>
      <c r="BP101" s="11"/>
      <c r="BQ101" s="9"/>
      <c r="BR101" s="11"/>
      <c r="BS101" s="9"/>
      <c r="BT101" s="55"/>
      <c r="BU101" s="56"/>
      <c r="BV101" s="55"/>
      <c r="BW101" s="11"/>
      <c r="BX101" s="9"/>
      <c r="BY101" s="11"/>
      <c r="BZ101" s="9"/>
      <c r="CA101" s="55"/>
      <c r="CB101" s="56"/>
      <c r="CC101" s="55"/>
      <c r="CD101" s="11"/>
      <c r="CE101" s="9"/>
      <c r="CF101" s="11"/>
      <c r="CG101" s="9"/>
      <c r="CH101" s="55"/>
      <c r="CI101" s="56"/>
      <c r="CJ101" s="55"/>
      <c r="CK101" s="11"/>
      <c r="CL101" s="9"/>
      <c r="CM101" s="11"/>
      <c r="CN101" s="9"/>
      <c r="CO101" s="55"/>
      <c r="CP101" s="56"/>
      <c r="CQ101" s="55"/>
    </row>
    <row r="102" spans="1:95" s="30" customFormat="1" ht="12.75">
      <c r="A102" s="79">
        <v>1986</v>
      </c>
      <c r="B102" s="26"/>
      <c r="C102" s="26"/>
      <c r="D102" s="86">
        <v>681152.92</v>
      </c>
      <c r="E102" s="81">
        <v>0.005133699478460469</v>
      </c>
      <c r="F102" s="80">
        <v>82</v>
      </c>
      <c r="G102" s="81">
        <v>0.003710239355685263</v>
      </c>
      <c r="H102" s="26"/>
      <c r="I102" s="26"/>
      <c r="J102" s="10">
        <v>679836.18</v>
      </c>
      <c r="K102" s="15">
        <v>0.005280313486404994</v>
      </c>
      <c r="L102" s="11">
        <v>63</v>
      </c>
      <c r="M102" s="15">
        <v>0.003370065261581256</v>
      </c>
      <c r="N102" s="55"/>
      <c r="O102" s="56"/>
      <c r="P102" s="55"/>
      <c r="Q102" s="26"/>
      <c r="R102" s="10">
        <v>679750.32</v>
      </c>
      <c r="S102" s="15">
        <v>0.0054274337308874866</v>
      </c>
      <c r="T102" s="11">
        <v>63</v>
      </c>
      <c r="U102" s="15">
        <v>0.003490498088536761</v>
      </c>
      <c r="V102" s="55"/>
      <c r="W102" s="56"/>
      <c r="X102" s="55"/>
      <c r="Y102" s="26"/>
      <c r="Z102" s="10">
        <v>673087.06</v>
      </c>
      <c r="AA102" s="15">
        <v>0.005511380901510657</v>
      </c>
      <c r="AB102" s="11">
        <v>62</v>
      </c>
      <c r="AC102" s="15">
        <v>0.0035583103764921945</v>
      </c>
      <c r="AD102" s="55"/>
      <c r="AE102" s="56"/>
      <c r="AF102" s="55"/>
      <c r="AG102" s="10">
        <v>672981.46</v>
      </c>
      <c r="AH102" s="15">
        <v>0.005662215916313194</v>
      </c>
      <c r="AI102" s="11">
        <v>62</v>
      </c>
      <c r="AJ102" s="15">
        <v>0.0036799620132953468</v>
      </c>
      <c r="AK102" s="55"/>
      <c r="AL102" s="56"/>
      <c r="AM102" s="55"/>
      <c r="AN102" s="10">
        <v>648916.4</v>
      </c>
      <c r="AO102" s="15">
        <v>0.005600861382320776</v>
      </c>
      <c r="AP102" s="11">
        <v>60</v>
      </c>
      <c r="AQ102" s="15">
        <v>0.0036961744594344852</v>
      </c>
      <c r="AR102" s="55"/>
      <c r="AS102" s="56"/>
      <c r="AT102" s="55"/>
      <c r="AU102" s="10">
        <v>648529.8900000018</v>
      </c>
      <c r="AV102" s="15">
        <v>0.0057291998468451824</v>
      </c>
      <c r="AW102" s="11">
        <v>236</v>
      </c>
      <c r="AX102" s="15">
        <v>0.014814814814814815</v>
      </c>
      <c r="AY102" s="55"/>
      <c r="AZ102" s="56"/>
      <c r="BA102" s="55"/>
      <c r="BB102" s="10">
        <v>637613.87</v>
      </c>
      <c r="BC102" s="15">
        <v>0.006357359576030001</v>
      </c>
      <c r="BD102" s="11">
        <v>57</v>
      </c>
      <c r="BE102" s="15">
        <v>0.004113741339491917</v>
      </c>
      <c r="BF102" s="55"/>
      <c r="BG102" s="56"/>
      <c r="BH102" s="55"/>
      <c r="BI102" s="10">
        <v>637312.44</v>
      </c>
      <c r="BJ102" s="15">
        <v>0.006514334217695085</v>
      </c>
      <c r="BK102" s="11">
        <v>57</v>
      </c>
      <c r="BL102" s="15">
        <v>0.004239809580481999</v>
      </c>
      <c r="BM102" s="55"/>
      <c r="BN102" s="56"/>
      <c r="BO102" s="55"/>
      <c r="BP102" s="10">
        <v>569066.75</v>
      </c>
      <c r="BQ102" s="15">
        <v>0.006150796844875707</v>
      </c>
      <c r="BR102" s="11">
        <v>49</v>
      </c>
      <c r="BS102" s="15">
        <v>0.0038808807223190242</v>
      </c>
      <c r="BT102" s="55"/>
      <c r="BU102" s="56"/>
      <c r="BV102" s="55"/>
      <c r="BW102" s="10">
        <v>537049.98</v>
      </c>
      <c r="BX102" s="15">
        <v>0.005949728068768036</v>
      </c>
      <c r="BY102" s="11">
        <v>48</v>
      </c>
      <c r="BZ102" s="15">
        <v>0.00391166164126803</v>
      </c>
      <c r="CA102" s="55"/>
      <c r="CB102" s="56"/>
      <c r="CC102" s="55"/>
      <c r="CD102" s="10">
        <v>496220.55</v>
      </c>
      <c r="CE102" s="15">
        <v>0.005924864687721413</v>
      </c>
      <c r="CF102" s="11">
        <v>45</v>
      </c>
      <c r="CG102" s="15">
        <v>0.0038783073343100923</v>
      </c>
      <c r="CH102" s="55"/>
      <c r="CI102" s="56"/>
      <c r="CJ102" s="55"/>
      <c r="CK102" s="10">
        <v>472404.32</v>
      </c>
      <c r="CL102" s="15">
        <v>0.0059775009211321855</v>
      </c>
      <c r="CM102" s="11">
        <v>42</v>
      </c>
      <c r="CN102" s="15">
        <v>0.0038510911424903724</v>
      </c>
      <c r="CO102" s="55"/>
      <c r="CP102" s="56"/>
      <c r="CQ102" s="55"/>
    </row>
    <row r="103" spans="1:95" s="30" customFormat="1" ht="12.75">
      <c r="A103" s="79">
        <v>1987</v>
      </c>
      <c r="B103" s="26"/>
      <c r="C103" s="26"/>
      <c r="D103" s="86">
        <v>1866740.21</v>
      </c>
      <c r="E103" s="81">
        <v>0.01406920966072962</v>
      </c>
      <c r="F103" s="80">
        <v>215</v>
      </c>
      <c r="G103" s="81">
        <v>0.009728066603321118</v>
      </c>
      <c r="H103" s="26"/>
      <c r="I103" s="26"/>
      <c r="J103" s="10">
        <v>1857792.35</v>
      </c>
      <c r="K103" s="15">
        <v>0.014429543894891005</v>
      </c>
      <c r="L103" s="11">
        <v>181</v>
      </c>
      <c r="M103" s="15">
        <v>0.009682250989622339</v>
      </c>
      <c r="N103" s="55"/>
      <c r="O103" s="56"/>
      <c r="P103" s="55"/>
      <c r="Q103" s="26"/>
      <c r="R103" s="10">
        <v>1796307.31</v>
      </c>
      <c r="S103" s="15">
        <v>0.01434252930595716</v>
      </c>
      <c r="T103" s="11">
        <v>178</v>
      </c>
      <c r="U103" s="15">
        <v>0.009862042218405451</v>
      </c>
      <c r="V103" s="55"/>
      <c r="W103" s="56"/>
      <c r="X103" s="55"/>
      <c r="Y103" s="26"/>
      <c r="Z103" s="10">
        <v>1781900.69</v>
      </c>
      <c r="AA103" s="15">
        <v>0.0145905842124712</v>
      </c>
      <c r="AB103" s="11">
        <v>175</v>
      </c>
      <c r="AC103" s="15">
        <v>0.010043617998163452</v>
      </c>
      <c r="AD103" s="55"/>
      <c r="AE103" s="56"/>
      <c r="AF103" s="55"/>
      <c r="AG103" s="10">
        <v>1774410.92</v>
      </c>
      <c r="AH103" s="15">
        <v>0.014929234088118764</v>
      </c>
      <c r="AI103" s="11">
        <v>174</v>
      </c>
      <c r="AJ103" s="15">
        <v>0.010327635327635327</v>
      </c>
      <c r="AK103" s="55"/>
      <c r="AL103" s="56"/>
      <c r="AM103" s="55"/>
      <c r="AN103" s="10">
        <v>1770107.86</v>
      </c>
      <c r="AO103" s="15">
        <v>0.0152779753379888</v>
      </c>
      <c r="AP103" s="11">
        <v>173</v>
      </c>
      <c r="AQ103" s="15">
        <v>0.010657303024702766</v>
      </c>
      <c r="AR103" s="55"/>
      <c r="AS103" s="56"/>
      <c r="AT103" s="55"/>
      <c r="AU103" s="10">
        <v>1769698.53</v>
      </c>
      <c r="AV103" s="15">
        <v>0.015633753668683047</v>
      </c>
      <c r="AW103" s="11">
        <v>171</v>
      </c>
      <c r="AX103" s="15">
        <v>0.010734463276836158</v>
      </c>
      <c r="AY103" s="55"/>
      <c r="AZ103" s="56"/>
      <c r="BA103" s="55"/>
      <c r="BB103" s="10">
        <v>1622801.52</v>
      </c>
      <c r="BC103" s="15">
        <v>0.01618022014352988</v>
      </c>
      <c r="BD103" s="11">
        <v>159</v>
      </c>
      <c r="BE103" s="15">
        <v>0.011475173210161662</v>
      </c>
      <c r="BF103" s="55"/>
      <c r="BG103" s="56"/>
      <c r="BH103" s="55"/>
      <c r="BI103" s="10">
        <v>1607289.24</v>
      </c>
      <c r="BJ103" s="15">
        <v>0.01642902073881552</v>
      </c>
      <c r="BK103" s="11">
        <v>156</v>
      </c>
      <c r="BL103" s="15">
        <v>0.011603689378161261</v>
      </c>
      <c r="BM103" s="55"/>
      <c r="BN103" s="56"/>
      <c r="BO103" s="55"/>
      <c r="BP103" s="10">
        <v>1557427.92</v>
      </c>
      <c r="BQ103" s="15">
        <v>0.016833566073676465</v>
      </c>
      <c r="BR103" s="11">
        <v>144</v>
      </c>
      <c r="BS103" s="15">
        <v>0.011405037224774275</v>
      </c>
      <c r="BT103" s="55"/>
      <c r="BU103" s="56"/>
      <c r="BV103" s="55"/>
      <c r="BW103" s="10">
        <v>1557019.76</v>
      </c>
      <c r="BX103" s="15">
        <v>0.01724950100491292</v>
      </c>
      <c r="BY103" s="11">
        <v>144</v>
      </c>
      <c r="BZ103" s="15">
        <v>0.011734984923804091</v>
      </c>
      <c r="CA103" s="55"/>
      <c r="CB103" s="56"/>
      <c r="CC103" s="55"/>
      <c r="CD103" s="10">
        <v>1294348.86</v>
      </c>
      <c r="CE103" s="15">
        <v>0.015454502749244182</v>
      </c>
      <c r="CF103" s="11">
        <v>128</v>
      </c>
      <c r="CG103" s="15">
        <v>0.011031629750926485</v>
      </c>
      <c r="CH103" s="55"/>
      <c r="CI103" s="56"/>
      <c r="CJ103" s="55"/>
      <c r="CK103" s="10">
        <v>1264654.76</v>
      </c>
      <c r="CL103" s="15">
        <v>0.01600212926252283</v>
      </c>
      <c r="CM103" s="11">
        <v>122</v>
      </c>
      <c r="CN103" s="15">
        <v>0.011186502842472034</v>
      </c>
      <c r="CO103" s="55"/>
      <c r="CP103" s="56"/>
      <c r="CQ103" s="55"/>
    </row>
    <row r="104" spans="1:95" s="30" customFormat="1" ht="12.75">
      <c r="A104" s="79">
        <v>1988</v>
      </c>
      <c r="B104" s="26"/>
      <c r="C104" s="26"/>
      <c r="D104" s="86">
        <v>3092024.85</v>
      </c>
      <c r="E104" s="81">
        <v>0.02330391002336422</v>
      </c>
      <c r="F104" s="80">
        <v>307</v>
      </c>
      <c r="G104" s="81">
        <v>0.013890774173114339</v>
      </c>
      <c r="H104" s="26"/>
      <c r="I104" s="26"/>
      <c r="J104" s="10">
        <v>3044921.69</v>
      </c>
      <c r="K104" s="15">
        <v>0.023650022663921896</v>
      </c>
      <c r="L104" s="11">
        <v>259</v>
      </c>
      <c r="M104" s="15">
        <v>0.013854712742056274</v>
      </c>
      <c r="N104" s="55"/>
      <c r="O104" s="56"/>
      <c r="P104" s="55"/>
      <c r="Q104" s="26"/>
      <c r="R104" s="10">
        <v>3007250.86</v>
      </c>
      <c r="S104" s="15">
        <v>0.02401124982891424</v>
      </c>
      <c r="T104" s="11">
        <v>256</v>
      </c>
      <c r="U104" s="15">
        <v>0.014183611280403347</v>
      </c>
      <c r="V104" s="55"/>
      <c r="W104" s="56"/>
      <c r="X104" s="55"/>
      <c r="Y104" s="26"/>
      <c r="Z104" s="10">
        <v>2977192.19</v>
      </c>
      <c r="AA104" s="15">
        <v>0.02437788683100324</v>
      </c>
      <c r="AB104" s="11">
        <v>253</v>
      </c>
      <c r="AC104" s="15">
        <v>0.01452020202020202</v>
      </c>
      <c r="AD104" s="55"/>
      <c r="AE104" s="56"/>
      <c r="AF104" s="55"/>
      <c r="AG104" s="10">
        <v>2931153.59</v>
      </c>
      <c r="AH104" s="15">
        <v>0.024661637053800218</v>
      </c>
      <c r="AI104" s="11">
        <v>248</v>
      </c>
      <c r="AJ104" s="15">
        <v>0.014719848053181387</v>
      </c>
      <c r="AK104" s="55"/>
      <c r="AL104" s="56"/>
      <c r="AM104" s="55"/>
      <c r="AN104" s="10">
        <v>2897253.37</v>
      </c>
      <c r="AO104" s="15">
        <v>0.025006479285824373</v>
      </c>
      <c r="AP104" s="11">
        <v>245</v>
      </c>
      <c r="AQ104" s="15">
        <v>0.015092712376024149</v>
      </c>
      <c r="AR104" s="55"/>
      <c r="AS104" s="56"/>
      <c r="AT104" s="55"/>
      <c r="AU104" s="10">
        <v>2864831.75</v>
      </c>
      <c r="AV104" s="15">
        <v>0.02530830710568664</v>
      </c>
      <c r="AW104" s="11">
        <v>242</v>
      </c>
      <c r="AX104" s="15">
        <v>0.015191462649089767</v>
      </c>
      <c r="AY104" s="55"/>
      <c r="AZ104" s="56"/>
      <c r="BA104" s="55"/>
      <c r="BB104" s="10">
        <v>2543529.82</v>
      </c>
      <c r="BC104" s="15">
        <v>0.02536038567996468</v>
      </c>
      <c r="BD104" s="11">
        <v>223</v>
      </c>
      <c r="BE104" s="15">
        <v>0.016094110854503463</v>
      </c>
      <c r="BF104" s="55"/>
      <c r="BG104" s="56"/>
      <c r="BH104" s="55"/>
      <c r="BI104" s="10">
        <v>2497007.92</v>
      </c>
      <c r="BJ104" s="15">
        <v>0.02552334320527563</v>
      </c>
      <c r="BK104" s="11">
        <v>220</v>
      </c>
      <c r="BL104" s="15">
        <v>0.01636417732817614</v>
      </c>
      <c r="BM104" s="55"/>
      <c r="BN104" s="56"/>
      <c r="BO104" s="55"/>
      <c r="BP104" s="10">
        <v>2297702.08</v>
      </c>
      <c r="BQ104" s="15">
        <v>0.024834869906084564</v>
      </c>
      <c r="BR104" s="11">
        <v>197</v>
      </c>
      <c r="BS104" s="15">
        <v>0.015602724536670363</v>
      </c>
      <c r="BT104" s="55"/>
      <c r="BU104" s="56"/>
      <c r="BV104" s="55"/>
      <c r="BW104" s="10">
        <v>2280452.72</v>
      </c>
      <c r="BX104" s="15">
        <v>0.025264079811868564</v>
      </c>
      <c r="BY104" s="11">
        <v>196</v>
      </c>
      <c r="BZ104" s="15">
        <v>0.015972618368511125</v>
      </c>
      <c r="CA104" s="55"/>
      <c r="CB104" s="56"/>
      <c r="CC104" s="55"/>
      <c r="CD104" s="10">
        <v>2002510.69</v>
      </c>
      <c r="CE104" s="15">
        <v>0.023909942613149816</v>
      </c>
      <c r="CF104" s="11">
        <v>182</v>
      </c>
      <c r="CG104" s="15">
        <v>0.015685598552098595</v>
      </c>
      <c r="CH104" s="55"/>
      <c r="CI104" s="56"/>
      <c r="CJ104" s="55"/>
      <c r="CK104" s="10">
        <v>1898012.63</v>
      </c>
      <c r="CL104" s="15">
        <v>0.024016233052537538</v>
      </c>
      <c r="CM104" s="11">
        <v>169</v>
      </c>
      <c r="CN104" s="15">
        <v>0.01549605721621126</v>
      </c>
      <c r="CO104" s="55"/>
      <c r="CP104" s="56"/>
      <c r="CQ104" s="55"/>
    </row>
    <row r="105" spans="1:95" s="30" customFormat="1" ht="12.75">
      <c r="A105" s="79">
        <v>1989</v>
      </c>
      <c r="B105" s="26"/>
      <c r="C105" s="26"/>
      <c r="D105" s="86">
        <v>4352685.19</v>
      </c>
      <c r="E105" s="81">
        <v>0.03280522924251079</v>
      </c>
      <c r="F105" s="80">
        <v>458</v>
      </c>
      <c r="G105" s="81">
        <v>0.020723044206144518</v>
      </c>
      <c r="H105" s="26"/>
      <c r="I105" s="26"/>
      <c r="J105" s="10">
        <v>4279932.979999995</v>
      </c>
      <c r="K105" s="15">
        <v>0.033242402361115135</v>
      </c>
      <c r="L105" s="11">
        <v>365</v>
      </c>
      <c r="M105" s="15">
        <v>0.019524981277415213</v>
      </c>
      <c r="N105" s="55"/>
      <c r="O105" s="56"/>
      <c r="P105" s="55"/>
      <c r="Q105" s="26"/>
      <c r="R105" s="10">
        <v>4217857.23</v>
      </c>
      <c r="S105" s="15">
        <v>0.03367727815438122</v>
      </c>
      <c r="T105" s="11">
        <v>359</v>
      </c>
      <c r="U105" s="15">
        <v>0.019890298631503132</v>
      </c>
      <c r="V105" s="55"/>
      <c r="W105" s="56"/>
      <c r="X105" s="55"/>
      <c r="Y105" s="26"/>
      <c r="Z105" s="10">
        <v>4167392.25</v>
      </c>
      <c r="AA105" s="15">
        <v>0.034123499649144205</v>
      </c>
      <c r="AB105" s="11">
        <v>356</v>
      </c>
      <c r="AC105" s="15">
        <v>0.020431588613406795</v>
      </c>
      <c r="AD105" s="55"/>
      <c r="AE105" s="56"/>
      <c r="AF105" s="55"/>
      <c r="AG105" s="10">
        <v>4066956.33</v>
      </c>
      <c r="AH105" s="15">
        <v>0.03421785922999526</v>
      </c>
      <c r="AI105" s="11">
        <v>351</v>
      </c>
      <c r="AJ105" s="15">
        <v>0.020833333333333332</v>
      </c>
      <c r="AK105" s="55"/>
      <c r="AL105" s="56"/>
      <c r="AM105" s="55"/>
      <c r="AN105" s="10">
        <v>4038754.86</v>
      </c>
      <c r="AO105" s="15">
        <v>0.034858891111450345</v>
      </c>
      <c r="AP105" s="11">
        <v>347</v>
      </c>
      <c r="AQ105" s="15">
        <v>0.021376208957062773</v>
      </c>
      <c r="AR105" s="55"/>
      <c r="AS105" s="56"/>
      <c r="AT105" s="55"/>
      <c r="AU105" s="10">
        <v>3989884.9</v>
      </c>
      <c r="AV105" s="15">
        <v>0.03524717720876339</v>
      </c>
      <c r="AW105" s="11">
        <v>343</v>
      </c>
      <c r="AX105" s="15">
        <v>0.02153170119271814</v>
      </c>
      <c r="AY105" s="55"/>
      <c r="AZ105" s="56"/>
      <c r="BA105" s="55"/>
      <c r="BB105" s="10">
        <v>3560311.79</v>
      </c>
      <c r="BC105" s="15">
        <v>0.03549825892559242</v>
      </c>
      <c r="BD105" s="11">
        <v>313</v>
      </c>
      <c r="BE105" s="15">
        <v>0.022589491916859123</v>
      </c>
      <c r="BF105" s="55"/>
      <c r="BG105" s="56"/>
      <c r="BH105" s="55"/>
      <c r="BI105" s="10">
        <v>3541075.43</v>
      </c>
      <c r="BJ105" s="15">
        <v>0.03619535316318054</v>
      </c>
      <c r="BK105" s="11">
        <v>308</v>
      </c>
      <c r="BL105" s="15">
        <v>0.022909848259446593</v>
      </c>
      <c r="BM105" s="55"/>
      <c r="BN105" s="56"/>
      <c r="BO105" s="55"/>
      <c r="BP105" s="10">
        <v>3445743.68</v>
      </c>
      <c r="BQ105" s="15">
        <v>0.037243555971587475</v>
      </c>
      <c r="BR105" s="11">
        <v>294</v>
      </c>
      <c r="BS105" s="15">
        <v>0.023285284333914146</v>
      </c>
      <c r="BT105" s="55"/>
      <c r="BU105" s="56"/>
      <c r="BV105" s="55"/>
      <c r="BW105" s="10">
        <v>3395016.08</v>
      </c>
      <c r="BX105" s="15">
        <v>0.03761181122303515</v>
      </c>
      <c r="BY105" s="11">
        <v>291</v>
      </c>
      <c r="BZ105" s="15">
        <v>0.023714448700187435</v>
      </c>
      <c r="CA105" s="55"/>
      <c r="CB105" s="56"/>
      <c r="CC105" s="55"/>
      <c r="CD105" s="10">
        <v>3121993.12</v>
      </c>
      <c r="CE105" s="15">
        <v>0.037276543246742136</v>
      </c>
      <c r="CF105" s="11">
        <v>275</v>
      </c>
      <c r="CG105" s="15">
        <v>0.02370076704300612</v>
      </c>
      <c r="CH105" s="55"/>
      <c r="CI105" s="56"/>
      <c r="CJ105" s="55"/>
      <c r="CK105" s="10">
        <v>2922295.42</v>
      </c>
      <c r="CL105" s="15">
        <v>0.03697684975630693</v>
      </c>
      <c r="CM105" s="11">
        <v>254</v>
      </c>
      <c r="CN105" s="15">
        <v>0.023289932147441777</v>
      </c>
      <c r="CO105" s="55"/>
      <c r="CP105" s="56"/>
      <c r="CQ105" s="55"/>
    </row>
    <row r="106" spans="1:95" s="30" customFormat="1" ht="12.75">
      <c r="A106" s="79">
        <v>1990</v>
      </c>
      <c r="B106" s="26"/>
      <c r="C106" s="26"/>
      <c r="D106" s="86">
        <v>8136319.200000008</v>
      </c>
      <c r="E106" s="81">
        <v>0.06132164512137444</v>
      </c>
      <c r="F106" s="80">
        <v>692</v>
      </c>
      <c r="G106" s="81">
        <v>0.031310800416270754</v>
      </c>
      <c r="H106" s="26"/>
      <c r="I106" s="26"/>
      <c r="J106" s="10">
        <v>7997524.149999987</v>
      </c>
      <c r="K106" s="15">
        <v>0.06211707447975861</v>
      </c>
      <c r="L106" s="11">
        <v>573</v>
      </c>
      <c r="M106" s="15">
        <v>0.030651545950572377</v>
      </c>
      <c r="N106" s="55"/>
      <c r="O106" s="56"/>
      <c r="P106" s="55"/>
      <c r="Q106" s="26"/>
      <c r="R106" s="10">
        <v>7852506.699999989</v>
      </c>
      <c r="S106" s="15">
        <v>0.06269796200404867</v>
      </c>
      <c r="T106" s="11">
        <v>564</v>
      </c>
      <c r="U106" s="15">
        <v>0.031248268602138623</v>
      </c>
      <c r="V106" s="55"/>
      <c r="W106" s="56"/>
      <c r="X106" s="55"/>
      <c r="Y106" s="26"/>
      <c r="Z106" s="10">
        <v>7807334.479999998</v>
      </c>
      <c r="AA106" s="15">
        <v>0.06392812564956696</v>
      </c>
      <c r="AB106" s="11">
        <v>559</v>
      </c>
      <c r="AC106" s="15">
        <v>0.0320821854912764</v>
      </c>
      <c r="AD106" s="55"/>
      <c r="AE106" s="56"/>
      <c r="AF106" s="55"/>
      <c r="AG106" s="10">
        <v>7659056.249999992</v>
      </c>
      <c r="AH106" s="15">
        <v>0.06444045308868987</v>
      </c>
      <c r="AI106" s="11">
        <v>549</v>
      </c>
      <c r="AJ106" s="15">
        <v>0.03258547008547009</v>
      </c>
      <c r="AK106" s="55"/>
      <c r="AL106" s="56"/>
      <c r="AM106" s="55"/>
      <c r="AN106" s="10">
        <v>7604104.7500000065</v>
      </c>
      <c r="AO106" s="15">
        <v>0.06563177728502012</v>
      </c>
      <c r="AP106" s="11">
        <v>541</v>
      </c>
      <c r="AQ106" s="15">
        <v>0.03332717304256761</v>
      </c>
      <c r="AR106" s="55"/>
      <c r="AS106" s="56"/>
      <c r="AT106" s="55"/>
      <c r="AU106" s="10">
        <v>7482110.539999995</v>
      </c>
      <c r="AV106" s="15">
        <v>0.06609796590847429</v>
      </c>
      <c r="AW106" s="11">
        <v>533</v>
      </c>
      <c r="AX106" s="15">
        <v>0.03345888261142498</v>
      </c>
      <c r="AY106" s="55"/>
      <c r="AZ106" s="56"/>
      <c r="BA106" s="55"/>
      <c r="BB106" s="10">
        <v>6471666.46000001</v>
      </c>
      <c r="BC106" s="15">
        <v>0.06452605985869357</v>
      </c>
      <c r="BD106" s="11">
        <v>477</v>
      </c>
      <c r="BE106" s="15">
        <v>0.034425519630484985</v>
      </c>
      <c r="BF106" s="55"/>
      <c r="BG106" s="56"/>
      <c r="BH106" s="55"/>
      <c r="BI106" s="10">
        <v>6417266.689999988</v>
      </c>
      <c r="BJ106" s="15">
        <v>0.06559454571880287</v>
      </c>
      <c r="BK106" s="11">
        <v>471</v>
      </c>
      <c r="BL106" s="15">
        <v>0.03503421600714073</v>
      </c>
      <c r="BM106" s="55"/>
      <c r="BN106" s="56"/>
      <c r="BO106" s="55"/>
      <c r="BP106" s="10">
        <v>5994351.509999994</v>
      </c>
      <c r="BQ106" s="15">
        <v>0.06479035781792539</v>
      </c>
      <c r="BR106" s="11">
        <v>423</v>
      </c>
      <c r="BS106" s="15">
        <v>0.033502296847774435</v>
      </c>
      <c r="BT106" s="55"/>
      <c r="BU106" s="56"/>
      <c r="BV106" s="55"/>
      <c r="BW106" s="10">
        <v>5955931.669999993</v>
      </c>
      <c r="BX106" s="15">
        <v>0.06598300931444676</v>
      </c>
      <c r="BY106" s="11">
        <v>419</v>
      </c>
      <c r="BZ106" s="15">
        <v>0.03414554641023552</v>
      </c>
      <c r="CA106" s="55"/>
      <c r="CB106" s="56"/>
      <c r="CC106" s="55"/>
      <c r="CD106" s="10">
        <v>5426316.169999998</v>
      </c>
      <c r="CE106" s="15">
        <v>0.06479012015936197</v>
      </c>
      <c r="CF106" s="11">
        <v>392</v>
      </c>
      <c r="CG106" s="15">
        <v>0.03378436611221236</v>
      </c>
      <c r="CH106" s="55"/>
      <c r="CI106" s="56"/>
      <c r="CJ106" s="55"/>
      <c r="CK106" s="10">
        <v>4981425.08</v>
      </c>
      <c r="CL106" s="15">
        <v>0.0630317542486719</v>
      </c>
      <c r="CM106" s="11">
        <v>356</v>
      </c>
      <c r="CN106" s="15">
        <v>0.03264258206491839</v>
      </c>
      <c r="CO106" s="55"/>
      <c r="CP106" s="56"/>
      <c r="CQ106" s="55"/>
    </row>
    <row r="107" spans="1:95" s="30" customFormat="1" ht="12.75">
      <c r="A107" s="79">
        <v>1991</v>
      </c>
      <c r="B107" s="26"/>
      <c r="C107" s="26"/>
      <c r="D107" s="86">
        <v>8447469.710000005</v>
      </c>
      <c r="E107" s="81">
        <v>0.06366671795892417</v>
      </c>
      <c r="F107" s="80">
        <v>726</v>
      </c>
      <c r="G107" s="81">
        <v>0.03284919234423782</v>
      </c>
      <c r="H107" s="26"/>
      <c r="I107" s="26"/>
      <c r="J107" s="10">
        <v>8200915.050000013</v>
      </c>
      <c r="K107" s="15">
        <v>0.06369681934164899</v>
      </c>
      <c r="L107" s="11">
        <v>594</v>
      </c>
      <c r="M107" s="15">
        <v>0.031774901037766125</v>
      </c>
      <c r="N107" s="55"/>
      <c r="O107" s="56"/>
      <c r="P107" s="55"/>
      <c r="Q107" s="26"/>
      <c r="R107" s="10">
        <v>8142559.5200000135</v>
      </c>
      <c r="S107" s="15">
        <v>0.06501387479244894</v>
      </c>
      <c r="T107" s="11">
        <v>585</v>
      </c>
      <c r="U107" s="15">
        <v>0.03241176796498421</v>
      </c>
      <c r="V107" s="55"/>
      <c r="W107" s="56"/>
      <c r="X107" s="55"/>
      <c r="Y107" s="26"/>
      <c r="Z107" s="10">
        <v>8008710.910000014</v>
      </c>
      <c r="AA107" s="15">
        <v>0.06557703895703196</v>
      </c>
      <c r="AB107" s="11">
        <v>574</v>
      </c>
      <c r="AC107" s="15">
        <v>0.03294306703397613</v>
      </c>
      <c r="AD107" s="55"/>
      <c r="AE107" s="56"/>
      <c r="AF107" s="55"/>
      <c r="AG107" s="10">
        <v>7857176.930000011</v>
      </c>
      <c r="AH107" s="15">
        <v>0.06610736686614653</v>
      </c>
      <c r="AI107" s="11">
        <v>563</v>
      </c>
      <c r="AJ107" s="15">
        <v>0.03341642924976258</v>
      </c>
      <c r="AK107" s="55"/>
      <c r="AL107" s="56"/>
      <c r="AM107" s="55"/>
      <c r="AN107" s="10">
        <v>7793460.110000006</v>
      </c>
      <c r="AO107" s="15">
        <v>0.06726612205325135</v>
      </c>
      <c r="AP107" s="11">
        <v>556</v>
      </c>
      <c r="AQ107" s="15">
        <v>0.03425121665742623</v>
      </c>
      <c r="AR107" s="55"/>
      <c r="AS107" s="56"/>
      <c r="AT107" s="55"/>
      <c r="AU107" s="10">
        <v>7714916.200000017</v>
      </c>
      <c r="AV107" s="15">
        <v>0.06815460226738877</v>
      </c>
      <c r="AW107" s="11">
        <v>549</v>
      </c>
      <c r="AX107" s="15">
        <v>0.03446327683615819</v>
      </c>
      <c r="AY107" s="55"/>
      <c r="AZ107" s="56"/>
      <c r="BA107" s="55"/>
      <c r="BB107" s="10">
        <v>6969220.65</v>
      </c>
      <c r="BC107" s="15">
        <v>0.06948694769883777</v>
      </c>
      <c r="BD107" s="11">
        <v>502</v>
      </c>
      <c r="BE107" s="15">
        <v>0.03622979214780601</v>
      </c>
      <c r="BF107" s="55"/>
      <c r="BG107" s="56"/>
      <c r="BH107" s="55"/>
      <c r="BI107" s="10">
        <v>6884968.07000001</v>
      </c>
      <c r="BJ107" s="15">
        <v>0.07037518848076958</v>
      </c>
      <c r="BK107" s="11">
        <v>496</v>
      </c>
      <c r="BL107" s="15">
        <v>0.03689378161261529</v>
      </c>
      <c r="BM107" s="55"/>
      <c r="BN107" s="56"/>
      <c r="BO107" s="55"/>
      <c r="BP107" s="10">
        <v>6503626.380000006</v>
      </c>
      <c r="BQ107" s="15">
        <v>0.07029489004295973</v>
      </c>
      <c r="BR107" s="11">
        <v>460</v>
      </c>
      <c r="BS107" s="15">
        <v>0.03643275780136227</v>
      </c>
      <c r="BT107" s="55"/>
      <c r="BU107" s="56"/>
      <c r="BV107" s="55"/>
      <c r="BW107" s="10">
        <v>6326431.930000007</v>
      </c>
      <c r="BX107" s="15">
        <v>0.07008761014956445</v>
      </c>
      <c r="BY107" s="11">
        <v>447</v>
      </c>
      <c r="BZ107" s="15">
        <v>0.03642734903430853</v>
      </c>
      <c r="CA107" s="55"/>
      <c r="CB107" s="56"/>
      <c r="CC107" s="55"/>
      <c r="CD107" s="10">
        <v>5866932.560000009</v>
      </c>
      <c r="CE107" s="15">
        <v>0.07005107214924298</v>
      </c>
      <c r="CF107" s="11">
        <v>421</v>
      </c>
      <c r="CG107" s="15">
        <v>0.03628371972765664</v>
      </c>
      <c r="CH107" s="55"/>
      <c r="CI107" s="56"/>
      <c r="CJ107" s="55"/>
      <c r="CK107" s="10">
        <v>5357853.05</v>
      </c>
      <c r="CL107" s="15">
        <v>0.06779483206602749</v>
      </c>
      <c r="CM107" s="11">
        <v>389</v>
      </c>
      <c r="CN107" s="15">
        <v>0.03566843939116083</v>
      </c>
      <c r="CO107" s="55"/>
      <c r="CP107" s="56"/>
      <c r="CQ107" s="55"/>
    </row>
    <row r="108" spans="1:95" s="30" customFormat="1" ht="12.75">
      <c r="A108" s="79">
        <v>1992</v>
      </c>
      <c r="B108" s="26"/>
      <c r="C108" s="26"/>
      <c r="D108" s="86">
        <v>6958792.439999994</v>
      </c>
      <c r="E108" s="81">
        <v>0.05244688537772492</v>
      </c>
      <c r="F108" s="80">
        <v>826</v>
      </c>
      <c r="G108" s="81">
        <v>0.037373874485317406</v>
      </c>
      <c r="H108" s="26"/>
      <c r="I108" s="26"/>
      <c r="J108" s="10">
        <v>6871423.979999995</v>
      </c>
      <c r="K108" s="15">
        <v>0.05337061159704778</v>
      </c>
      <c r="L108" s="11">
        <v>654</v>
      </c>
      <c r="M108" s="15">
        <v>0.034984487001176845</v>
      </c>
      <c r="N108" s="55"/>
      <c r="O108" s="56"/>
      <c r="P108" s="55"/>
      <c r="Q108" s="26"/>
      <c r="R108" s="10">
        <v>6690152.319999997</v>
      </c>
      <c r="S108" s="15">
        <v>0.053417199371591555</v>
      </c>
      <c r="T108" s="11">
        <v>641</v>
      </c>
      <c r="U108" s="15">
        <v>0.03551443293257244</v>
      </c>
      <c r="V108" s="55"/>
      <c r="W108" s="56"/>
      <c r="X108" s="55"/>
      <c r="Y108" s="26"/>
      <c r="Z108" s="10">
        <v>6553568.419999995</v>
      </c>
      <c r="AA108" s="15">
        <v>0.05366202081901759</v>
      </c>
      <c r="AB108" s="11">
        <v>621</v>
      </c>
      <c r="AC108" s="15">
        <v>0.035640495867768594</v>
      </c>
      <c r="AD108" s="55"/>
      <c r="AE108" s="56"/>
      <c r="AF108" s="55"/>
      <c r="AG108" s="10">
        <v>6431892.9099999955</v>
      </c>
      <c r="AH108" s="15">
        <v>0.05411555677480918</v>
      </c>
      <c r="AI108" s="11">
        <v>593</v>
      </c>
      <c r="AJ108" s="15">
        <v>0.03519705603038936</v>
      </c>
      <c r="AK108" s="55"/>
      <c r="AL108" s="56"/>
      <c r="AM108" s="55"/>
      <c r="AN108" s="10">
        <v>6337195.409999999</v>
      </c>
      <c r="AO108" s="15">
        <v>0.05469695795034535</v>
      </c>
      <c r="AP108" s="11">
        <v>564</v>
      </c>
      <c r="AQ108" s="15">
        <v>0.03474403991868416</v>
      </c>
      <c r="AR108" s="55"/>
      <c r="AS108" s="56"/>
      <c r="AT108" s="55"/>
      <c r="AU108" s="10">
        <v>6258258.079999994</v>
      </c>
      <c r="AV108" s="15">
        <v>0.05528628947765767</v>
      </c>
      <c r="AW108" s="11">
        <v>550</v>
      </c>
      <c r="AX108" s="15">
        <v>0.03452605147520402</v>
      </c>
      <c r="AY108" s="55"/>
      <c r="AZ108" s="56"/>
      <c r="BA108" s="55"/>
      <c r="BB108" s="10">
        <v>5610890.109999998</v>
      </c>
      <c r="BC108" s="15">
        <v>0.05594364810611871</v>
      </c>
      <c r="BD108" s="11">
        <v>481</v>
      </c>
      <c r="BE108" s="15">
        <v>0.03471420323325635</v>
      </c>
      <c r="BF108" s="55"/>
      <c r="BG108" s="56"/>
      <c r="BH108" s="55"/>
      <c r="BI108" s="10">
        <v>5549562.7099999925</v>
      </c>
      <c r="BJ108" s="15">
        <v>0.056725248066705904</v>
      </c>
      <c r="BK108" s="11">
        <v>476</v>
      </c>
      <c r="BL108" s="15">
        <v>0.035406129128235646</v>
      </c>
      <c r="BM108" s="55"/>
      <c r="BN108" s="56"/>
      <c r="BO108" s="55"/>
      <c r="BP108" s="10">
        <v>5223864.77</v>
      </c>
      <c r="BQ108" s="15">
        <v>0.05646249925052436</v>
      </c>
      <c r="BR108" s="11">
        <v>430</v>
      </c>
      <c r="BS108" s="15">
        <v>0.03405670837953429</v>
      </c>
      <c r="BT108" s="55"/>
      <c r="BU108" s="56"/>
      <c r="BV108" s="55"/>
      <c r="BW108" s="10">
        <v>5170976.25</v>
      </c>
      <c r="BX108" s="15">
        <v>0.0572868516586815</v>
      </c>
      <c r="BY108" s="11">
        <v>421</v>
      </c>
      <c r="BZ108" s="15">
        <v>0.03430853231195501</v>
      </c>
      <c r="CA108" s="55"/>
      <c r="CB108" s="56"/>
      <c r="CC108" s="55"/>
      <c r="CD108" s="10">
        <v>4810491.44</v>
      </c>
      <c r="CE108" s="15">
        <v>0.057437183654409536</v>
      </c>
      <c r="CF108" s="11">
        <v>398</v>
      </c>
      <c r="CG108" s="15">
        <v>0.034301473756787035</v>
      </c>
      <c r="CH108" s="55"/>
      <c r="CI108" s="56"/>
      <c r="CJ108" s="55"/>
      <c r="CK108" s="10">
        <v>4566346.4</v>
      </c>
      <c r="CL108" s="15">
        <v>0.0577796151656882</v>
      </c>
      <c r="CM108" s="11">
        <v>370</v>
      </c>
      <c r="CN108" s="15">
        <v>0.033926279112415185</v>
      </c>
      <c r="CO108" s="55"/>
      <c r="CP108" s="56"/>
      <c r="CQ108" s="55"/>
    </row>
    <row r="109" spans="1:95" s="30" customFormat="1" ht="12.75">
      <c r="A109" s="79">
        <v>1993</v>
      </c>
      <c r="B109" s="26"/>
      <c r="C109" s="26"/>
      <c r="D109" s="86">
        <v>9879078.859999996</v>
      </c>
      <c r="E109" s="81">
        <v>0.07445644069359908</v>
      </c>
      <c r="F109" s="80">
        <v>1536</v>
      </c>
      <c r="G109" s="81">
        <v>0.06949911768698248</v>
      </c>
      <c r="H109" s="26"/>
      <c r="I109" s="26"/>
      <c r="J109" s="10">
        <v>9630690.35000001</v>
      </c>
      <c r="K109" s="15">
        <v>0.0748019385177404</v>
      </c>
      <c r="L109" s="11">
        <v>1265</v>
      </c>
      <c r="M109" s="15">
        <v>0.06766877072857601</v>
      </c>
      <c r="N109" s="55"/>
      <c r="O109" s="56"/>
      <c r="P109" s="55"/>
      <c r="Q109" s="26"/>
      <c r="R109" s="10">
        <v>9424785.960000012</v>
      </c>
      <c r="S109" s="15">
        <v>0.07525175012157238</v>
      </c>
      <c r="T109" s="11">
        <v>1241</v>
      </c>
      <c r="U109" s="15">
        <v>0.06875727187101778</v>
      </c>
      <c r="V109" s="55"/>
      <c r="W109" s="56"/>
      <c r="X109" s="55"/>
      <c r="Y109" s="26"/>
      <c r="Z109" s="10">
        <v>9307599.21</v>
      </c>
      <c r="AA109" s="15">
        <v>0.07621261434577226</v>
      </c>
      <c r="AB109" s="11">
        <v>1213</v>
      </c>
      <c r="AC109" s="15">
        <v>0.06961662075298439</v>
      </c>
      <c r="AD109" s="55"/>
      <c r="AE109" s="56"/>
      <c r="AF109" s="55"/>
      <c r="AG109" s="10">
        <v>9043503.639999997</v>
      </c>
      <c r="AH109" s="15">
        <v>0.0760886789505974</v>
      </c>
      <c r="AI109" s="11">
        <v>1172</v>
      </c>
      <c r="AJ109" s="15">
        <v>0.06956315289648624</v>
      </c>
      <c r="AK109" s="55"/>
      <c r="AL109" s="56"/>
      <c r="AM109" s="55"/>
      <c r="AN109" s="10">
        <v>8788162.85</v>
      </c>
      <c r="AO109" s="15">
        <v>0.0758514994044088</v>
      </c>
      <c r="AP109" s="11">
        <v>1113</v>
      </c>
      <c r="AQ109" s="15">
        <v>0.0685640362225097</v>
      </c>
      <c r="AR109" s="55"/>
      <c r="AS109" s="56"/>
      <c r="AT109" s="55"/>
      <c r="AU109" s="10">
        <v>8662441.33</v>
      </c>
      <c r="AV109" s="15">
        <v>0.0765251660816146</v>
      </c>
      <c r="AW109" s="11">
        <v>1052</v>
      </c>
      <c r="AX109" s="15">
        <v>0.06603892027620842</v>
      </c>
      <c r="AY109" s="55"/>
      <c r="AZ109" s="56"/>
      <c r="BA109" s="55"/>
      <c r="BB109" s="10">
        <v>7854907.11999999</v>
      </c>
      <c r="BC109" s="15">
        <v>0.07831772699385944</v>
      </c>
      <c r="BD109" s="11">
        <v>896</v>
      </c>
      <c r="BE109" s="15">
        <v>0.06466512702078522</v>
      </c>
      <c r="BF109" s="55"/>
      <c r="BG109" s="56"/>
      <c r="BH109" s="55"/>
      <c r="BI109" s="10">
        <v>7790689.860000001</v>
      </c>
      <c r="BJ109" s="15">
        <v>0.0796330878688766</v>
      </c>
      <c r="BK109" s="11">
        <v>851</v>
      </c>
      <c r="BL109" s="15">
        <v>0.06329961321035406</v>
      </c>
      <c r="BM109" s="55"/>
      <c r="BN109" s="56"/>
      <c r="BO109" s="55"/>
      <c r="BP109" s="10">
        <v>7334269.420000002</v>
      </c>
      <c r="BQ109" s="15">
        <v>0.07927295208866866</v>
      </c>
      <c r="BR109" s="11">
        <v>779</v>
      </c>
      <c r="BS109" s="15">
        <v>0.06169808332013306</v>
      </c>
      <c r="BT109" s="55"/>
      <c r="BU109" s="56"/>
      <c r="BV109" s="55"/>
      <c r="BW109" s="10">
        <v>7230289.069999998</v>
      </c>
      <c r="BX109" s="15">
        <v>0.08010102490849312</v>
      </c>
      <c r="BY109" s="11">
        <v>754</v>
      </c>
      <c r="BZ109" s="15">
        <v>0.06144568494825198</v>
      </c>
      <c r="CA109" s="55"/>
      <c r="CB109" s="56"/>
      <c r="CC109" s="55"/>
      <c r="CD109" s="10">
        <v>6295397.479999994</v>
      </c>
      <c r="CE109" s="15">
        <v>0.07516693579986224</v>
      </c>
      <c r="CF109" s="11">
        <v>689</v>
      </c>
      <c r="CG109" s="15">
        <v>0.05938119451865897</v>
      </c>
      <c r="CH109" s="55"/>
      <c r="CI109" s="56"/>
      <c r="CJ109" s="55"/>
      <c r="CK109" s="10">
        <v>5801677.549999997</v>
      </c>
      <c r="CL109" s="15">
        <v>0.07341070229678869</v>
      </c>
      <c r="CM109" s="11">
        <v>637</v>
      </c>
      <c r="CN109" s="15">
        <v>0.05840821566110398</v>
      </c>
      <c r="CO109" s="55"/>
      <c r="CP109" s="56"/>
      <c r="CQ109" s="55"/>
    </row>
    <row r="110" spans="1:95" s="30" customFormat="1" ht="12.75">
      <c r="A110" s="79">
        <v>1994</v>
      </c>
      <c r="B110" s="26"/>
      <c r="C110" s="26"/>
      <c r="D110" s="86">
        <v>12197702.979999956</v>
      </c>
      <c r="E110" s="81">
        <v>0.09193139981964916</v>
      </c>
      <c r="F110" s="80">
        <v>2209</v>
      </c>
      <c r="G110" s="81">
        <v>0.09995022849644812</v>
      </c>
      <c r="H110" s="26"/>
      <c r="I110" s="26"/>
      <c r="J110" s="10">
        <v>11951075.38</v>
      </c>
      <c r="K110" s="15">
        <v>0.09282445736567993</v>
      </c>
      <c r="L110" s="11">
        <v>1817</v>
      </c>
      <c r="M110" s="15">
        <v>0.09719696159195464</v>
      </c>
      <c r="N110" s="55"/>
      <c r="O110" s="56"/>
      <c r="P110" s="55"/>
      <c r="Q110" s="26"/>
      <c r="R110" s="10">
        <v>11739857.359999994</v>
      </c>
      <c r="S110" s="15">
        <v>0.09373632634916845</v>
      </c>
      <c r="T110" s="11">
        <v>1778</v>
      </c>
      <c r="U110" s="15">
        <v>0.09850961272092637</v>
      </c>
      <c r="V110" s="55"/>
      <c r="W110" s="56"/>
      <c r="X110" s="55"/>
      <c r="Y110" s="26"/>
      <c r="Z110" s="10">
        <v>11464111.31999997</v>
      </c>
      <c r="AA110" s="15">
        <v>0.09387059703961617</v>
      </c>
      <c r="AB110" s="11">
        <v>1729</v>
      </c>
      <c r="AC110" s="15">
        <v>0.09923094582185492</v>
      </c>
      <c r="AD110" s="55"/>
      <c r="AE110" s="56"/>
      <c r="AF110" s="55"/>
      <c r="AG110" s="10">
        <v>11177481.159999996</v>
      </c>
      <c r="AH110" s="15">
        <v>0.09404317279177775</v>
      </c>
      <c r="AI110" s="11">
        <v>1693</v>
      </c>
      <c r="AJ110" s="15">
        <v>0.10048670465337133</v>
      </c>
      <c r="AK110" s="55"/>
      <c r="AL110" s="56"/>
      <c r="AM110" s="55"/>
      <c r="AN110" s="10">
        <v>10915458.29999997</v>
      </c>
      <c r="AO110" s="15">
        <v>0.09421239602328225</v>
      </c>
      <c r="AP110" s="11">
        <v>1638</v>
      </c>
      <c r="AQ110" s="15">
        <v>0.10090556274256145</v>
      </c>
      <c r="AR110" s="55"/>
      <c r="AS110" s="56"/>
      <c r="AT110" s="55"/>
      <c r="AU110" s="10">
        <v>10713062.42999997</v>
      </c>
      <c r="AV110" s="15">
        <v>0.09464062733207029</v>
      </c>
      <c r="AW110" s="11">
        <v>1608</v>
      </c>
      <c r="AX110" s="15">
        <v>0.10094161958568738</v>
      </c>
      <c r="AY110" s="55"/>
      <c r="AZ110" s="56"/>
      <c r="BA110" s="55"/>
      <c r="BB110" s="10">
        <v>9716450.339999987</v>
      </c>
      <c r="BC110" s="15">
        <v>0.09687833267180794</v>
      </c>
      <c r="BD110" s="11">
        <v>1455</v>
      </c>
      <c r="BE110" s="15">
        <v>0.10500866050808313</v>
      </c>
      <c r="BF110" s="55"/>
      <c r="BG110" s="56"/>
      <c r="BH110" s="55"/>
      <c r="BI110" s="10">
        <v>9479384.459999999</v>
      </c>
      <c r="BJ110" s="15">
        <v>0.09689419925721998</v>
      </c>
      <c r="BK110" s="11">
        <v>1413</v>
      </c>
      <c r="BL110" s="15">
        <v>0.10510264802142219</v>
      </c>
      <c r="BM110" s="55"/>
      <c r="BN110" s="56"/>
      <c r="BO110" s="55"/>
      <c r="BP110" s="10">
        <v>8788841.53</v>
      </c>
      <c r="BQ110" s="15">
        <v>0.09499479411305717</v>
      </c>
      <c r="BR110" s="11">
        <v>1295</v>
      </c>
      <c r="BS110" s="15">
        <v>0.10256613337557421</v>
      </c>
      <c r="BT110" s="55"/>
      <c r="BU110" s="56"/>
      <c r="BV110" s="55"/>
      <c r="BW110" s="10">
        <v>8594141.119999995</v>
      </c>
      <c r="BX110" s="15">
        <v>0.09521051029294804</v>
      </c>
      <c r="BY110" s="11">
        <v>1230</v>
      </c>
      <c r="BZ110" s="15">
        <v>0.10023632955749327</v>
      </c>
      <c r="CA110" s="55"/>
      <c r="CB110" s="56"/>
      <c r="CC110" s="55"/>
      <c r="CD110" s="10">
        <v>7973423.500000001</v>
      </c>
      <c r="CE110" s="15">
        <v>0.09520253712869826</v>
      </c>
      <c r="CF110" s="11">
        <v>1123</v>
      </c>
      <c r="CG110" s="15">
        <v>0.09678531414289408</v>
      </c>
      <c r="CH110" s="55"/>
      <c r="CI110" s="56"/>
      <c r="CJ110" s="55"/>
      <c r="CK110" s="10">
        <v>7521275.9799999995</v>
      </c>
      <c r="CL110" s="15">
        <v>0.09516939662731995</v>
      </c>
      <c r="CM110" s="11">
        <v>974</v>
      </c>
      <c r="CN110" s="15">
        <v>0.08930863744727673</v>
      </c>
      <c r="CO110" s="55"/>
      <c r="CP110" s="56"/>
      <c r="CQ110" s="55"/>
    </row>
    <row r="111" spans="1:95" s="30" customFormat="1" ht="12.75">
      <c r="A111" s="79">
        <v>1995</v>
      </c>
      <c r="B111" s="26"/>
      <c r="C111" s="26"/>
      <c r="D111" s="86">
        <v>16216906.9</v>
      </c>
      <c r="E111" s="81">
        <v>0.12222325420666479</v>
      </c>
      <c r="F111" s="80">
        <v>3263</v>
      </c>
      <c r="G111" s="81">
        <v>0.147640378263427</v>
      </c>
      <c r="H111" s="26"/>
      <c r="I111" s="26"/>
      <c r="J111" s="10">
        <v>15828162.870000025</v>
      </c>
      <c r="K111" s="15">
        <v>0.1229379434726112</v>
      </c>
      <c r="L111" s="11">
        <v>2691</v>
      </c>
      <c r="M111" s="15">
        <v>0.14394993045897078</v>
      </c>
      <c r="N111" s="55"/>
      <c r="O111" s="56"/>
      <c r="P111" s="55"/>
      <c r="Q111" s="26"/>
      <c r="R111" s="10">
        <v>15375268.300000012</v>
      </c>
      <c r="S111" s="15">
        <v>0.12276309011942087</v>
      </c>
      <c r="T111" s="11">
        <v>2602</v>
      </c>
      <c r="U111" s="15">
        <v>0.14416311152972464</v>
      </c>
      <c r="V111" s="55"/>
      <c r="W111" s="56"/>
      <c r="X111" s="55"/>
      <c r="Y111" s="26"/>
      <c r="Z111" s="10">
        <v>14999802.490000006</v>
      </c>
      <c r="AA111" s="15">
        <v>0.12282159304892597</v>
      </c>
      <c r="AB111" s="11">
        <v>2531</v>
      </c>
      <c r="AC111" s="15">
        <v>0.14525941230486686</v>
      </c>
      <c r="AD111" s="55"/>
      <c r="AE111" s="56"/>
      <c r="AF111" s="55"/>
      <c r="AG111" s="10">
        <v>14671655.400000012</v>
      </c>
      <c r="AH111" s="15">
        <v>0.12344185636933076</v>
      </c>
      <c r="AI111" s="11">
        <v>2474</v>
      </c>
      <c r="AJ111" s="15">
        <v>0.1468423551756885</v>
      </c>
      <c r="AK111" s="55"/>
      <c r="AL111" s="56"/>
      <c r="AM111" s="55"/>
      <c r="AN111" s="10">
        <v>14320067.500000007</v>
      </c>
      <c r="AO111" s="15">
        <v>0.1235979134646264</v>
      </c>
      <c r="AP111" s="11">
        <v>2407</v>
      </c>
      <c r="AQ111" s="15">
        <v>0.1482781987309801</v>
      </c>
      <c r="AR111" s="55"/>
      <c r="AS111" s="56"/>
      <c r="AT111" s="55"/>
      <c r="AU111" s="10">
        <v>14018684.350000001</v>
      </c>
      <c r="AV111" s="15">
        <v>0.12384293379444815</v>
      </c>
      <c r="AW111" s="11">
        <v>2345</v>
      </c>
      <c r="AX111" s="15">
        <v>0.14720652856246078</v>
      </c>
      <c r="AY111" s="55"/>
      <c r="AZ111" s="56"/>
      <c r="BA111" s="55"/>
      <c r="BB111" s="10">
        <v>12349559.490000032</v>
      </c>
      <c r="BC111" s="15">
        <v>0.1231318733444489</v>
      </c>
      <c r="BD111" s="11">
        <v>2062</v>
      </c>
      <c r="BE111" s="15">
        <v>0.1488163972286374</v>
      </c>
      <c r="BF111" s="55"/>
      <c r="BG111" s="56"/>
      <c r="BH111" s="55"/>
      <c r="BI111" s="10">
        <v>12065774.160000006</v>
      </c>
      <c r="BJ111" s="15">
        <v>0.12333116465366535</v>
      </c>
      <c r="BK111" s="11">
        <v>2006</v>
      </c>
      <c r="BL111" s="15">
        <v>0.14921154418327878</v>
      </c>
      <c r="BM111" s="55"/>
      <c r="BN111" s="56"/>
      <c r="BO111" s="55"/>
      <c r="BP111" s="10">
        <v>11394421.679999992</v>
      </c>
      <c r="BQ111" s="15">
        <v>0.12315738517234982</v>
      </c>
      <c r="BR111" s="11">
        <v>1903</v>
      </c>
      <c r="BS111" s="15">
        <v>0.15072073499128782</v>
      </c>
      <c r="BT111" s="55"/>
      <c r="BU111" s="56"/>
      <c r="BV111" s="55"/>
      <c r="BW111" s="10">
        <v>11099109.090000005</v>
      </c>
      <c r="BX111" s="15">
        <v>0.12296189060670198</v>
      </c>
      <c r="BY111" s="11">
        <v>1863</v>
      </c>
      <c r="BZ111" s="15">
        <v>0.15182136745171543</v>
      </c>
      <c r="CA111" s="55"/>
      <c r="CB111" s="56"/>
      <c r="CC111" s="55"/>
      <c r="CD111" s="10">
        <v>10364909.360000005</v>
      </c>
      <c r="CE111" s="15">
        <v>0.12375683646817362</v>
      </c>
      <c r="CF111" s="11">
        <v>1776</v>
      </c>
      <c r="CG111" s="15">
        <v>0.15306386279410497</v>
      </c>
      <c r="CH111" s="55"/>
      <c r="CI111" s="56"/>
      <c r="CJ111" s="55"/>
      <c r="CK111" s="10">
        <v>9683518.800000006</v>
      </c>
      <c r="CL111" s="15">
        <v>0.12252902883445449</v>
      </c>
      <c r="CM111" s="11">
        <v>1678</v>
      </c>
      <c r="CN111" s="15">
        <v>0.15386026040711534</v>
      </c>
      <c r="CO111" s="55"/>
      <c r="CP111" s="56"/>
      <c r="CQ111" s="55"/>
    </row>
    <row r="112" spans="1:95" s="30" customFormat="1" ht="12.75">
      <c r="A112" s="79">
        <v>1996</v>
      </c>
      <c r="B112" s="26"/>
      <c r="C112" s="26"/>
      <c r="D112" s="86">
        <v>25364597.930000026</v>
      </c>
      <c r="E112" s="81">
        <v>0.19116738597347666</v>
      </c>
      <c r="F112" s="80">
        <v>5158</v>
      </c>
      <c r="G112" s="81">
        <v>0.2333831048368852</v>
      </c>
      <c r="H112" s="26"/>
      <c r="I112" s="26"/>
      <c r="J112" s="10">
        <v>24565054.270000037</v>
      </c>
      <c r="K112" s="15">
        <v>0.19079771152537336</v>
      </c>
      <c r="L112" s="11">
        <v>4286</v>
      </c>
      <c r="M112" s="15">
        <v>0.22927142398630576</v>
      </c>
      <c r="N112" s="55"/>
      <c r="O112" s="56"/>
      <c r="P112" s="55"/>
      <c r="Q112" s="26"/>
      <c r="R112" s="10">
        <v>23813729.600000035</v>
      </c>
      <c r="S112" s="15">
        <v>0.19013957844002777</v>
      </c>
      <c r="T112" s="11">
        <v>4153</v>
      </c>
      <c r="U112" s="15">
        <v>0.23009585018560585</v>
      </c>
      <c r="V112" s="55"/>
      <c r="W112" s="56"/>
      <c r="X112" s="55"/>
      <c r="Y112" s="26"/>
      <c r="Z112" s="10">
        <v>23043672.03999995</v>
      </c>
      <c r="AA112" s="15">
        <v>0.1886865184749367</v>
      </c>
      <c r="AB112" s="11">
        <v>4027</v>
      </c>
      <c r="AC112" s="15">
        <v>0.23111799816345271</v>
      </c>
      <c r="AD112" s="55"/>
      <c r="AE112" s="56"/>
      <c r="AF112" s="55"/>
      <c r="AG112" s="10">
        <v>22333341.630000014</v>
      </c>
      <c r="AH112" s="15">
        <v>0.18790443713240804</v>
      </c>
      <c r="AI112" s="11">
        <v>3906</v>
      </c>
      <c r="AJ112" s="15">
        <v>0.23183760683760685</v>
      </c>
      <c r="AK112" s="55"/>
      <c r="AL112" s="56"/>
      <c r="AM112" s="55"/>
      <c r="AN112" s="10">
        <v>21706529.02000001</v>
      </c>
      <c r="AO112" s="15">
        <v>0.1873511905884076</v>
      </c>
      <c r="AP112" s="11">
        <v>3788</v>
      </c>
      <c r="AQ112" s="15">
        <v>0.2333518142056305</v>
      </c>
      <c r="AR112" s="55"/>
      <c r="AS112" s="56"/>
      <c r="AT112" s="55"/>
      <c r="AU112" s="10">
        <v>21016133.090000052</v>
      </c>
      <c r="AV112" s="15">
        <v>0.18565933249507735</v>
      </c>
      <c r="AW112" s="11">
        <v>3669</v>
      </c>
      <c r="AX112" s="15">
        <v>0.23032015065913372</v>
      </c>
      <c r="AY112" s="55"/>
      <c r="AZ112" s="56"/>
      <c r="BA112" s="55"/>
      <c r="BB112" s="10">
        <v>18534558.17000002</v>
      </c>
      <c r="BC112" s="15">
        <v>0.1847996983966719</v>
      </c>
      <c r="BD112" s="11">
        <v>3211</v>
      </c>
      <c r="BE112" s="15">
        <v>0.2317407621247113</v>
      </c>
      <c r="BF112" s="55"/>
      <c r="BG112" s="56"/>
      <c r="BH112" s="55"/>
      <c r="BI112" s="10">
        <v>17943050.720000003</v>
      </c>
      <c r="BJ112" s="15">
        <v>0.18340616303540924</v>
      </c>
      <c r="BK112" s="11">
        <v>3093</v>
      </c>
      <c r="BL112" s="15">
        <v>0.2300654567093127</v>
      </c>
      <c r="BM112" s="55"/>
      <c r="BN112" s="56"/>
      <c r="BO112" s="55"/>
      <c r="BP112" s="10">
        <v>16989165.87999999</v>
      </c>
      <c r="BQ112" s="15">
        <v>0.18362856007976913</v>
      </c>
      <c r="BR112" s="11">
        <v>2928</v>
      </c>
      <c r="BS112" s="15">
        <v>0.23190242357041027</v>
      </c>
      <c r="BT112" s="55"/>
      <c r="BU112" s="56"/>
      <c r="BV112" s="55"/>
      <c r="BW112" s="10">
        <v>16416201.56999999</v>
      </c>
      <c r="BX112" s="15">
        <v>0.1818674963242394</v>
      </c>
      <c r="BY112" s="11">
        <v>2842</v>
      </c>
      <c r="BZ112" s="15">
        <v>0.2316029663434113</v>
      </c>
      <c r="CA112" s="55"/>
      <c r="CB112" s="56"/>
      <c r="CC112" s="55"/>
      <c r="CD112" s="10">
        <v>15305481.789999997</v>
      </c>
      <c r="CE112" s="15">
        <v>0.18274718486796665</v>
      </c>
      <c r="CF112" s="11">
        <v>2708</v>
      </c>
      <c r="CG112" s="15">
        <v>0.23338791691803845</v>
      </c>
      <c r="CH112" s="55"/>
      <c r="CI112" s="56"/>
      <c r="CJ112" s="55"/>
      <c r="CK112" s="10">
        <v>14685495.990000006</v>
      </c>
      <c r="CL112" s="15">
        <v>0.18582083628597648</v>
      </c>
      <c r="CM112" s="11">
        <v>2606</v>
      </c>
      <c r="CN112" s="15">
        <v>0.23895103612690263</v>
      </c>
      <c r="CO112" s="55"/>
      <c r="CP112" s="56"/>
      <c r="CQ112" s="55"/>
    </row>
    <row r="113" spans="1:95" s="30" customFormat="1" ht="12.75">
      <c r="A113" s="79">
        <v>1997</v>
      </c>
      <c r="B113" s="26"/>
      <c r="C113" s="26"/>
      <c r="D113" s="86">
        <v>30015803.35999999</v>
      </c>
      <c r="E113" s="81">
        <v>0.22622249649139575</v>
      </c>
      <c r="F113" s="80">
        <v>5738</v>
      </c>
      <c r="G113" s="81">
        <v>0.2596262612551468</v>
      </c>
      <c r="H113" s="26"/>
      <c r="I113" s="26"/>
      <c r="J113" s="10">
        <v>28571370.800000027</v>
      </c>
      <c r="K113" s="15">
        <v>0.22191492450477998</v>
      </c>
      <c r="L113" s="11">
        <v>5105</v>
      </c>
      <c r="M113" s="15">
        <v>0.2730822723868621</v>
      </c>
      <c r="N113" s="55"/>
      <c r="O113" s="56"/>
      <c r="P113" s="55"/>
      <c r="Q113" s="26"/>
      <c r="R113" s="10">
        <v>27463807.400000006</v>
      </c>
      <c r="S113" s="15">
        <v>0.2192834490484056</v>
      </c>
      <c r="T113" s="11">
        <v>4820</v>
      </c>
      <c r="U113" s="15">
        <v>0.26705080613884424</v>
      </c>
      <c r="V113" s="55"/>
      <c r="W113" s="56"/>
      <c r="X113" s="55"/>
      <c r="Y113" s="26"/>
      <c r="Z113" s="10">
        <v>26535078.559999976</v>
      </c>
      <c r="AA113" s="15">
        <v>0.21727490229223653</v>
      </c>
      <c r="AB113" s="11">
        <v>4548</v>
      </c>
      <c r="AC113" s="15">
        <v>0.2610192837465565</v>
      </c>
      <c r="AD113" s="55"/>
      <c r="AE113" s="56"/>
      <c r="AF113" s="55"/>
      <c r="AG113" s="10">
        <v>25655545.740000002</v>
      </c>
      <c r="AH113" s="15">
        <v>0.2158562279423407</v>
      </c>
      <c r="AI113" s="11">
        <v>4320</v>
      </c>
      <c r="AJ113" s="15">
        <v>0.2564102564102564</v>
      </c>
      <c r="AK113" s="55"/>
      <c r="AL113" s="56"/>
      <c r="AM113" s="55"/>
      <c r="AN113" s="10">
        <v>24693625.140000056</v>
      </c>
      <c r="AO113" s="15">
        <v>0.21313311150116074</v>
      </c>
      <c r="AP113" s="11">
        <v>4125</v>
      </c>
      <c r="AQ113" s="15">
        <v>0.25411199408612084</v>
      </c>
      <c r="AR113" s="55"/>
      <c r="AS113" s="56"/>
      <c r="AT113" s="55"/>
      <c r="AU113" s="10">
        <v>23889874.94999996</v>
      </c>
      <c r="AV113" s="15">
        <v>0.21104635270502328</v>
      </c>
      <c r="AW113" s="11">
        <v>3988</v>
      </c>
      <c r="AX113" s="15">
        <v>0.25034526051475203</v>
      </c>
      <c r="AY113" s="55"/>
      <c r="AZ113" s="56"/>
      <c r="BA113" s="55"/>
      <c r="BB113" s="10">
        <v>20841874.419999994</v>
      </c>
      <c r="BC113" s="15">
        <v>0.20780490538325608</v>
      </c>
      <c r="BD113" s="11">
        <v>3465</v>
      </c>
      <c r="BE113" s="15">
        <v>0.25007217090069284</v>
      </c>
      <c r="BF113" s="55"/>
      <c r="BG113" s="56"/>
      <c r="BH113" s="55"/>
      <c r="BI113" s="10">
        <v>19981786.36</v>
      </c>
      <c r="BJ113" s="15">
        <v>0.20424524369180827</v>
      </c>
      <c r="BK113" s="11">
        <v>3358</v>
      </c>
      <c r="BL113" s="15">
        <v>0.24977685212734305</v>
      </c>
      <c r="BM113" s="55"/>
      <c r="BN113" s="56"/>
      <c r="BO113" s="55"/>
      <c r="BP113" s="10">
        <v>19137914.530000035</v>
      </c>
      <c r="BQ113" s="15">
        <v>0.20685345666149912</v>
      </c>
      <c r="BR113" s="11">
        <v>3206</v>
      </c>
      <c r="BS113" s="15">
        <v>0.25392048154601615</v>
      </c>
      <c r="BT113" s="55"/>
      <c r="BU113" s="56"/>
      <c r="BV113" s="55"/>
      <c r="BW113" s="10">
        <v>18508370.16</v>
      </c>
      <c r="BX113" s="15">
        <v>0.20504566343732245</v>
      </c>
      <c r="BY113" s="11">
        <v>3111</v>
      </c>
      <c r="BZ113" s="15">
        <v>0.2535245701246842</v>
      </c>
      <c r="CA113" s="55"/>
      <c r="CB113" s="56"/>
      <c r="CC113" s="55"/>
      <c r="CD113" s="10">
        <v>17691867.959999997</v>
      </c>
      <c r="CE113" s="15">
        <v>0.21124059399803946</v>
      </c>
      <c r="CF113" s="11">
        <v>2973</v>
      </c>
      <c r="CG113" s="15">
        <v>0.25622683788675343</v>
      </c>
      <c r="CH113" s="55"/>
      <c r="CI113" s="56"/>
      <c r="CJ113" s="55"/>
      <c r="CK113" s="10">
        <v>16973102.240000024</v>
      </c>
      <c r="CL113" s="15">
        <v>0.21476673683693429</v>
      </c>
      <c r="CM113" s="11">
        <v>2843</v>
      </c>
      <c r="CN113" s="15">
        <v>0.2606821932880983</v>
      </c>
      <c r="CO113" s="55"/>
      <c r="CP113" s="56"/>
      <c r="CQ113" s="55"/>
    </row>
    <row r="114" spans="1:95" ht="12.75">
      <c r="A114" s="79">
        <v>1998</v>
      </c>
      <c r="B114" s="9"/>
      <c r="C114" s="9"/>
      <c r="D114" s="10">
        <v>5473388.870000003</v>
      </c>
      <c r="E114" s="15">
        <v>0.04125172595212593</v>
      </c>
      <c r="F114" s="11">
        <v>891</v>
      </c>
      <c r="G114" s="15">
        <v>0.04031491787701914</v>
      </c>
      <c r="H114" s="9"/>
      <c r="I114" s="9"/>
      <c r="J114" s="10">
        <v>5270508.07</v>
      </c>
      <c r="K114" s="15">
        <v>0.04093623678902669</v>
      </c>
      <c r="L114" s="11">
        <v>841</v>
      </c>
      <c r="M114" s="15">
        <v>0.04498769658714026</v>
      </c>
      <c r="N114" s="57"/>
      <c r="O114" s="56"/>
      <c r="P114" s="57"/>
      <c r="Q114" s="9"/>
      <c r="R114" s="10">
        <v>5039579.33</v>
      </c>
      <c r="S114" s="15">
        <v>0.04023827873317571</v>
      </c>
      <c r="T114" s="11">
        <v>809</v>
      </c>
      <c r="U114" s="15">
        <v>0.04482242783533714</v>
      </c>
      <c r="V114" s="57"/>
      <c r="W114" s="56"/>
      <c r="X114" s="57"/>
      <c r="Y114" s="9"/>
      <c r="Z114" s="10">
        <v>4807304.459999988</v>
      </c>
      <c r="AA114" s="15">
        <v>0.03936323777876658</v>
      </c>
      <c r="AB114" s="11">
        <v>776</v>
      </c>
      <c r="AC114" s="15">
        <v>0.04453627180899908</v>
      </c>
      <c r="AD114" s="57"/>
      <c r="AE114" s="56"/>
      <c r="AF114" s="57"/>
      <c r="AG114" s="10">
        <v>4579629.86</v>
      </c>
      <c r="AH114" s="15">
        <v>0.03853130379567242</v>
      </c>
      <c r="AI114" s="11">
        <v>743</v>
      </c>
      <c r="AJ114" s="15">
        <v>0.044100189933523264</v>
      </c>
      <c r="AK114" s="57"/>
      <c r="AL114" s="56"/>
      <c r="AM114" s="57"/>
      <c r="AN114" s="10">
        <v>4346471.6</v>
      </c>
      <c r="AO114" s="15">
        <v>0.03751482461191302</v>
      </c>
      <c r="AP114" s="11">
        <v>676</v>
      </c>
      <c r="AQ114" s="15">
        <v>0.0416435655762952</v>
      </c>
      <c r="AR114" s="57"/>
      <c r="AS114" s="56"/>
      <c r="AT114" s="57"/>
      <c r="AU114" s="10">
        <v>4168862.82</v>
      </c>
      <c r="AV114" s="15">
        <v>0.03682829210826738</v>
      </c>
      <c r="AW114" s="11">
        <v>644</v>
      </c>
      <c r="AX114" s="15">
        <v>0.04042686754551161</v>
      </c>
      <c r="AY114" s="57"/>
      <c r="AZ114" s="56"/>
      <c r="BA114" s="57"/>
      <c r="BB114" s="10">
        <v>3582008.12</v>
      </c>
      <c r="BC114" s="15">
        <v>0.03571458322118874</v>
      </c>
      <c r="BD114" s="11">
        <v>555</v>
      </c>
      <c r="BE114" s="15">
        <v>0.04005484988452656</v>
      </c>
      <c r="BF114" s="57"/>
      <c r="BG114" s="56"/>
      <c r="BH114" s="57"/>
      <c r="BI114" s="10">
        <v>3437153.51</v>
      </c>
      <c r="BJ114" s="15">
        <v>0.035133107901775415</v>
      </c>
      <c r="BK114" s="11">
        <v>539</v>
      </c>
      <c r="BL114" s="15">
        <v>0.04009223445403154</v>
      </c>
      <c r="BM114" s="57"/>
      <c r="BN114" s="56"/>
      <c r="BO114" s="57"/>
      <c r="BP114" s="10">
        <v>3282795.18</v>
      </c>
      <c r="BQ114" s="15">
        <v>0.03548231597702235</v>
      </c>
      <c r="BR114" s="11">
        <v>518</v>
      </c>
      <c r="BS114" s="15">
        <v>0.04102645335022968</v>
      </c>
      <c r="BT114" s="57"/>
      <c r="BU114" s="56"/>
      <c r="BV114" s="57"/>
      <c r="BW114" s="10">
        <v>3193636.78</v>
      </c>
      <c r="BX114" s="15">
        <v>0.03538082319901767</v>
      </c>
      <c r="BY114" s="11">
        <v>505</v>
      </c>
      <c r="BZ114" s="15">
        <v>0.04115394018417407</v>
      </c>
      <c r="CA114" s="57"/>
      <c r="CB114" s="56"/>
      <c r="CC114" s="57"/>
      <c r="CD114" s="10">
        <v>3102323.01</v>
      </c>
      <c r="CE114" s="15">
        <v>0.03704168247738752</v>
      </c>
      <c r="CF114" s="11">
        <v>493</v>
      </c>
      <c r="CG114" s="15">
        <v>0.04248901146255279</v>
      </c>
      <c r="CH114" s="57"/>
      <c r="CI114" s="56"/>
      <c r="CJ114" s="57"/>
      <c r="CK114" s="10">
        <v>2902343</v>
      </c>
      <c r="CL114" s="15">
        <v>0.03672438464563903</v>
      </c>
      <c r="CM114" s="11">
        <v>466</v>
      </c>
      <c r="CN114" s="15">
        <v>0.04272877315239318</v>
      </c>
      <c r="CO114" s="57"/>
      <c r="CP114" s="56"/>
      <c r="CQ114" s="57"/>
    </row>
    <row r="115" spans="1:95" ht="12.75">
      <c r="A115" s="9"/>
      <c r="B115" s="9"/>
      <c r="C115" s="9"/>
      <c r="D115" s="10"/>
      <c r="E115" s="9"/>
      <c r="F115" s="11"/>
      <c r="G115" s="9"/>
      <c r="H115" s="9"/>
      <c r="I115" s="9"/>
      <c r="J115" s="10"/>
      <c r="K115" s="9"/>
      <c r="L115" s="11"/>
      <c r="M115" s="9"/>
      <c r="N115" s="55"/>
      <c r="O115" s="56"/>
      <c r="P115" s="55"/>
      <c r="Q115" s="9"/>
      <c r="R115" s="10"/>
      <c r="S115" s="9"/>
      <c r="T115" s="11"/>
      <c r="U115" s="9"/>
      <c r="V115" s="55"/>
      <c r="W115" s="56"/>
      <c r="X115" s="55"/>
      <c r="Y115" s="9"/>
      <c r="Z115" s="10"/>
      <c r="AA115" s="9"/>
      <c r="AB115" s="11"/>
      <c r="AC115" s="9"/>
      <c r="AD115" s="55"/>
      <c r="AE115" s="56"/>
      <c r="AF115" s="55"/>
      <c r="AG115" s="10"/>
      <c r="AH115" s="9"/>
      <c r="AI115" s="11"/>
      <c r="AJ115" s="9"/>
      <c r="AK115" s="55"/>
      <c r="AL115" s="56"/>
      <c r="AM115" s="55"/>
      <c r="AN115" s="10"/>
      <c r="AO115" s="9"/>
      <c r="AP115" s="11"/>
      <c r="AQ115" s="9"/>
      <c r="AR115" s="55"/>
      <c r="AS115" s="56"/>
      <c r="AT115" s="55"/>
      <c r="AU115" s="10"/>
      <c r="AV115" s="9"/>
      <c r="AW115" s="11"/>
      <c r="AX115" s="9"/>
      <c r="AY115" s="55"/>
      <c r="AZ115" s="56"/>
      <c r="BA115" s="55"/>
      <c r="BB115" s="10"/>
      <c r="BC115" s="9"/>
      <c r="BD115" s="11"/>
      <c r="BE115" s="9"/>
      <c r="BF115" s="55"/>
      <c r="BG115" s="56"/>
      <c r="BH115" s="55"/>
      <c r="BI115" s="10"/>
      <c r="BJ115" s="9"/>
      <c r="BK115" s="11"/>
      <c r="BL115" s="9"/>
      <c r="BM115" s="55"/>
      <c r="BN115" s="56"/>
      <c r="BO115" s="55"/>
      <c r="BP115" s="10"/>
      <c r="BQ115" s="9"/>
      <c r="BR115" s="11"/>
      <c r="BS115" s="9"/>
      <c r="BT115" s="55"/>
      <c r="BU115" s="56"/>
      <c r="BV115" s="55"/>
      <c r="BW115" s="10"/>
      <c r="BX115" s="9"/>
      <c r="BY115" s="11"/>
      <c r="BZ115" s="9"/>
      <c r="CA115" s="55"/>
      <c r="CB115" s="56"/>
      <c r="CC115" s="55"/>
      <c r="CD115" s="10"/>
      <c r="CE115" s="9"/>
      <c r="CF115" s="11"/>
      <c r="CG115" s="9"/>
      <c r="CH115" s="55"/>
      <c r="CI115" s="56"/>
      <c r="CJ115" s="55"/>
      <c r="CK115" s="10"/>
      <c r="CL115" s="9"/>
      <c r="CM115" s="11"/>
      <c r="CN115" s="9"/>
      <c r="CO115" s="55"/>
      <c r="CP115" s="56"/>
      <c r="CQ115" s="55"/>
    </row>
    <row r="116" spans="1:95" ht="13.5" thickBot="1">
      <c r="A116" s="9"/>
      <c r="B116" s="13"/>
      <c r="C116" s="13"/>
      <c r="D116" s="22">
        <f>SUM(D102:D114)</f>
        <v>132682663.41999997</v>
      </c>
      <c r="E116" s="13"/>
      <c r="F116" s="23">
        <f>SUM(F102:F114)</f>
        <v>22101</v>
      </c>
      <c r="G116" s="13"/>
      <c r="H116" s="9"/>
      <c r="I116" s="9"/>
      <c r="J116" s="22">
        <f>SUM(J102:J115)</f>
        <v>128749208.1200001</v>
      </c>
      <c r="K116" s="13"/>
      <c r="L116" s="23">
        <f>SUM(L102:L115)</f>
        <v>18694</v>
      </c>
      <c r="M116" s="13"/>
      <c r="N116" s="54"/>
      <c r="O116" s="32"/>
      <c r="P116" s="54"/>
      <c r="Q116" s="9"/>
      <c r="R116" s="22">
        <f>SUM(R102:R115)</f>
        <v>125243412.21000007</v>
      </c>
      <c r="S116" s="13"/>
      <c r="T116" s="23">
        <f>SUM(T102:T115)</f>
        <v>18049</v>
      </c>
      <c r="U116" s="13"/>
      <c r="V116" s="54"/>
      <c r="W116" s="32"/>
      <c r="X116" s="54"/>
      <c r="Y116" s="9"/>
      <c r="Z116" s="22">
        <f>SUM(Z102:Z115)</f>
        <v>122126754.0799999</v>
      </c>
      <c r="AA116" s="13"/>
      <c r="AB116" s="23">
        <f>SUM(AB102:AB115)</f>
        <v>17424</v>
      </c>
      <c r="AC116" s="13"/>
      <c r="AD116" s="54"/>
      <c r="AE116" s="32"/>
      <c r="AF116" s="54"/>
      <c r="AG116" s="22">
        <f>SUM(AG102:AG115)</f>
        <v>118854785.82000004</v>
      </c>
      <c r="AH116" s="13"/>
      <c r="AI116" s="23">
        <f>SUM(AI102:AI115)</f>
        <v>16848</v>
      </c>
      <c r="AJ116" s="13"/>
      <c r="AK116" s="54"/>
      <c r="AL116" s="32"/>
      <c r="AM116" s="54"/>
      <c r="AN116" s="22">
        <f>SUM(AN102:AN115)</f>
        <v>115860107.17000006</v>
      </c>
      <c r="AO116" s="13"/>
      <c r="AP116" s="23">
        <f>SUM(AP102:AP115)</f>
        <v>16233</v>
      </c>
      <c r="AQ116" s="13"/>
      <c r="AR116" s="54"/>
      <c r="AS116" s="32"/>
      <c r="AT116" s="54"/>
      <c r="AU116" s="22">
        <f>SUM(AU102:AU115)</f>
        <v>113197288.85999998</v>
      </c>
      <c r="AV116" s="13"/>
      <c r="AW116" s="23">
        <f>SUM(AW102:AW115)</f>
        <v>15930</v>
      </c>
      <c r="AX116" s="13"/>
      <c r="AY116" s="54"/>
      <c r="AZ116" s="32"/>
      <c r="BA116" s="54"/>
      <c r="BB116" s="22">
        <f>SUM(BB102:BB115)</f>
        <v>100295391.88000003</v>
      </c>
      <c r="BC116" s="13"/>
      <c r="BD116" s="23">
        <f>SUM(BD102:BD115)</f>
        <v>13856</v>
      </c>
      <c r="BE116" s="13"/>
      <c r="BF116" s="54"/>
      <c r="BG116" s="32"/>
      <c r="BH116" s="54"/>
      <c r="BI116" s="22">
        <f>SUM(BI102:BI115)</f>
        <v>97832321.57000001</v>
      </c>
      <c r="BJ116" s="13"/>
      <c r="BK116" s="23">
        <f>SUM(BK102:BK115)</f>
        <v>13444</v>
      </c>
      <c r="BL116" s="13"/>
      <c r="BM116" s="54"/>
      <c r="BN116" s="32"/>
      <c r="BO116" s="54"/>
      <c r="BP116" s="22">
        <f>SUM(BP102:BP115)</f>
        <v>92519191.31000002</v>
      </c>
      <c r="BQ116" s="13"/>
      <c r="BR116" s="23">
        <f>SUM(BR102:BR115)</f>
        <v>12626</v>
      </c>
      <c r="BS116" s="13"/>
      <c r="BT116" s="54"/>
      <c r="BU116" s="32"/>
      <c r="BV116" s="54"/>
      <c r="BW116" s="22">
        <f>SUM(BW102:BW115)</f>
        <v>90264626.17999999</v>
      </c>
      <c r="BX116" s="13"/>
      <c r="BY116" s="23">
        <f>SUM(BY102:BY115)</f>
        <v>12271</v>
      </c>
      <c r="BZ116" s="13"/>
      <c r="CA116" s="54"/>
      <c r="CB116" s="32"/>
      <c r="CC116" s="54"/>
      <c r="CD116" s="22">
        <f>SUM(CD102:CD115)</f>
        <v>83752216.49000001</v>
      </c>
      <c r="CE116" s="13"/>
      <c r="CF116" s="23">
        <f>SUM(CF102:CF115)</f>
        <v>11603</v>
      </c>
      <c r="CG116" s="13"/>
      <c r="CH116" s="54"/>
      <c r="CI116" s="32"/>
      <c r="CJ116" s="54"/>
      <c r="CK116" s="22">
        <f>SUM(CK102:CK115)</f>
        <v>79030405.22000003</v>
      </c>
      <c r="CL116" s="13"/>
      <c r="CM116" s="23">
        <f>SUM(CM102:CM115)</f>
        <v>10906</v>
      </c>
      <c r="CN116" s="13"/>
      <c r="CO116" s="54"/>
      <c r="CP116" s="32"/>
      <c r="CQ116" s="54"/>
    </row>
    <row r="117" spans="1:95" ht="13.5" thickTop="1">
      <c r="A117" s="9"/>
      <c r="B117" s="13"/>
      <c r="C117" s="13"/>
      <c r="D117" s="31"/>
      <c r="E117" s="13"/>
      <c r="F117" s="32"/>
      <c r="G117" s="13"/>
      <c r="H117" s="9"/>
      <c r="I117" s="9"/>
      <c r="J117" s="31"/>
      <c r="K117" s="13"/>
      <c r="L117" s="32"/>
      <c r="M117" s="13"/>
      <c r="N117" s="54"/>
      <c r="O117" s="32"/>
      <c r="P117" s="54"/>
      <c r="Q117" s="9"/>
      <c r="R117" s="31"/>
      <c r="S117" s="13"/>
      <c r="T117" s="32"/>
      <c r="U117" s="13"/>
      <c r="V117" s="54"/>
      <c r="W117" s="32"/>
      <c r="X117" s="54"/>
      <c r="Y117" s="9"/>
      <c r="Z117" s="31"/>
      <c r="AA117" s="13"/>
      <c r="AB117" s="32"/>
      <c r="AC117" s="13"/>
      <c r="AD117" s="54"/>
      <c r="AE117" s="32"/>
      <c r="AF117" s="54"/>
      <c r="AG117" s="31"/>
      <c r="AH117" s="13"/>
      <c r="AI117" s="32"/>
      <c r="AJ117" s="13"/>
      <c r="AK117" s="54"/>
      <c r="AL117" s="32"/>
      <c r="AM117" s="54"/>
      <c r="AN117" s="31"/>
      <c r="AO117" s="13"/>
      <c r="AP117" s="32"/>
      <c r="AQ117" s="13"/>
      <c r="AR117" s="54"/>
      <c r="AS117" s="32"/>
      <c r="AT117" s="54"/>
      <c r="AU117" s="31"/>
      <c r="AV117" s="13"/>
      <c r="AW117" s="32"/>
      <c r="AX117" s="13"/>
      <c r="AY117" s="54"/>
      <c r="AZ117" s="32"/>
      <c r="BA117" s="54"/>
      <c r="BB117" s="31"/>
      <c r="BC117" s="13"/>
      <c r="BD117" s="32"/>
      <c r="BE117" s="13"/>
      <c r="BF117" s="54"/>
      <c r="BG117" s="32"/>
      <c r="BH117" s="54"/>
      <c r="BI117" s="31"/>
      <c r="BJ117" s="13"/>
      <c r="BK117" s="32"/>
      <c r="BL117" s="13"/>
      <c r="BM117" s="54"/>
      <c r="BN117" s="32"/>
      <c r="BO117" s="54"/>
      <c r="BP117" s="31"/>
      <c r="BQ117" s="13"/>
      <c r="BR117" s="32"/>
      <c r="BS117" s="13"/>
      <c r="BT117" s="54"/>
      <c r="BU117" s="32"/>
      <c r="BV117" s="54"/>
      <c r="BW117" s="31"/>
      <c r="BX117" s="13"/>
      <c r="BY117" s="32"/>
      <c r="BZ117" s="13"/>
      <c r="CA117" s="54"/>
      <c r="CB117" s="32"/>
      <c r="CC117" s="54"/>
      <c r="CD117" s="31"/>
      <c r="CE117" s="13"/>
      <c r="CF117" s="32"/>
      <c r="CG117" s="13"/>
      <c r="CH117" s="54"/>
      <c r="CI117" s="32"/>
      <c r="CJ117" s="54"/>
      <c r="CK117" s="31"/>
      <c r="CL117" s="13"/>
      <c r="CM117" s="32"/>
      <c r="CN117" s="13"/>
      <c r="CO117" s="54"/>
      <c r="CP117" s="32"/>
      <c r="CQ117" s="54"/>
    </row>
    <row r="118" spans="1:95" ht="12.75">
      <c r="A118" s="9"/>
      <c r="B118" s="9"/>
      <c r="C118" s="9"/>
      <c r="D118" s="11"/>
      <c r="E118" s="9"/>
      <c r="F118" s="11"/>
      <c r="G118" s="9"/>
      <c r="H118" s="9"/>
      <c r="I118" s="9"/>
      <c r="J118" s="9"/>
      <c r="K118" s="9"/>
      <c r="L118" s="9"/>
      <c r="M118" s="11"/>
      <c r="N118" s="9"/>
      <c r="O118" s="11"/>
      <c r="P118" s="9"/>
      <c r="Q118" s="9"/>
      <c r="R118" s="9"/>
      <c r="S118" s="9"/>
      <c r="T118" s="9"/>
      <c r="U118" s="11"/>
      <c r="V118" s="9"/>
      <c r="W118" s="11"/>
      <c r="X118" s="9"/>
      <c r="Y118" s="9"/>
      <c r="Z118" s="9"/>
      <c r="AA118" s="9"/>
      <c r="AB118" s="9"/>
      <c r="AC118" s="11"/>
      <c r="AD118" s="9"/>
      <c r="AE118" s="11"/>
      <c r="AF118" s="9"/>
      <c r="AG118" s="9"/>
      <c r="AH118" s="9"/>
      <c r="AI118" s="9"/>
      <c r="AJ118" s="11"/>
      <c r="AK118" s="9"/>
      <c r="AL118" s="11"/>
      <c r="AM118" s="9"/>
      <c r="AN118" s="9"/>
      <c r="AO118" s="9"/>
      <c r="AP118" s="9"/>
      <c r="AQ118" s="11"/>
      <c r="AR118" s="9"/>
      <c r="AS118" s="11"/>
      <c r="AT118" s="9"/>
      <c r="AU118" s="9"/>
      <c r="AV118" s="9"/>
      <c r="AW118" s="9"/>
      <c r="AX118" s="11"/>
      <c r="AY118" s="9"/>
      <c r="AZ118" s="11"/>
      <c r="BA118" s="9"/>
      <c r="BB118" s="9"/>
      <c r="BC118" s="9"/>
      <c r="BD118" s="9"/>
      <c r="BE118" s="11"/>
      <c r="BF118" s="9"/>
      <c r="BG118" s="11"/>
      <c r="BH118" s="9"/>
      <c r="BI118" s="9"/>
      <c r="BJ118" s="9"/>
      <c r="BK118" s="9"/>
      <c r="BL118" s="11"/>
      <c r="BM118" s="9"/>
      <c r="BN118" s="11"/>
      <c r="BO118" s="9"/>
      <c r="BP118" s="9"/>
      <c r="BQ118" s="9"/>
      <c r="BR118" s="9"/>
      <c r="BS118" s="11"/>
      <c r="BT118" s="9"/>
      <c r="BU118" s="11"/>
      <c r="BV118" s="9"/>
      <c r="BW118" s="9"/>
      <c r="BX118" s="9"/>
      <c r="BY118" s="9"/>
      <c r="BZ118" s="11"/>
      <c r="CA118" s="9"/>
      <c r="CB118" s="11"/>
      <c r="CC118" s="9"/>
      <c r="CD118" s="9"/>
      <c r="CE118" s="9"/>
      <c r="CF118" s="9"/>
      <c r="CG118" s="11"/>
      <c r="CH118" s="9"/>
      <c r="CI118" s="11"/>
      <c r="CJ118" s="9"/>
      <c r="CK118" s="9"/>
      <c r="CL118" s="9"/>
      <c r="CM118" s="9"/>
      <c r="CN118" s="11"/>
      <c r="CO118" s="9"/>
      <c r="CP118" s="11"/>
      <c r="CQ118" s="9"/>
    </row>
    <row r="119" spans="1:95" ht="12.75">
      <c r="A119" s="40"/>
      <c r="B119" s="35"/>
      <c r="C119" s="35"/>
      <c r="D119" s="36"/>
      <c r="E119" s="35"/>
      <c r="F119" s="37"/>
      <c r="G119" s="35"/>
      <c r="H119" s="35"/>
      <c r="I119" s="35"/>
      <c r="J119" s="70"/>
      <c r="K119" s="55"/>
      <c r="L119" s="55"/>
      <c r="M119" s="64"/>
      <c r="N119" s="55"/>
      <c r="O119" s="56"/>
      <c r="P119" s="55"/>
      <c r="Q119" s="35"/>
      <c r="R119" s="70"/>
      <c r="S119" s="55"/>
      <c r="T119" s="55"/>
      <c r="U119" s="64"/>
      <c r="V119" s="55"/>
      <c r="W119" s="56"/>
      <c r="X119" s="55"/>
      <c r="Y119" s="35"/>
      <c r="Z119" s="70"/>
      <c r="AA119" s="55"/>
      <c r="AB119" s="55"/>
      <c r="AC119" s="64"/>
      <c r="AD119" s="55"/>
      <c r="AE119" s="56"/>
      <c r="AF119" s="55"/>
      <c r="AG119" s="70"/>
      <c r="AH119" s="55"/>
      <c r="AI119" s="55"/>
      <c r="AJ119" s="64"/>
      <c r="AK119" s="55"/>
      <c r="AL119" s="56"/>
      <c r="AM119" s="55"/>
      <c r="AN119" s="70"/>
      <c r="AO119" s="55"/>
      <c r="AP119" s="55"/>
      <c r="AQ119" s="64"/>
      <c r="AR119" s="55"/>
      <c r="AS119" s="56"/>
      <c r="AT119" s="55"/>
      <c r="AU119" s="70"/>
      <c r="AV119" s="55"/>
      <c r="AW119" s="55"/>
      <c r="AX119" s="64"/>
      <c r="AY119" s="55"/>
      <c r="AZ119" s="56"/>
      <c r="BA119" s="55"/>
      <c r="BB119" s="70"/>
      <c r="BC119" s="55"/>
      <c r="BD119" s="55"/>
      <c r="BE119" s="64"/>
      <c r="BF119" s="55"/>
      <c r="BG119" s="56"/>
      <c r="BH119" s="55"/>
      <c r="BI119" s="70"/>
      <c r="BJ119" s="55"/>
      <c r="BK119" s="55"/>
      <c r="BL119" s="64"/>
      <c r="BM119" s="55"/>
      <c r="BN119" s="56"/>
      <c r="BO119" s="55"/>
      <c r="BP119" s="70"/>
      <c r="BQ119" s="55"/>
      <c r="BR119" s="55"/>
      <c r="BS119" s="64"/>
      <c r="BT119" s="55"/>
      <c r="BU119" s="56"/>
      <c r="BV119" s="55"/>
      <c r="BW119" s="70"/>
      <c r="BX119" s="55"/>
      <c r="BY119" s="55"/>
      <c r="BZ119" s="64"/>
      <c r="CA119" s="55"/>
      <c r="CB119" s="56"/>
      <c r="CC119" s="55"/>
      <c r="CD119" s="70"/>
      <c r="CE119" s="55"/>
      <c r="CF119" s="55"/>
      <c r="CG119" s="64"/>
      <c r="CH119" s="55"/>
      <c r="CI119" s="56"/>
      <c r="CJ119" s="55"/>
      <c r="CK119" s="70"/>
      <c r="CL119" s="55"/>
      <c r="CM119" s="55"/>
      <c r="CN119" s="64"/>
      <c r="CO119" s="55"/>
      <c r="CP119" s="56"/>
      <c r="CQ119" s="55"/>
    </row>
    <row r="120" spans="1:95" ht="12.75">
      <c r="A120" s="13" t="s">
        <v>100</v>
      </c>
      <c r="B120" s="35"/>
      <c r="C120" s="35"/>
      <c r="D120" s="36"/>
      <c r="E120" s="35"/>
      <c r="F120" s="37"/>
      <c r="G120" s="35"/>
      <c r="H120" s="35"/>
      <c r="I120" s="35"/>
      <c r="J120" s="70"/>
      <c r="K120" s="55"/>
      <c r="L120" s="55"/>
      <c r="M120" s="64"/>
      <c r="N120" s="55"/>
      <c r="O120" s="56"/>
      <c r="P120" s="55"/>
      <c r="Q120" s="35"/>
      <c r="R120" s="70"/>
      <c r="S120" s="55"/>
      <c r="T120" s="55"/>
      <c r="U120" s="64"/>
      <c r="V120" s="55"/>
      <c r="W120" s="56"/>
      <c r="X120" s="55"/>
      <c r="Y120" s="35"/>
      <c r="Z120" s="70"/>
      <c r="AA120" s="55"/>
      <c r="AB120" s="55"/>
      <c r="AC120" s="64"/>
      <c r="AD120" s="55"/>
      <c r="AE120" s="56"/>
      <c r="AF120" s="55"/>
      <c r="AG120" s="70"/>
      <c r="AH120" s="55"/>
      <c r="AI120" s="55"/>
      <c r="AJ120" s="64"/>
      <c r="AK120" s="55"/>
      <c r="AL120" s="56"/>
      <c r="AM120" s="55"/>
      <c r="AN120" s="70"/>
      <c r="AO120" s="55"/>
      <c r="AP120" s="55"/>
      <c r="AQ120" s="64"/>
      <c r="AR120" s="55"/>
      <c r="AS120" s="56"/>
      <c r="AT120" s="55"/>
      <c r="AU120" s="70"/>
      <c r="AV120" s="55"/>
      <c r="AW120" s="55"/>
      <c r="AX120" s="64"/>
      <c r="AY120" s="55"/>
      <c r="AZ120" s="56"/>
      <c r="BA120" s="55"/>
      <c r="BB120" s="70"/>
      <c r="BC120" s="55"/>
      <c r="BD120" s="55"/>
      <c r="BE120" s="64"/>
      <c r="BF120" s="55"/>
      <c r="BG120" s="56"/>
      <c r="BH120" s="55"/>
      <c r="BI120" s="70"/>
      <c r="BJ120" s="55"/>
      <c r="BK120" s="55"/>
      <c r="BL120" s="64"/>
      <c r="BM120" s="55"/>
      <c r="BN120" s="56"/>
      <c r="BO120" s="55"/>
      <c r="BP120" s="70"/>
      <c r="BQ120" s="55"/>
      <c r="BR120" s="55"/>
      <c r="BS120" s="64"/>
      <c r="BT120" s="55"/>
      <c r="BU120" s="56"/>
      <c r="BV120" s="55"/>
      <c r="BW120" s="70"/>
      <c r="BX120" s="55"/>
      <c r="BY120" s="55"/>
      <c r="BZ120" s="64"/>
      <c r="CA120" s="55"/>
      <c r="CB120" s="56"/>
      <c r="CC120" s="55"/>
      <c r="CD120" s="70"/>
      <c r="CE120" s="55"/>
      <c r="CF120" s="55"/>
      <c r="CG120" s="64"/>
      <c r="CH120" s="55"/>
      <c r="CI120" s="56"/>
      <c r="CJ120" s="55"/>
      <c r="CK120" s="70"/>
      <c r="CL120" s="55"/>
      <c r="CM120" s="55"/>
      <c r="CN120" s="64"/>
      <c r="CO120" s="55"/>
      <c r="CP120" s="56"/>
      <c r="CQ120" s="55"/>
    </row>
    <row r="121" spans="1:95" ht="12.75">
      <c r="A121" s="13" t="s">
        <v>131</v>
      </c>
      <c r="B121" s="35"/>
      <c r="C121" s="35"/>
      <c r="D121" s="36"/>
      <c r="E121" s="35"/>
      <c r="F121" s="37"/>
      <c r="G121" s="35"/>
      <c r="H121" s="35"/>
      <c r="I121" s="35"/>
      <c r="J121" s="55"/>
      <c r="K121" s="54"/>
      <c r="L121" s="54"/>
      <c r="M121" s="31"/>
      <c r="N121" s="54"/>
      <c r="O121" s="32"/>
      <c r="P121" s="54"/>
      <c r="Q121" s="35"/>
      <c r="R121" s="55"/>
      <c r="S121" s="54"/>
      <c r="T121" s="54"/>
      <c r="U121" s="31"/>
      <c r="V121" s="54"/>
      <c r="W121" s="32"/>
      <c r="X121" s="54"/>
      <c r="Y121" s="35"/>
      <c r="Z121" s="55"/>
      <c r="AA121" s="54"/>
      <c r="AB121" s="54"/>
      <c r="AC121" s="31"/>
      <c r="AD121" s="54"/>
      <c r="AE121" s="32"/>
      <c r="AF121" s="54"/>
      <c r="AG121" s="55"/>
      <c r="AH121" s="54"/>
      <c r="AI121" s="54"/>
      <c r="AJ121" s="31"/>
      <c r="AK121" s="54"/>
      <c r="AL121" s="32"/>
      <c r="AM121" s="54"/>
      <c r="AN121" s="55"/>
      <c r="AO121" s="54"/>
      <c r="AP121" s="54"/>
      <c r="AQ121" s="31"/>
      <c r="AR121" s="54"/>
      <c r="AS121" s="32"/>
      <c r="AT121" s="54"/>
      <c r="AU121" s="55"/>
      <c r="AV121" s="54"/>
      <c r="AW121" s="54"/>
      <c r="AX121" s="31"/>
      <c r="AY121" s="54"/>
      <c r="AZ121" s="32"/>
      <c r="BA121" s="54"/>
      <c r="BB121" s="55"/>
      <c r="BC121" s="54"/>
      <c r="BD121" s="54"/>
      <c r="BE121" s="31"/>
      <c r="BF121" s="54"/>
      <c r="BG121" s="32"/>
      <c r="BH121" s="54"/>
      <c r="BI121" s="55"/>
      <c r="BJ121" s="54"/>
      <c r="BK121" s="54"/>
      <c r="BL121" s="31"/>
      <c r="BM121" s="54"/>
      <c r="BN121" s="32"/>
      <c r="BO121" s="54"/>
      <c r="BP121" s="55"/>
      <c r="BQ121" s="54"/>
      <c r="BR121" s="54"/>
      <c r="BS121" s="31"/>
      <c r="BT121" s="54"/>
      <c r="BU121" s="32"/>
      <c r="BV121" s="54"/>
      <c r="BW121" s="55"/>
      <c r="BX121" s="54"/>
      <c r="BY121" s="54"/>
      <c r="BZ121" s="31"/>
      <c r="CA121" s="54"/>
      <c r="CB121" s="32"/>
      <c r="CC121" s="54"/>
      <c r="CD121" s="55"/>
      <c r="CE121" s="54"/>
      <c r="CF121" s="54"/>
      <c r="CG121" s="31"/>
      <c r="CH121" s="54"/>
      <c r="CI121" s="32"/>
      <c r="CJ121" s="54"/>
      <c r="CK121" s="55"/>
      <c r="CL121" s="54"/>
      <c r="CM121" s="54"/>
      <c r="CN121" s="31"/>
      <c r="CO121" s="54"/>
      <c r="CP121" s="32"/>
      <c r="CQ121" s="54"/>
    </row>
    <row r="122" spans="1:95" s="1" customFormat="1" ht="12.75">
      <c r="A122" s="35"/>
      <c r="B122" s="40"/>
      <c r="C122" s="40"/>
      <c r="D122" s="41"/>
      <c r="E122" s="42"/>
      <c r="F122" s="43"/>
      <c r="G122" s="42"/>
      <c r="H122" s="40"/>
      <c r="I122" s="40"/>
      <c r="J122" s="54"/>
      <c r="K122" s="55"/>
      <c r="L122" s="55"/>
      <c r="M122" s="64"/>
      <c r="N122" s="55"/>
      <c r="O122" s="56"/>
      <c r="P122" s="55"/>
      <c r="Q122" s="40"/>
      <c r="R122" s="54"/>
      <c r="S122" s="55"/>
      <c r="T122" s="55"/>
      <c r="U122" s="64"/>
      <c r="V122" s="55"/>
      <c r="W122" s="56"/>
      <c r="X122" s="55"/>
      <c r="Y122" s="40"/>
      <c r="Z122" s="54"/>
      <c r="AA122" s="55"/>
      <c r="AB122" s="55"/>
      <c r="AC122" s="64"/>
      <c r="AD122" s="55"/>
      <c r="AE122" s="56"/>
      <c r="AF122" s="55"/>
      <c r="AG122" s="54"/>
      <c r="AH122" s="55"/>
      <c r="AI122" s="55"/>
      <c r="AJ122" s="64"/>
      <c r="AK122" s="55"/>
      <c r="AL122" s="56"/>
      <c r="AM122" s="55"/>
      <c r="AN122" s="54"/>
      <c r="AO122" s="55"/>
      <c r="AP122" s="55"/>
      <c r="AQ122" s="64"/>
      <c r="AR122" s="55"/>
      <c r="AS122" s="56"/>
      <c r="AT122" s="55"/>
      <c r="AU122" s="54"/>
      <c r="AV122" s="55"/>
      <c r="AW122" s="55"/>
      <c r="AX122" s="64"/>
      <c r="AY122" s="55"/>
      <c r="AZ122" s="56"/>
      <c r="BA122" s="55"/>
      <c r="BB122" s="54"/>
      <c r="BC122" s="55"/>
      <c r="BD122" s="55"/>
      <c r="BE122" s="64"/>
      <c r="BF122" s="55"/>
      <c r="BG122" s="56"/>
      <c r="BH122" s="55"/>
      <c r="BI122" s="54"/>
      <c r="BJ122" s="55"/>
      <c r="BK122" s="55"/>
      <c r="BL122" s="64"/>
      <c r="BM122" s="55"/>
      <c r="BN122" s="56"/>
      <c r="BO122" s="55"/>
      <c r="BP122" s="54"/>
      <c r="BQ122" s="55"/>
      <c r="BR122" s="55"/>
      <c r="BS122" s="64"/>
      <c r="BT122" s="55"/>
      <c r="BU122" s="56"/>
      <c r="BV122" s="55"/>
      <c r="BW122" s="54"/>
      <c r="BX122" s="55"/>
      <c r="BY122" s="55"/>
      <c r="BZ122" s="64"/>
      <c r="CA122" s="55"/>
      <c r="CB122" s="56"/>
      <c r="CC122" s="55"/>
      <c r="CD122" s="54"/>
      <c r="CE122" s="55"/>
      <c r="CF122" s="55"/>
      <c r="CG122" s="64"/>
      <c r="CH122" s="55"/>
      <c r="CI122" s="56"/>
      <c r="CJ122" s="55"/>
      <c r="CK122" s="54"/>
      <c r="CL122" s="55"/>
      <c r="CM122" s="55"/>
      <c r="CN122" s="64"/>
      <c r="CO122" s="55"/>
      <c r="CP122" s="56"/>
      <c r="CQ122" s="55"/>
    </row>
    <row r="123" spans="1:16" ht="12.75">
      <c r="A123" s="1"/>
      <c r="D123" s="2"/>
      <c r="J123" s="50"/>
      <c r="K123" s="50"/>
      <c r="L123" s="50"/>
      <c r="M123" s="51"/>
      <c r="N123" s="62"/>
      <c r="O123" s="52"/>
      <c r="P123" s="62"/>
    </row>
    <row r="124" spans="4:16" ht="12.75">
      <c r="D124" s="2"/>
      <c r="J124" s="50"/>
      <c r="K124" s="50"/>
      <c r="L124" s="50"/>
      <c r="M124" s="51"/>
      <c r="N124" s="62"/>
      <c r="O124" s="52"/>
      <c r="P124" s="62"/>
    </row>
    <row r="125" spans="4:16" ht="12.75">
      <c r="D125" s="2"/>
      <c r="J125" s="50"/>
      <c r="K125" s="50"/>
      <c r="L125" s="50"/>
      <c r="M125" s="51"/>
      <c r="N125" s="62"/>
      <c r="O125" s="52"/>
      <c r="P125" s="62"/>
    </row>
    <row r="126" spans="4:16" ht="12.75">
      <c r="D126" s="2"/>
      <c r="J126" s="50"/>
      <c r="K126" s="50"/>
      <c r="L126" s="50"/>
      <c r="M126" s="51"/>
      <c r="N126" s="62"/>
      <c r="O126" s="52"/>
      <c r="P126" s="62"/>
    </row>
    <row r="127" spans="4:16" ht="12.75">
      <c r="D127" s="2"/>
      <c r="J127" s="50"/>
      <c r="K127" s="50"/>
      <c r="L127" s="50"/>
      <c r="M127" s="51"/>
      <c r="N127" s="62"/>
      <c r="O127" s="52"/>
      <c r="P127" s="62"/>
    </row>
    <row r="128" spans="4:16" ht="12.75">
      <c r="D128" s="2"/>
      <c r="J128" s="50"/>
      <c r="K128" s="50"/>
      <c r="L128" s="50"/>
      <c r="M128" s="51"/>
      <c r="N128" s="62"/>
      <c r="O128" s="52"/>
      <c r="P128" s="62"/>
    </row>
    <row r="129" spans="4:16" ht="12.75">
      <c r="D129" s="2"/>
      <c r="J129" s="50"/>
      <c r="K129" s="50"/>
      <c r="L129" s="50"/>
      <c r="M129" s="51"/>
      <c r="N129" s="62"/>
      <c r="O129" s="52"/>
      <c r="P129" s="62"/>
    </row>
    <row r="130" spans="4:16" ht="12.75">
      <c r="D130" s="2"/>
      <c r="J130" s="50"/>
      <c r="K130" s="50"/>
      <c r="L130" s="50"/>
      <c r="M130" s="51"/>
      <c r="N130" s="62"/>
      <c r="O130" s="52"/>
      <c r="P130" s="62"/>
    </row>
    <row r="131" spans="4:16" ht="12.75">
      <c r="D131" s="2"/>
      <c r="J131" s="50"/>
      <c r="K131" s="50"/>
      <c r="L131" s="50"/>
      <c r="M131" s="51"/>
      <c r="N131" s="62"/>
      <c r="O131" s="52"/>
      <c r="P131" s="62"/>
    </row>
    <row r="132" spans="4:16" ht="12.75">
      <c r="D132" s="2"/>
      <c r="J132" s="50"/>
      <c r="K132" s="50"/>
      <c r="L132" s="50"/>
      <c r="M132" s="51"/>
      <c r="N132" s="50"/>
      <c r="O132" s="52"/>
      <c r="P132" s="50"/>
    </row>
    <row r="133" spans="4:16" ht="12.75">
      <c r="D133" s="2"/>
      <c r="J133" s="50"/>
      <c r="K133" s="61"/>
      <c r="L133" s="61"/>
      <c r="M133" s="48"/>
      <c r="N133" s="61"/>
      <c r="O133" s="49"/>
      <c r="P133" s="63"/>
    </row>
    <row r="134" spans="4:16" ht="12.75">
      <c r="D134" s="2"/>
      <c r="J134" s="50"/>
      <c r="K134" s="50"/>
      <c r="L134" s="50"/>
      <c r="M134" s="50"/>
      <c r="N134" s="50"/>
      <c r="O134" s="50"/>
      <c r="P134" s="50"/>
    </row>
    <row r="135" spans="4:16" ht="12.75">
      <c r="D135" s="2"/>
      <c r="J135" s="50"/>
      <c r="K135" s="50"/>
      <c r="L135" s="50"/>
      <c r="M135" s="50"/>
      <c r="N135" s="50"/>
      <c r="O135" s="50"/>
      <c r="P135" s="50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</sheetData>
  <mergeCells count="26">
    <mergeCell ref="CD1:CJ1"/>
    <mergeCell ref="CD3:CJ3"/>
    <mergeCell ref="Z1:AF1"/>
    <mergeCell ref="Z3:AF3"/>
    <mergeCell ref="AN1:AT1"/>
    <mergeCell ref="AN3:AT3"/>
    <mergeCell ref="AG1:AM1"/>
    <mergeCell ref="AG3:AM3"/>
    <mergeCell ref="BW1:CC1"/>
    <mergeCell ref="BW3:CC3"/>
    <mergeCell ref="R1:X1"/>
    <mergeCell ref="R3:X3"/>
    <mergeCell ref="A1:G1"/>
    <mergeCell ref="J1:P1"/>
    <mergeCell ref="A3:G3"/>
    <mergeCell ref="J3:P3"/>
    <mergeCell ref="CK1:CQ1"/>
    <mergeCell ref="CK3:CQ3"/>
    <mergeCell ref="AU1:BA1"/>
    <mergeCell ref="AU3:BA3"/>
    <mergeCell ref="BP1:BV1"/>
    <mergeCell ref="BP3:BV3"/>
    <mergeCell ref="BI1:BO1"/>
    <mergeCell ref="BI3:BO3"/>
    <mergeCell ref="BB1:BH1"/>
    <mergeCell ref="BB3:BH3"/>
  </mergeCells>
  <printOptions/>
  <pageMargins left="0" right="0" top="0.984251968503937" bottom="0.984251968503937" header="0.5118110236220472" footer="0.5118110236220472"/>
  <pageSetup horizontalDpi="600" verticalDpi="600" orientation="landscape" paperSize="9" scale="10" r:id="rId1"/>
  <colBreaks count="1" manualBreakCount="1">
    <brk id="67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R165"/>
  <sheetViews>
    <sheetView view="pageBreakPreview" zoomScale="60" workbookViewId="0" topLeftCell="CE1">
      <selection activeCell="CL1" sqref="CL1:CR1"/>
    </sheetView>
  </sheetViews>
  <sheetFormatPr defaultColWidth="9.140625" defaultRowHeight="12.75"/>
  <cols>
    <col min="3" max="3" width="23.00390625" style="0" customWidth="1"/>
    <col min="4" max="4" width="28.28125" style="0" customWidth="1"/>
    <col min="5" max="5" width="14.140625" style="0" customWidth="1"/>
    <col min="6" max="6" width="16.7109375" style="3" customWidth="1"/>
    <col min="7" max="7" width="16.140625" style="0" customWidth="1"/>
    <col min="9" max="9" width="19.140625" style="0" bestFit="1" customWidth="1"/>
    <col min="10" max="10" width="34.8515625" style="0" customWidth="1"/>
    <col min="11" max="11" width="13.8515625" style="0" customWidth="1"/>
    <col min="12" max="12" width="12.421875" style="0" customWidth="1"/>
    <col min="13" max="13" width="14.00390625" style="0" customWidth="1"/>
    <col min="14" max="14" width="13.7109375" style="0" customWidth="1"/>
    <col min="15" max="15" width="15.140625" style="0" customWidth="1"/>
    <col min="16" max="16" width="13.140625" style="0" customWidth="1"/>
    <col min="18" max="18" width="31.00390625" style="0" customWidth="1"/>
    <col min="19" max="19" width="13.421875" style="0" customWidth="1"/>
    <col min="20" max="20" width="14.57421875" style="0" customWidth="1"/>
    <col min="21" max="21" width="13.7109375" style="0" customWidth="1"/>
    <col min="26" max="26" width="29.28125" style="0" customWidth="1"/>
    <col min="27" max="27" width="17.140625" style="0" customWidth="1"/>
    <col min="28" max="28" width="14.140625" style="0" bestFit="1" customWidth="1"/>
    <col min="29" max="29" width="13.421875" style="0" bestFit="1" customWidth="1"/>
    <col min="32" max="32" width="13.421875" style="0" customWidth="1"/>
    <col min="34" max="34" width="36.28125" style="0" customWidth="1"/>
    <col min="35" max="35" width="21.140625" style="0" customWidth="1"/>
    <col min="36" max="36" width="13.421875" style="0" customWidth="1"/>
    <col min="37" max="37" width="13.421875" style="0" bestFit="1" customWidth="1"/>
    <col min="41" max="41" width="27.7109375" style="0" customWidth="1"/>
    <col min="42" max="42" width="14.421875" style="0" customWidth="1"/>
    <col min="43" max="43" width="14.140625" style="0" bestFit="1" customWidth="1"/>
    <col min="44" max="44" width="15.8515625" style="0" customWidth="1"/>
    <col min="45" max="45" width="13.7109375" style="0" customWidth="1"/>
    <col min="48" max="48" width="30.8515625" style="0" customWidth="1"/>
    <col min="49" max="49" width="17.28125" style="0" customWidth="1"/>
    <col min="50" max="50" width="19.8515625" style="0" customWidth="1"/>
    <col min="51" max="51" width="14.8515625" style="0" customWidth="1"/>
    <col min="55" max="55" width="30.00390625" style="0" customWidth="1"/>
    <col min="56" max="56" width="17.00390625" style="0" customWidth="1"/>
    <col min="57" max="57" width="14.140625" style="0" bestFit="1" customWidth="1"/>
    <col min="58" max="58" width="18.8515625" style="0" customWidth="1"/>
    <col min="62" max="62" width="33.421875" style="0" customWidth="1"/>
    <col min="63" max="63" width="15.140625" style="0" customWidth="1"/>
    <col min="64" max="64" width="17.421875" style="0" customWidth="1"/>
    <col min="65" max="65" width="13.8515625" style="0" customWidth="1"/>
    <col min="69" max="69" width="32.7109375" style="0" customWidth="1"/>
    <col min="70" max="70" width="14.8515625" style="0" customWidth="1"/>
    <col min="71" max="71" width="14.140625" style="0" customWidth="1"/>
    <col min="72" max="72" width="16.28125" style="0" customWidth="1"/>
    <col min="76" max="76" width="28.140625" style="0" customWidth="1"/>
    <col min="77" max="77" width="21.140625" style="0" customWidth="1"/>
    <col min="78" max="78" width="21.00390625" style="0" customWidth="1"/>
    <col min="79" max="79" width="13.8515625" style="0" customWidth="1"/>
    <col min="83" max="83" width="28.8515625" style="0" customWidth="1"/>
    <col min="84" max="84" width="15.57421875" style="0" customWidth="1"/>
    <col min="85" max="85" width="14.140625" style="0" customWidth="1"/>
    <col min="86" max="86" width="15.8515625" style="0" customWidth="1"/>
    <col min="87" max="87" width="13.7109375" style="0" customWidth="1"/>
    <col min="90" max="90" width="39.8515625" style="0" customWidth="1"/>
    <col min="91" max="91" width="13.8515625" style="0" customWidth="1"/>
    <col min="92" max="92" width="17.28125" style="0" customWidth="1"/>
    <col min="93" max="93" width="16.57421875" style="0" customWidth="1"/>
  </cols>
  <sheetData>
    <row r="1" spans="1:96" ht="33.75">
      <c r="A1" s="107" t="s">
        <v>114</v>
      </c>
      <c r="B1" s="107"/>
      <c r="C1" s="107"/>
      <c r="D1" s="107"/>
      <c r="E1" s="107"/>
      <c r="F1" s="107"/>
      <c r="G1" s="107"/>
      <c r="H1" s="9"/>
      <c r="I1" s="9"/>
      <c r="J1" s="107" t="s">
        <v>114</v>
      </c>
      <c r="K1" s="107"/>
      <c r="L1" s="107"/>
      <c r="M1" s="107"/>
      <c r="N1" s="107"/>
      <c r="O1" s="107"/>
      <c r="P1" s="107"/>
      <c r="Q1" s="9"/>
      <c r="R1" s="107" t="s">
        <v>114</v>
      </c>
      <c r="S1" s="107"/>
      <c r="T1" s="107"/>
      <c r="U1" s="107"/>
      <c r="V1" s="107"/>
      <c r="W1" s="107"/>
      <c r="X1" s="107"/>
      <c r="Y1" s="9"/>
      <c r="Z1" s="107" t="s">
        <v>114</v>
      </c>
      <c r="AA1" s="107"/>
      <c r="AB1" s="107"/>
      <c r="AC1" s="107"/>
      <c r="AD1" s="107"/>
      <c r="AE1" s="107"/>
      <c r="AF1" s="107"/>
      <c r="AG1" s="9"/>
      <c r="AH1" s="107" t="s">
        <v>114</v>
      </c>
      <c r="AI1" s="107"/>
      <c r="AJ1" s="107"/>
      <c r="AK1" s="107"/>
      <c r="AL1" s="107"/>
      <c r="AM1" s="107"/>
      <c r="AN1" s="107"/>
      <c r="AO1" s="107" t="s">
        <v>114</v>
      </c>
      <c r="AP1" s="107"/>
      <c r="AQ1" s="107"/>
      <c r="AR1" s="107"/>
      <c r="AS1" s="107"/>
      <c r="AT1" s="107"/>
      <c r="AU1" s="107"/>
      <c r="AV1" s="107" t="s">
        <v>114</v>
      </c>
      <c r="AW1" s="107"/>
      <c r="AX1" s="107"/>
      <c r="AY1" s="107"/>
      <c r="AZ1" s="107"/>
      <c r="BA1" s="107"/>
      <c r="BB1" s="107"/>
      <c r="BC1" s="107" t="s">
        <v>114</v>
      </c>
      <c r="BD1" s="107"/>
      <c r="BE1" s="107"/>
      <c r="BF1" s="107"/>
      <c r="BG1" s="107"/>
      <c r="BH1" s="107"/>
      <c r="BI1" s="107"/>
      <c r="BJ1" s="107" t="s">
        <v>114</v>
      </c>
      <c r="BK1" s="107"/>
      <c r="BL1" s="107"/>
      <c r="BM1" s="107"/>
      <c r="BN1" s="107"/>
      <c r="BO1" s="107"/>
      <c r="BP1" s="107"/>
      <c r="BQ1" s="107" t="s">
        <v>114</v>
      </c>
      <c r="BR1" s="107"/>
      <c r="BS1" s="107"/>
      <c r="BT1" s="107"/>
      <c r="BU1" s="107"/>
      <c r="BV1" s="107"/>
      <c r="BW1" s="107"/>
      <c r="BX1" s="107" t="s">
        <v>114</v>
      </c>
      <c r="BY1" s="107"/>
      <c r="BZ1" s="107"/>
      <c r="CA1" s="107"/>
      <c r="CB1" s="107"/>
      <c r="CC1" s="107"/>
      <c r="CD1" s="107"/>
      <c r="CE1" s="107" t="s">
        <v>114</v>
      </c>
      <c r="CF1" s="107"/>
      <c r="CG1" s="107"/>
      <c r="CH1" s="107"/>
      <c r="CI1" s="107"/>
      <c r="CJ1" s="107"/>
      <c r="CK1" s="107"/>
      <c r="CL1" s="107" t="s">
        <v>114</v>
      </c>
      <c r="CM1" s="107"/>
      <c r="CN1" s="107"/>
      <c r="CO1" s="107"/>
      <c r="CP1" s="107"/>
      <c r="CQ1" s="107"/>
      <c r="CR1" s="107"/>
    </row>
    <row r="2" spans="1:96" ht="12.75">
      <c r="A2" s="9"/>
      <c r="B2" s="9"/>
      <c r="C2" s="9"/>
      <c r="D2" s="9"/>
      <c r="E2" s="9"/>
      <c r="F2" s="11"/>
      <c r="G2" s="9"/>
      <c r="H2" s="9"/>
      <c r="I2" s="9"/>
      <c r="J2" s="9"/>
      <c r="K2" s="9"/>
      <c r="L2" s="9"/>
      <c r="M2" s="9"/>
      <c r="N2" s="9"/>
      <c r="O2" s="11"/>
      <c r="P2" s="9"/>
      <c r="Q2" s="9"/>
      <c r="R2" s="9"/>
      <c r="S2" s="9"/>
      <c r="T2" s="9"/>
      <c r="U2" s="9"/>
      <c r="V2" s="9"/>
      <c r="W2" s="11"/>
      <c r="X2" s="9"/>
      <c r="Y2" s="9"/>
      <c r="Z2" s="9"/>
      <c r="AA2" s="9"/>
      <c r="AB2" s="9"/>
      <c r="AC2" s="9"/>
      <c r="AD2" s="9"/>
      <c r="AE2" s="11"/>
      <c r="AF2" s="9"/>
      <c r="AG2" s="9"/>
      <c r="AH2" s="9"/>
      <c r="AI2" s="9"/>
      <c r="AJ2" s="9"/>
      <c r="AK2" s="9"/>
      <c r="AL2" s="9"/>
      <c r="AM2" s="11"/>
      <c r="AN2" s="9"/>
      <c r="AO2" s="9"/>
      <c r="AP2" s="9"/>
      <c r="AQ2" s="9"/>
      <c r="AR2" s="9"/>
      <c r="AS2" s="9"/>
      <c r="AT2" s="11"/>
      <c r="AU2" s="9"/>
      <c r="AV2" s="9"/>
      <c r="AW2" s="9"/>
      <c r="AX2" s="9"/>
      <c r="AY2" s="9"/>
      <c r="AZ2" s="9"/>
      <c r="BA2" s="11"/>
      <c r="BB2" s="9"/>
      <c r="BC2" s="9"/>
      <c r="BD2" s="9"/>
      <c r="BE2" s="9"/>
      <c r="BF2" s="9"/>
      <c r="BG2" s="9"/>
      <c r="BH2" s="11"/>
      <c r="BI2" s="9"/>
      <c r="BJ2" s="9"/>
      <c r="BK2" s="9"/>
      <c r="BL2" s="9"/>
      <c r="BM2" s="9"/>
      <c r="BN2" s="9"/>
      <c r="BO2" s="11"/>
      <c r="BP2" s="9"/>
      <c r="BQ2" s="9"/>
      <c r="BR2" s="9"/>
      <c r="BS2" s="9"/>
      <c r="BT2" s="9"/>
      <c r="BU2" s="9"/>
      <c r="BV2" s="11"/>
      <c r="BW2" s="9"/>
      <c r="BX2" s="9"/>
      <c r="BY2" s="9"/>
      <c r="BZ2" s="9"/>
      <c r="CA2" s="9"/>
      <c r="CB2" s="9"/>
      <c r="CC2" s="11"/>
      <c r="CD2" s="9"/>
      <c r="CE2" s="9"/>
      <c r="CF2" s="9"/>
      <c r="CG2" s="9"/>
      <c r="CH2" s="9"/>
      <c r="CI2" s="9"/>
      <c r="CJ2" s="11"/>
      <c r="CK2" s="9"/>
      <c r="CL2" s="9"/>
      <c r="CM2" s="9"/>
      <c r="CN2" s="9"/>
      <c r="CO2" s="9"/>
      <c r="CP2" s="9"/>
      <c r="CQ2" s="11"/>
      <c r="CR2" s="9"/>
    </row>
    <row r="3" spans="1:96" ht="18">
      <c r="A3" s="108" t="s">
        <v>134</v>
      </c>
      <c r="B3" s="108"/>
      <c r="C3" s="108"/>
      <c r="D3" s="108"/>
      <c r="E3" s="108"/>
      <c r="F3" s="108"/>
      <c r="G3" s="108"/>
      <c r="H3" s="9"/>
      <c r="I3" s="9"/>
      <c r="J3" s="108" t="s">
        <v>136</v>
      </c>
      <c r="K3" s="108"/>
      <c r="L3" s="108"/>
      <c r="M3" s="108"/>
      <c r="N3" s="108"/>
      <c r="O3" s="108"/>
      <c r="P3" s="108"/>
      <c r="Q3" s="9"/>
      <c r="R3" s="108" t="s">
        <v>145</v>
      </c>
      <c r="S3" s="108"/>
      <c r="T3" s="108"/>
      <c r="U3" s="108"/>
      <c r="V3" s="108"/>
      <c r="W3" s="108"/>
      <c r="X3" s="108"/>
      <c r="Y3" s="9"/>
      <c r="Z3" s="108" t="s">
        <v>147</v>
      </c>
      <c r="AA3" s="108"/>
      <c r="AB3" s="108"/>
      <c r="AC3" s="108"/>
      <c r="AD3" s="108"/>
      <c r="AE3" s="108"/>
      <c r="AF3" s="108"/>
      <c r="AG3" s="9"/>
      <c r="AH3" s="108" t="s">
        <v>149</v>
      </c>
      <c r="AI3" s="108"/>
      <c r="AJ3" s="108"/>
      <c r="AK3" s="108"/>
      <c r="AL3" s="108"/>
      <c r="AM3" s="108"/>
      <c r="AN3" s="108"/>
      <c r="AO3" s="108" t="s">
        <v>151</v>
      </c>
      <c r="AP3" s="108"/>
      <c r="AQ3" s="108"/>
      <c r="AR3" s="108"/>
      <c r="AS3" s="108"/>
      <c r="AT3" s="108"/>
      <c r="AU3" s="108"/>
      <c r="AV3" s="108" t="s">
        <v>153</v>
      </c>
      <c r="AW3" s="108"/>
      <c r="AX3" s="108"/>
      <c r="AY3" s="108"/>
      <c r="AZ3" s="108"/>
      <c r="BA3" s="108"/>
      <c r="BB3" s="108"/>
      <c r="BC3" s="108" t="s">
        <v>155</v>
      </c>
      <c r="BD3" s="108"/>
      <c r="BE3" s="108"/>
      <c r="BF3" s="108"/>
      <c r="BG3" s="108"/>
      <c r="BH3" s="108"/>
      <c r="BI3" s="108"/>
      <c r="BJ3" s="108" t="s">
        <v>157</v>
      </c>
      <c r="BK3" s="108"/>
      <c r="BL3" s="108"/>
      <c r="BM3" s="108"/>
      <c r="BN3" s="108"/>
      <c r="BO3" s="108"/>
      <c r="BP3" s="108"/>
      <c r="BQ3" s="108" t="s">
        <v>159</v>
      </c>
      <c r="BR3" s="108"/>
      <c r="BS3" s="108"/>
      <c r="BT3" s="108"/>
      <c r="BU3" s="108"/>
      <c r="BV3" s="108"/>
      <c r="BW3" s="108"/>
      <c r="BX3" s="108" t="s">
        <v>161</v>
      </c>
      <c r="BY3" s="108"/>
      <c r="BZ3" s="108"/>
      <c r="CA3" s="108"/>
      <c r="CB3" s="108"/>
      <c r="CC3" s="108"/>
      <c r="CD3" s="108"/>
      <c r="CE3" s="108" t="s">
        <v>163</v>
      </c>
      <c r="CF3" s="108"/>
      <c r="CG3" s="108"/>
      <c r="CH3" s="108"/>
      <c r="CI3" s="108"/>
      <c r="CJ3" s="108"/>
      <c r="CK3" s="108"/>
      <c r="CL3" s="108" t="s">
        <v>165</v>
      </c>
      <c r="CM3" s="108"/>
      <c r="CN3" s="108"/>
      <c r="CO3" s="108"/>
      <c r="CP3" s="108"/>
      <c r="CQ3" s="108"/>
      <c r="CR3" s="108"/>
    </row>
    <row r="4" spans="1:96" ht="18">
      <c r="A4" s="9"/>
      <c r="B4" s="9"/>
      <c r="C4" s="9"/>
      <c r="D4" s="11"/>
      <c r="E4" s="9"/>
      <c r="F4" s="11"/>
      <c r="G4" s="9"/>
      <c r="H4" s="9"/>
      <c r="I4" s="9"/>
      <c r="J4" s="9"/>
      <c r="K4" s="59" t="s">
        <v>135</v>
      </c>
      <c r="L4" s="9"/>
      <c r="M4" s="10"/>
      <c r="N4" s="9"/>
      <c r="O4" s="11"/>
      <c r="P4" s="9"/>
      <c r="Q4" s="9"/>
      <c r="R4" s="9"/>
      <c r="S4" s="59" t="s">
        <v>146</v>
      </c>
      <c r="T4" s="9"/>
      <c r="U4" s="10"/>
      <c r="V4" s="9"/>
      <c r="W4" s="11"/>
      <c r="X4" s="9"/>
      <c r="Y4" s="9"/>
      <c r="Z4" s="9"/>
      <c r="AA4" s="59" t="s">
        <v>148</v>
      </c>
      <c r="AB4" s="9"/>
      <c r="AC4" s="10"/>
      <c r="AD4" s="9"/>
      <c r="AE4" s="11"/>
      <c r="AF4" s="9"/>
      <c r="AG4" s="9"/>
      <c r="AH4" s="9"/>
      <c r="AI4" s="59" t="s">
        <v>150</v>
      </c>
      <c r="AJ4" s="9"/>
      <c r="AK4" s="10"/>
      <c r="AL4" s="9"/>
      <c r="AM4" s="11"/>
      <c r="AN4" s="9"/>
      <c r="AO4" s="9"/>
      <c r="AP4" s="59" t="s">
        <v>152</v>
      </c>
      <c r="AQ4" s="9"/>
      <c r="AR4" s="10"/>
      <c r="AS4" s="9"/>
      <c r="AT4" s="11"/>
      <c r="AU4" s="9"/>
      <c r="AV4" s="9"/>
      <c r="AW4" s="59" t="s">
        <v>154</v>
      </c>
      <c r="AX4" s="9"/>
      <c r="AY4" s="10"/>
      <c r="AZ4" s="9"/>
      <c r="BA4" s="11"/>
      <c r="BB4" s="9"/>
      <c r="BC4" s="9"/>
      <c r="BD4" s="59" t="s">
        <v>156</v>
      </c>
      <c r="BE4" s="9"/>
      <c r="BF4" s="10"/>
      <c r="BG4" s="9"/>
      <c r="BH4" s="11"/>
      <c r="BI4" s="9"/>
      <c r="BJ4" s="9"/>
      <c r="BK4" s="59" t="s">
        <v>158</v>
      </c>
      <c r="BL4" s="9"/>
      <c r="BM4" s="10"/>
      <c r="BN4" s="9"/>
      <c r="BO4" s="11"/>
      <c r="BP4" s="9"/>
      <c r="BQ4" s="9"/>
      <c r="BR4" s="59" t="s">
        <v>160</v>
      </c>
      <c r="BS4" s="9"/>
      <c r="BT4" s="10"/>
      <c r="BU4" s="9"/>
      <c r="BV4" s="11"/>
      <c r="BW4" s="9"/>
      <c r="BX4" s="9"/>
      <c r="BY4" s="59" t="s">
        <v>162</v>
      </c>
      <c r="BZ4" s="9"/>
      <c r="CA4" s="10"/>
      <c r="CB4" s="9"/>
      <c r="CC4" s="11"/>
      <c r="CD4" s="9"/>
      <c r="CE4" s="9"/>
      <c r="CF4" s="59" t="s">
        <v>164</v>
      </c>
      <c r="CG4" s="9"/>
      <c r="CH4" s="10"/>
      <c r="CI4" s="9"/>
      <c r="CJ4" s="11"/>
      <c r="CK4" s="9"/>
      <c r="CL4" s="9"/>
      <c r="CM4" s="59" t="s">
        <v>166</v>
      </c>
      <c r="CN4" s="9"/>
      <c r="CO4" s="10"/>
      <c r="CP4" s="9"/>
      <c r="CQ4" s="11"/>
      <c r="CR4" s="9"/>
    </row>
    <row r="5" spans="1:96" ht="12.75">
      <c r="A5" s="9"/>
      <c r="B5" s="9"/>
      <c r="C5" s="9"/>
      <c r="D5" s="11"/>
      <c r="E5" s="9"/>
      <c r="F5" s="11"/>
      <c r="G5" s="9"/>
      <c r="H5" s="9"/>
      <c r="I5" s="9"/>
      <c r="J5" s="9"/>
      <c r="K5" s="9"/>
      <c r="L5" s="9"/>
      <c r="M5" s="11"/>
      <c r="N5" s="9"/>
      <c r="O5" s="11"/>
      <c r="P5" s="9"/>
      <c r="Q5" s="9"/>
      <c r="R5" s="9"/>
      <c r="S5" s="9"/>
      <c r="T5" s="9"/>
      <c r="U5" s="11"/>
      <c r="V5" s="9"/>
      <c r="W5" s="11"/>
      <c r="X5" s="9"/>
      <c r="Y5" s="9"/>
      <c r="Z5" s="9"/>
      <c r="AA5" s="9"/>
      <c r="AB5" s="9"/>
      <c r="AC5" s="11"/>
      <c r="AD5" s="9"/>
      <c r="AE5" s="11"/>
      <c r="AF5" s="9"/>
      <c r="AG5" s="9"/>
      <c r="AH5" s="9"/>
      <c r="AI5" s="9"/>
      <c r="AJ5" s="9"/>
      <c r="AK5" s="11"/>
      <c r="AL5" s="9"/>
      <c r="AM5" s="11"/>
      <c r="AN5" s="9"/>
      <c r="AO5" s="9"/>
      <c r="AP5" s="9"/>
      <c r="AQ5" s="9"/>
      <c r="AR5" s="11"/>
      <c r="AS5" s="9"/>
      <c r="AT5" s="11"/>
      <c r="AU5" s="9"/>
      <c r="AV5" s="9"/>
      <c r="AW5" s="9"/>
      <c r="AX5" s="9"/>
      <c r="AY5" s="11"/>
      <c r="AZ5" s="9"/>
      <c r="BA5" s="11"/>
      <c r="BB5" s="9"/>
      <c r="BC5" s="9"/>
      <c r="BD5" s="9"/>
      <c r="BE5" s="9"/>
      <c r="BF5" s="11"/>
      <c r="BG5" s="9"/>
      <c r="BH5" s="11"/>
      <c r="BI5" s="9"/>
      <c r="BJ5" s="9"/>
      <c r="BK5" s="9"/>
      <c r="BL5" s="9"/>
      <c r="BM5" s="11"/>
      <c r="BN5" s="9"/>
      <c r="BO5" s="11"/>
      <c r="BP5" s="9"/>
      <c r="BQ5" s="9"/>
      <c r="BR5" s="9"/>
      <c r="BS5" s="9"/>
      <c r="BT5" s="11"/>
      <c r="BU5" s="9"/>
      <c r="BV5" s="11"/>
      <c r="BW5" s="9"/>
      <c r="BX5" s="9"/>
      <c r="BY5" s="9"/>
      <c r="BZ5" s="9"/>
      <c r="CA5" s="11"/>
      <c r="CB5" s="9"/>
      <c r="CC5" s="11"/>
      <c r="CD5" s="9"/>
      <c r="CE5" s="9"/>
      <c r="CF5" s="9"/>
      <c r="CG5" s="9"/>
      <c r="CH5" s="11"/>
      <c r="CI5" s="9"/>
      <c r="CJ5" s="11"/>
      <c r="CK5" s="9"/>
      <c r="CL5" s="9"/>
      <c r="CM5" s="9"/>
      <c r="CN5" s="9"/>
      <c r="CO5" s="11"/>
      <c r="CP5" s="9"/>
      <c r="CQ5" s="11"/>
      <c r="CR5" s="9"/>
    </row>
    <row r="6" spans="1:96" ht="12.75">
      <c r="A6" s="13" t="s">
        <v>138</v>
      </c>
      <c r="B6" s="9"/>
      <c r="C6" s="9"/>
      <c r="D6" s="11"/>
      <c r="E6" s="9"/>
      <c r="F6" s="11"/>
      <c r="G6" s="9"/>
      <c r="H6" s="9"/>
      <c r="I6" s="9"/>
      <c r="J6" s="13" t="s">
        <v>138</v>
      </c>
      <c r="K6" s="9"/>
      <c r="L6" s="9"/>
      <c r="M6" s="11"/>
      <c r="N6" s="9"/>
      <c r="O6" s="11"/>
      <c r="P6" s="9"/>
      <c r="Q6" s="9"/>
      <c r="R6" s="13" t="s">
        <v>138</v>
      </c>
      <c r="S6" s="9"/>
      <c r="T6" s="9"/>
      <c r="U6" s="11"/>
      <c r="V6" s="9"/>
      <c r="W6" s="11"/>
      <c r="X6" s="9"/>
      <c r="Y6" s="9"/>
      <c r="Z6" s="13" t="s">
        <v>138</v>
      </c>
      <c r="AA6" s="9"/>
      <c r="AB6" s="9"/>
      <c r="AC6" s="11"/>
      <c r="AD6" s="9"/>
      <c r="AE6" s="11"/>
      <c r="AF6" s="9"/>
      <c r="AG6" s="9"/>
      <c r="AH6" s="13" t="s">
        <v>138</v>
      </c>
      <c r="AI6" s="9"/>
      <c r="AJ6" s="9"/>
      <c r="AK6" s="11"/>
      <c r="AL6" s="9"/>
      <c r="AM6" s="11"/>
      <c r="AN6" s="9"/>
      <c r="AO6" s="13" t="s">
        <v>138</v>
      </c>
      <c r="AP6" s="9"/>
      <c r="AQ6" s="9"/>
      <c r="AR6" s="11"/>
      <c r="AS6" s="9"/>
      <c r="AT6" s="11"/>
      <c r="AU6" s="9"/>
      <c r="AV6" s="13" t="s">
        <v>138</v>
      </c>
      <c r="AW6" s="9"/>
      <c r="AX6" s="9"/>
      <c r="AY6" s="11"/>
      <c r="AZ6" s="9"/>
      <c r="BA6" s="11"/>
      <c r="BB6" s="9"/>
      <c r="BC6" s="13" t="s">
        <v>138</v>
      </c>
      <c r="BD6" s="9"/>
      <c r="BE6" s="9"/>
      <c r="BF6" s="11"/>
      <c r="BG6" s="9"/>
      <c r="BH6" s="11"/>
      <c r="BI6" s="9"/>
      <c r="BJ6" s="13" t="s">
        <v>138</v>
      </c>
      <c r="BK6" s="9"/>
      <c r="BL6" s="9"/>
      <c r="BM6" s="11"/>
      <c r="BN6" s="9"/>
      <c r="BO6" s="11"/>
      <c r="BP6" s="9"/>
      <c r="BQ6" s="13" t="s">
        <v>138</v>
      </c>
      <c r="BR6" s="9"/>
      <c r="BS6" s="9"/>
      <c r="BT6" s="11"/>
      <c r="BU6" s="9"/>
      <c r="BV6" s="11"/>
      <c r="BW6" s="9"/>
      <c r="BX6" s="13" t="s">
        <v>138</v>
      </c>
      <c r="BY6" s="9"/>
      <c r="BZ6" s="9"/>
      <c r="CA6" s="11"/>
      <c r="CB6" s="9"/>
      <c r="CC6" s="11"/>
      <c r="CD6" s="9"/>
      <c r="CE6" s="13" t="s">
        <v>138</v>
      </c>
      <c r="CF6" s="9"/>
      <c r="CG6" s="9"/>
      <c r="CH6" s="11"/>
      <c r="CI6" s="9"/>
      <c r="CJ6" s="11"/>
      <c r="CK6" s="9"/>
      <c r="CL6" s="13" t="s">
        <v>138</v>
      </c>
      <c r="CM6" s="9"/>
      <c r="CN6" s="9"/>
      <c r="CO6" s="11"/>
      <c r="CP6" s="9"/>
      <c r="CQ6" s="11"/>
      <c r="CR6" s="9"/>
    </row>
    <row r="7" spans="1:96" ht="12.75">
      <c r="A7" s="14" t="s">
        <v>11</v>
      </c>
      <c r="B7" s="9"/>
      <c r="C7" s="9"/>
      <c r="D7" s="11"/>
      <c r="E7" s="9"/>
      <c r="F7" s="11"/>
      <c r="G7" s="9"/>
      <c r="H7" s="9"/>
      <c r="I7" s="9"/>
      <c r="J7" s="14" t="s">
        <v>11</v>
      </c>
      <c r="K7" s="9"/>
      <c r="L7" s="9"/>
      <c r="M7" s="11"/>
      <c r="N7" s="9"/>
      <c r="O7" s="11"/>
      <c r="P7" s="9"/>
      <c r="Q7" s="9"/>
      <c r="R7" s="14" t="s">
        <v>11</v>
      </c>
      <c r="S7" s="9"/>
      <c r="T7" s="9"/>
      <c r="U7" s="11"/>
      <c r="V7" s="9"/>
      <c r="W7" s="11"/>
      <c r="X7" s="9"/>
      <c r="Y7" s="9"/>
      <c r="Z7" s="14" t="s">
        <v>11</v>
      </c>
      <c r="AA7" s="9"/>
      <c r="AB7" s="9"/>
      <c r="AC7" s="11"/>
      <c r="AD7" s="9"/>
      <c r="AE7" s="11"/>
      <c r="AF7" s="9"/>
      <c r="AG7" s="9"/>
      <c r="AH7" s="14" t="s">
        <v>11</v>
      </c>
      <c r="AI7" s="9"/>
      <c r="AJ7" s="9"/>
      <c r="AK7" s="11"/>
      <c r="AL7" s="9"/>
      <c r="AM7" s="11"/>
      <c r="AN7" s="9"/>
      <c r="AO7" s="14" t="s">
        <v>11</v>
      </c>
      <c r="AP7" s="9"/>
      <c r="AQ7" s="9"/>
      <c r="AR7" s="11"/>
      <c r="AS7" s="9"/>
      <c r="AT7" s="11"/>
      <c r="AU7" s="9"/>
      <c r="AV7" s="14" t="s">
        <v>11</v>
      </c>
      <c r="AW7" s="9"/>
      <c r="AX7" s="9"/>
      <c r="AY7" s="11"/>
      <c r="AZ7" s="9"/>
      <c r="BA7" s="11"/>
      <c r="BB7" s="9"/>
      <c r="BC7" s="14" t="s">
        <v>11</v>
      </c>
      <c r="BD7" s="9"/>
      <c r="BE7" s="9"/>
      <c r="BF7" s="11"/>
      <c r="BG7" s="9"/>
      <c r="BH7" s="11"/>
      <c r="BI7" s="9"/>
      <c r="BJ7" s="14" t="s">
        <v>11</v>
      </c>
      <c r="BK7" s="9"/>
      <c r="BL7" s="9"/>
      <c r="BM7" s="11"/>
      <c r="BN7" s="9"/>
      <c r="BO7" s="11"/>
      <c r="BP7" s="9"/>
      <c r="BQ7" s="14" t="s">
        <v>11</v>
      </c>
      <c r="BR7" s="9"/>
      <c r="BS7" s="9"/>
      <c r="BT7" s="11"/>
      <c r="BU7" s="9"/>
      <c r="BV7" s="11"/>
      <c r="BW7" s="9"/>
      <c r="BX7" s="14" t="s">
        <v>11</v>
      </c>
      <c r="BY7" s="9"/>
      <c r="BZ7" s="9"/>
      <c r="CA7" s="11"/>
      <c r="CB7" s="9"/>
      <c r="CC7" s="11"/>
      <c r="CD7" s="9"/>
      <c r="CE7" s="14" t="s">
        <v>11</v>
      </c>
      <c r="CF7" s="9"/>
      <c r="CG7" s="9"/>
      <c r="CH7" s="11"/>
      <c r="CI7" s="9"/>
      <c r="CJ7" s="11"/>
      <c r="CK7" s="9"/>
      <c r="CL7" s="14" t="s">
        <v>11</v>
      </c>
      <c r="CM7" s="9"/>
      <c r="CN7" s="9"/>
      <c r="CO7" s="11"/>
      <c r="CP7" s="9"/>
      <c r="CQ7" s="11"/>
      <c r="CR7" s="9"/>
    </row>
    <row r="8" spans="1:96" ht="12.75">
      <c r="A8" s="9"/>
      <c r="B8" s="9"/>
      <c r="C8" s="9"/>
      <c r="D8" s="11"/>
      <c r="E8" s="9"/>
      <c r="F8" s="11"/>
      <c r="G8" s="9"/>
      <c r="H8" s="9"/>
      <c r="I8" s="9"/>
      <c r="J8" s="9"/>
      <c r="K8" s="9"/>
      <c r="L8" s="9"/>
      <c r="M8" s="11"/>
      <c r="N8" s="9"/>
      <c r="O8" s="11"/>
      <c r="P8" s="9"/>
      <c r="Q8" s="9"/>
      <c r="R8" s="9"/>
      <c r="S8" s="9"/>
      <c r="T8" s="9"/>
      <c r="U8" s="11"/>
      <c r="V8" s="9"/>
      <c r="W8" s="11"/>
      <c r="X8" s="9"/>
      <c r="Y8" s="9"/>
      <c r="Z8" s="9"/>
      <c r="AA8" s="9"/>
      <c r="AB8" s="9"/>
      <c r="AC8" s="11"/>
      <c r="AD8" s="9"/>
      <c r="AE8" s="11"/>
      <c r="AF8" s="9"/>
      <c r="AG8" s="9"/>
      <c r="AH8" s="9"/>
      <c r="AI8" s="9"/>
      <c r="AJ8" s="9"/>
      <c r="AK8" s="11"/>
      <c r="AL8" s="9"/>
      <c r="AM8" s="11"/>
      <c r="AN8" s="9"/>
      <c r="AO8" s="9"/>
      <c r="AP8" s="9"/>
      <c r="AQ8" s="9"/>
      <c r="AR8" s="11"/>
      <c r="AS8" s="9"/>
      <c r="AT8" s="11"/>
      <c r="AU8" s="9"/>
      <c r="AV8" s="9"/>
      <c r="AW8" s="9"/>
      <c r="AX8" s="9"/>
      <c r="AY8" s="11"/>
      <c r="AZ8" s="9"/>
      <c r="BA8" s="11"/>
      <c r="BB8" s="9"/>
      <c r="BC8" s="9"/>
      <c r="BD8" s="9"/>
      <c r="BE8" s="9"/>
      <c r="BF8" s="11"/>
      <c r="BG8" s="9"/>
      <c r="BH8" s="11"/>
      <c r="BI8" s="9"/>
      <c r="BJ8" s="9"/>
      <c r="BK8" s="9"/>
      <c r="BL8" s="9"/>
      <c r="BM8" s="11"/>
      <c r="BN8" s="9"/>
      <c r="BO8" s="11"/>
      <c r="BP8" s="9"/>
      <c r="BQ8" s="9"/>
      <c r="BR8" s="9"/>
      <c r="BS8" s="9"/>
      <c r="BT8" s="11"/>
      <c r="BU8" s="9"/>
      <c r="BV8" s="11"/>
      <c r="BW8" s="9"/>
      <c r="BX8" s="9"/>
      <c r="BY8" s="9"/>
      <c r="BZ8" s="9"/>
      <c r="CA8" s="11"/>
      <c r="CB8" s="9"/>
      <c r="CC8" s="11"/>
      <c r="CD8" s="9"/>
      <c r="CE8" s="9"/>
      <c r="CF8" s="9"/>
      <c r="CG8" s="9"/>
      <c r="CH8" s="11"/>
      <c r="CI8" s="9"/>
      <c r="CJ8" s="11"/>
      <c r="CK8" s="9"/>
      <c r="CL8" s="9"/>
      <c r="CM8" s="9"/>
      <c r="CN8" s="9"/>
      <c r="CO8" s="11"/>
      <c r="CP8" s="9"/>
      <c r="CQ8" s="11"/>
      <c r="CR8" s="9"/>
    </row>
    <row r="9" spans="1:96" ht="12.75">
      <c r="A9" s="9" t="s">
        <v>141</v>
      </c>
      <c r="B9" s="9"/>
      <c r="C9" s="9"/>
      <c r="D9" s="16">
        <v>6426.638682136907</v>
      </c>
      <c r="E9" s="9"/>
      <c r="F9" s="11"/>
      <c r="G9" s="9"/>
      <c r="H9" s="9"/>
      <c r="I9" s="9"/>
      <c r="J9" s="9" t="s">
        <v>141</v>
      </c>
      <c r="K9" s="9"/>
      <c r="L9" s="9"/>
      <c r="M9" s="16">
        <v>6617.354646079865</v>
      </c>
      <c r="N9" s="9"/>
      <c r="O9" s="11"/>
      <c r="P9" s="9"/>
      <c r="Q9" s="9"/>
      <c r="R9" s="9" t="s">
        <v>141</v>
      </c>
      <c r="S9" s="9"/>
      <c r="T9" s="9"/>
      <c r="U9" s="16">
        <v>6516.062067566514</v>
      </c>
      <c r="V9" s="9"/>
      <c r="W9" s="11"/>
      <c r="X9" s="9"/>
      <c r="Y9" s="9"/>
      <c r="Z9" s="9" t="s">
        <v>141</v>
      </c>
      <c r="AA9" s="9"/>
      <c r="AB9" s="9"/>
      <c r="AC9" s="16">
        <v>6419.537324147034</v>
      </c>
      <c r="AD9" s="9"/>
      <c r="AE9" s="11"/>
      <c r="AF9" s="9"/>
      <c r="AG9" s="9"/>
      <c r="AH9" s="9" t="s">
        <v>141</v>
      </c>
      <c r="AI9" s="9"/>
      <c r="AJ9" s="9"/>
      <c r="AK9" s="16">
        <v>6300.557836160175</v>
      </c>
      <c r="AL9" s="9"/>
      <c r="AM9" s="11"/>
      <c r="AN9" s="9"/>
      <c r="AO9" s="9" t="s">
        <v>141</v>
      </c>
      <c r="AP9" s="9"/>
      <c r="AQ9" s="9"/>
      <c r="AR9" s="16">
        <v>6351.325251035073</v>
      </c>
      <c r="AS9" s="9"/>
      <c r="AT9" s="11"/>
      <c r="AU9" s="9"/>
      <c r="AV9" s="9" t="s">
        <v>141</v>
      </c>
      <c r="AW9" s="9"/>
      <c r="AX9" s="9"/>
      <c r="AY9" s="16">
        <v>6285.224747054047</v>
      </c>
      <c r="AZ9" s="9"/>
      <c r="BA9" s="11"/>
      <c r="BB9" s="9"/>
      <c r="BC9" s="9" t="s">
        <v>141</v>
      </c>
      <c r="BD9" s="9"/>
      <c r="BE9" s="9"/>
      <c r="BF9" s="16">
        <v>6241.797804265298</v>
      </c>
      <c r="BG9" s="9"/>
      <c r="BH9" s="11"/>
      <c r="BI9" s="9"/>
      <c r="BJ9" s="9" t="s">
        <v>141</v>
      </c>
      <c r="BK9" s="9"/>
      <c r="BL9" s="9"/>
      <c r="BM9" s="16">
        <v>6188.675912842133</v>
      </c>
      <c r="BN9" s="9"/>
      <c r="BO9" s="11"/>
      <c r="BP9" s="9"/>
      <c r="BQ9" s="9" t="s">
        <v>141</v>
      </c>
      <c r="BR9" s="9"/>
      <c r="BS9" s="9"/>
      <c r="BT9" s="16">
        <v>6110.800599911222</v>
      </c>
      <c r="BU9" s="9"/>
      <c r="BV9" s="11"/>
      <c r="BW9" s="9"/>
      <c r="BX9" s="9" t="s">
        <v>141</v>
      </c>
      <c r="BY9" s="9"/>
      <c r="BZ9" s="9"/>
      <c r="CA9" s="16">
        <v>6084.513983228511</v>
      </c>
      <c r="CB9" s="9"/>
      <c r="CC9" s="11"/>
      <c r="CD9" s="9"/>
      <c r="CE9" s="9" t="s">
        <v>141</v>
      </c>
      <c r="CF9" s="9"/>
      <c r="CG9" s="9"/>
      <c r="CH9" s="16">
        <v>6043.234291898132</v>
      </c>
      <c r="CI9" s="9"/>
      <c r="CJ9" s="11"/>
      <c r="CK9" s="9"/>
      <c r="CL9" s="9" t="s">
        <v>141</v>
      </c>
      <c r="CM9" s="9"/>
      <c r="CN9" s="9"/>
      <c r="CO9" s="16">
        <v>6026.768518120392</v>
      </c>
      <c r="CP9" s="9"/>
      <c r="CQ9" s="11"/>
      <c r="CR9" s="9"/>
    </row>
    <row r="10" spans="1:96" ht="12.75">
      <c r="A10" s="9" t="s">
        <v>12</v>
      </c>
      <c r="B10" s="9"/>
      <c r="C10" s="9"/>
      <c r="D10" s="17">
        <v>21.42945509574412</v>
      </c>
      <c r="E10" s="9" t="s">
        <v>10</v>
      </c>
      <c r="F10" s="11"/>
      <c r="G10" s="9"/>
      <c r="H10" s="9"/>
      <c r="I10" s="33"/>
      <c r="J10" s="9" t="s">
        <v>12</v>
      </c>
      <c r="K10" s="9"/>
      <c r="L10" s="9"/>
      <c r="M10" s="17">
        <v>24.53525118977608</v>
      </c>
      <c r="N10" s="9" t="s">
        <v>10</v>
      </c>
      <c r="O10" s="11"/>
      <c r="P10" s="9"/>
      <c r="Q10" s="33"/>
      <c r="R10" s="9" t="s">
        <v>12</v>
      </c>
      <c r="S10" s="9"/>
      <c r="T10" s="9"/>
      <c r="U10" s="17">
        <v>27.23505445036162</v>
      </c>
      <c r="V10" s="9" t="s">
        <v>10</v>
      </c>
      <c r="W10" s="11"/>
      <c r="X10" s="9"/>
      <c r="Y10" s="33"/>
      <c r="Z10" s="9" t="s">
        <v>12</v>
      </c>
      <c r="AA10" s="9"/>
      <c r="AB10" s="9"/>
      <c r="AC10" s="17">
        <v>30.347074354179135</v>
      </c>
      <c r="AD10" s="9" t="s">
        <v>10</v>
      </c>
      <c r="AE10" s="11"/>
      <c r="AF10" s="9"/>
      <c r="AG10" s="33"/>
      <c r="AH10" s="9" t="s">
        <v>12</v>
      </c>
      <c r="AI10" s="9"/>
      <c r="AJ10" s="9"/>
      <c r="AK10" s="17">
        <v>31.52010361386972</v>
      </c>
      <c r="AL10" s="9" t="s">
        <v>10</v>
      </c>
      <c r="AM10" s="11"/>
      <c r="AN10" s="9"/>
      <c r="AO10" s="9" t="s">
        <v>12</v>
      </c>
      <c r="AP10" s="9"/>
      <c r="AQ10" s="9"/>
      <c r="AR10" s="17">
        <v>33.9312915386005</v>
      </c>
      <c r="AS10" s="9" t="s">
        <v>10</v>
      </c>
      <c r="AT10" s="11"/>
      <c r="AU10" s="9"/>
      <c r="AV10" s="9" t="s">
        <v>12</v>
      </c>
      <c r="AW10" s="9"/>
      <c r="AX10" s="9"/>
      <c r="AY10" s="17">
        <v>35.7308521880121</v>
      </c>
      <c r="AZ10" s="9" t="s">
        <v>10</v>
      </c>
      <c r="BA10" s="11"/>
      <c r="BB10" s="9"/>
      <c r="BC10" s="9" t="s">
        <v>12</v>
      </c>
      <c r="BD10" s="9"/>
      <c r="BE10" s="9"/>
      <c r="BF10" s="17">
        <v>36.145874530816826</v>
      </c>
      <c r="BG10" s="9" t="s">
        <v>10</v>
      </c>
      <c r="BH10" s="11"/>
      <c r="BI10" s="9"/>
      <c r="BJ10" s="9" t="s">
        <v>12</v>
      </c>
      <c r="BK10" s="9"/>
      <c r="BL10" s="9"/>
      <c r="BM10" s="17">
        <v>39.28963887712955</v>
      </c>
      <c r="BN10" s="9" t="s">
        <v>10</v>
      </c>
      <c r="BO10" s="11"/>
      <c r="BP10" s="9"/>
      <c r="BQ10" s="9" t="s">
        <v>12</v>
      </c>
      <c r="BR10" s="9"/>
      <c r="BS10" s="9"/>
      <c r="BT10" s="17">
        <v>42.269078684629385</v>
      </c>
      <c r="BU10" s="9" t="s">
        <v>10</v>
      </c>
      <c r="BV10" s="11"/>
      <c r="BW10" s="9"/>
      <c r="BX10" s="9" t="s">
        <v>12</v>
      </c>
      <c r="BY10" s="9"/>
      <c r="BZ10" s="9"/>
      <c r="CA10" s="17">
        <v>45.468084875121185</v>
      </c>
      <c r="CB10" s="9" t="s">
        <v>10</v>
      </c>
      <c r="CC10" s="11"/>
      <c r="CD10" s="9"/>
      <c r="CE10" s="9" t="s">
        <v>12</v>
      </c>
      <c r="CF10" s="9"/>
      <c r="CG10" s="9"/>
      <c r="CH10" s="17">
        <v>48.69085122928369</v>
      </c>
      <c r="CI10" s="9" t="s">
        <v>10</v>
      </c>
      <c r="CJ10" s="11"/>
      <c r="CK10" s="9"/>
      <c r="CL10" s="9" t="s">
        <v>12</v>
      </c>
      <c r="CM10" s="9"/>
      <c r="CN10" s="9"/>
      <c r="CO10" s="17">
        <v>51.878996423801574</v>
      </c>
      <c r="CP10" s="9" t="s">
        <v>10</v>
      </c>
      <c r="CQ10" s="11"/>
      <c r="CR10" s="9"/>
    </row>
    <row r="11" spans="1:96" ht="12.75">
      <c r="A11" s="9" t="s">
        <v>13</v>
      </c>
      <c r="B11" s="9"/>
      <c r="C11" s="9"/>
      <c r="D11" s="18">
        <v>0.1464</v>
      </c>
      <c r="E11" s="9"/>
      <c r="F11" s="11"/>
      <c r="G11" s="9"/>
      <c r="H11" s="9"/>
      <c r="I11" s="33"/>
      <c r="J11" s="9" t="s">
        <v>13</v>
      </c>
      <c r="K11" s="9"/>
      <c r="L11" s="9"/>
      <c r="M11" s="18">
        <v>0.1465</v>
      </c>
      <c r="N11" s="9"/>
      <c r="O11" s="11"/>
      <c r="P11" s="9"/>
      <c r="Q11" s="33"/>
      <c r="R11" s="9" t="s">
        <v>13</v>
      </c>
      <c r="S11" s="9"/>
      <c r="T11" s="9"/>
      <c r="U11" s="18">
        <v>0.14715007880326003</v>
      </c>
      <c r="V11" s="9"/>
      <c r="W11" s="11"/>
      <c r="X11" s="9"/>
      <c r="Y11" s="33"/>
      <c r="Z11" s="9" t="s">
        <v>13</v>
      </c>
      <c r="AA11" s="9"/>
      <c r="AB11" s="9"/>
      <c r="AC11" s="18">
        <v>0.14685586751247093</v>
      </c>
      <c r="AD11" s="9"/>
      <c r="AE11" s="11"/>
      <c r="AF11" s="9"/>
      <c r="AG11" s="33"/>
      <c r="AH11" s="9" t="s">
        <v>13</v>
      </c>
      <c r="AI11" s="9"/>
      <c r="AJ11" s="9"/>
      <c r="AK11" s="18">
        <v>0.1460697326197406</v>
      </c>
      <c r="AL11" s="9"/>
      <c r="AM11" s="11"/>
      <c r="AN11" s="9"/>
      <c r="AO11" s="9" t="s">
        <v>13</v>
      </c>
      <c r="AP11" s="9"/>
      <c r="AQ11" s="9"/>
      <c r="AR11" s="18">
        <v>0.14554299400082862</v>
      </c>
      <c r="AS11" s="9"/>
      <c r="AT11" s="11"/>
      <c r="AU11" s="9"/>
      <c r="AV11" s="9" t="s">
        <v>13</v>
      </c>
      <c r="AW11" s="9"/>
      <c r="AX11" s="9"/>
      <c r="AY11" s="18">
        <v>0.14492554785284492</v>
      </c>
      <c r="AZ11" s="9"/>
      <c r="BA11" s="11"/>
      <c r="BB11" s="9"/>
      <c r="BC11" s="9" t="s">
        <v>13</v>
      </c>
      <c r="BD11" s="9"/>
      <c r="BE11" s="9"/>
      <c r="BF11" s="18">
        <v>0.14393089589636177</v>
      </c>
      <c r="BG11" s="9"/>
      <c r="BH11" s="11"/>
      <c r="BI11" s="9"/>
      <c r="BJ11" s="9" t="s">
        <v>13</v>
      </c>
      <c r="BK11" s="9"/>
      <c r="BL11" s="9"/>
      <c r="BM11" s="18">
        <v>0.14347288556605092</v>
      </c>
      <c r="BN11" s="9"/>
      <c r="BO11" s="11"/>
      <c r="BP11" s="9"/>
      <c r="BQ11" s="9" t="s">
        <v>13</v>
      </c>
      <c r="BR11" s="9"/>
      <c r="BS11" s="9"/>
      <c r="BT11" s="18">
        <v>0.1433772621797952</v>
      </c>
      <c r="BU11" s="9"/>
      <c r="BV11" s="11"/>
      <c r="BW11" s="9"/>
      <c r="BX11" s="9" t="s">
        <v>13</v>
      </c>
      <c r="BY11" s="9"/>
      <c r="BZ11" s="9"/>
      <c r="CA11" s="18">
        <v>0.14350274489473627</v>
      </c>
      <c r="CB11" s="9"/>
      <c r="CC11" s="11"/>
      <c r="CD11" s="9"/>
      <c r="CE11" s="9" t="s">
        <v>13</v>
      </c>
      <c r="CF11" s="9"/>
      <c r="CG11" s="9"/>
      <c r="CH11" s="18">
        <v>0.14370018774766147</v>
      </c>
      <c r="CI11" s="9"/>
      <c r="CJ11" s="11"/>
      <c r="CK11" s="9"/>
      <c r="CL11" s="9" t="s">
        <v>13</v>
      </c>
      <c r="CM11" s="9"/>
      <c r="CN11" s="9"/>
      <c r="CO11" s="18">
        <v>0.14376059131168814</v>
      </c>
      <c r="CP11" s="9"/>
      <c r="CQ11" s="11"/>
      <c r="CR11" s="9"/>
    </row>
    <row r="12" spans="1:96" ht="12.75">
      <c r="A12" s="9" t="s">
        <v>14</v>
      </c>
      <c r="B12" s="9"/>
      <c r="C12" s="9"/>
      <c r="D12" s="17">
        <v>6.774187757120113</v>
      </c>
      <c r="E12" s="9" t="s">
        <v>77</v>
      </c>
      <c r="F12" s="11"/>
      <c r="G12" s="9"/>
      <c r="H12" s="9"/>
      <c r="I12" s="33"/>
      <c r="J12" s="9" t="s">
        <v>14</v>
      </c>
      <c r="K12" s="9"/>
      <c r="L12" s="9"/>
      <c r="M12" s="17">
        <v>6.62</v>
      </c>
      <c r="N12" s="9" t="s">
        <v>77</v>
      </c>
      <c r="O12" s="11"/>
      <c r="P12" s="9"/>
      <c r="Q12" s="33"/>
      <c r="R12" s="9" t="s">
        <v>14</v>
      </c>
      <c r="S12" s="9"/>
      <c r="T12" s="9"/>
      <c r="U12" s="17">
        <v>6.413493774235001</v>
      </c>
      <c r="V12" s="9" t="s">
        <v>77</v>
      </c>
      <c r="W12" s="11"/>
      <c r="X12" s="9"/>
      <c r="Y12" s="33"/>
      <c r="Z12" s="9" t="s">
        <v>14</v>
      </c>
      <c r="AA12" s="9"/>
      <c r="AB12" s="9"/>
      <c r="AC12" s="17">
        <v>6.210049133504556</v>
      </c>
      <c r="AD12" s="9" t="s">
        <v>77</v>
      </c>
      <c r="AE12" s="11"/>
      <c r="AF12" s="9"/>
      <c r="AG12" s="33"/>
      <c r="AH12" s="9" t="s">
        <v>14</v>
      </c>
      <c r="AI12" s="9"/>
      <c r="AJ12" s="9"/>
      <c r="AK12" s="17">
        <v>6.150157417506804</v>
      </c>
      <c r="AL12" s="9" t="s">
        <v>77</v>
      </c>
      <c r="AM12" s="11"/>
      <c r="AN12" s="9"/>
      <c r="AO12" s="9" t="s">
        <v>14</v>
      </c>
      <c r="AP12" s="9"/>
      <c r="AQ12" s="9"/>
      <c r="AR12" s="17">
        <v>5.845455001997895</v>
      </c>
      <c r="AS12" s="9" t="s">
        <v>77</v>
      </c>
      <c r="AT12" s="11"/>
      <c r="AU12" s="9"/>
      <c r="AV12" s="9" t="s">
        <v>14</v>
      </c>
      <c r="AW12" s="9"/>
      <c r="AX12" s="9"/>
      <c r="AY12" s="17">
        <v>5.694029856347577</v>
      </c>
      <c r="AZ12" s="9" t="s">
        <v>77</v>
      </c>
      <c r="BA12" s="11"/>
      <c r="BB12" s="9"/>
      <c r="BC12" s="9" t="s">
        <v>14</v>
      </c>
      <c r="BD12" s="9"/>
      <c r="BE12" s="9"/>
      <c r="BF12" s="17">
        <v>5.958867773768329</v>
      </c>
      <c r="BG12" s="9" t="s">
        <v>77</v>
      </c>
      <c r="BH12" s="11"/>
      <c r="BI12" s="9"/>
      <c r="BJ12" s="9" t="s">
        <v>14</v>
      </c>
      <c r="BK12" s="9"/>
      <c r="BL12" s="9"/>
      <c r="BM12" s="17">
        <v>6.844685210273538</v>
      </c>
      <c r="BN12" s="9" t="s">
        <v>77</v>
      </c>
      <c r="BO12" s="11"/>
      <c r="BP12" s="9"/>
      <c r="BQ12" s="9" t="s">
        <v>14</v>
      </c>
      <c r="BR12" s="9"/>
      <c r="BS12" s="9"/>
      <c r="BT12" s="17">
        <v>6.6067594851445435</v>
      </c>
      <c r="BU12" s="9" t="s">
        <v>77</v>
      </c>
      <c r="BV12" s="11"/>
      <c r="BW12" s="9"/>
      <c r="BX12" s="9" t="s">
        <v>14</v>
      </c>
      <c r="BY12" s="9"/>
      <c r="BZ12" s="9"/>
      <c r="CA12" s="17">
        <v>6.370708030859473</v>
      </c>
      <c r="CB12" s="9" t="s">
        <v>77</v>
      </c>
      <c r="CC12" s="11"/>
      <c r="CD12" s="9"/>
      <c r="CE12" s="9" t="s">
        <v>14</v>
      </c>
      <c r="CF12" s="9"/>
      <c r="CG12" s="9"/>
      <c r="CH12" s="17">
        <v>6.124997221143509</v>
      </c>
      <c r="CI12" s="9" t="s">
        <v>77</v>
      </c>
      <c r="CJ12" s="11"/>
      <c r="CK12" s="9"/>
      <c r="CL12" s="9" t="s">
        <v>14</v>
      </c>
      <c r="CM12" s="9"/>
      <c r="CN12" s="9"/>
      <c r="CO12" s="17">
        <v>5.88564043111857</v>
      </c>
      <c r="CP12" s="9" t="s">
        <v>77</v>
      </c>
      <c r="CQ12" s="11"/>
      <c r="CR12" s="9"/>
    </row>
    <row r="13" spans="1:96" ht="12.75">
      <c r="A13" s="9"/>
      <c r="B13" s="9"/>
      <c r="C13" s="9"/>
      <c r="D13" s="11"/>
      <c r="E13" s="9"/>
      <c r="F13" s="11"/>
      <c r="G13" s="9"/>
      <c r="H13" s="9"/>
      <c r="I13" s="9"/>
      <c r="J13" s="9"/>
      <c r="K13" s="9"/>
      <c r="L13" s="9"/>
      <c r="M13" s="11"/>
      <c r="N13" s="9"/>
      <c r="O13" s="11"/>
      <c r="P13" s="9"/>
      <c r="Q13" s="9"/>
      <c r="R13" s="9"/>
      <c r="S13" s="9"/>
      <c r="T13" s="9"/>
      <c r="U13" s="11"/>
      <c r="V13" s="9"/>
      <c r="W13" s="11"/>
      <c r="X13" s="9"/>
      <c r="Y13" s="9"/>
      <c r="Z13" s="9"/>
      <c r="AA13" s="9"/>
      <c r="AB13" s="9"/>
      <c r="AC13" s="11"/>
      <c r="AD13" s="9"/>
      <c r="AE13" s="11"/>
      <c r="AF13" s="9"/>
      <c r="AG13" s="9"/>
      <c r="AH13" s="9"/>
      <c r="AI13" s="9"/>
      <c r="AJ13" s="9"/>
      <c r="AK13" s="11"/>
      <c r="AL13" s="9"/>
      <c r="AM13" s="11"/>
      <c r="AN13" s="9"/>
      <c r="AO13" s="9"/>
      <c r="AP13" s="9"/>
      <c r="AQ13" s="9"/>
      <c r="AR13" s="11"/>
      <c r="AS13" s="9"/>
      <c r="AT13" s="11"/>
      <c r="AU13" s="9"/>
      <c r="AV13" s="9"/>
      <c r="AW13" s="9"/>
      <c r="AX13" s="9"/>
      <c r="AY13" s="11"/>
      <c r="AZ13" s="9"/>
      <c r="BA13" s="11"/>
      <c r="BB13" s="9"/>
      <c r="BC13" s="9"/>
      <c r="BD13" s="9"/>
      <c r="BE13" s="9"/>
      <c r="BF13" s="11"/>
      <c r="BG13" s="9"/>
      <c r="BH13" s="11"/>
      <c r="BI13" s="9"/>
      <c r="BJ13" s="9"/>
      <c r="BK13" s="9"/>
      <c r="BL13" s="9"/>
      <c r="BM13" s="11"/>
      <c r="BN13" s="9"/>
      <c r="BO13" s="11"/>
      <c r="BP13" s="9"/>
      <c r="BQ13" s="9"/>
      <c r="BR13" s="9"/>
      <c r="BS13" s="9"/>
      <c r="BT13" s="11"/>
      <c r="BU13" s="9"/>
      <c r="BV13" s="11"/>
      <c r="BW13" s="9"/>
      <c r="BX13" s="9"/>
      <c r="BY13" s="9"/>
      <c r="BZ13" s="9"/>
      <c r="CA13" s="11"/>
      <c r="CB13" s="9"/>
      <c r="CC13" s="11"/>
      <c r="CD13" s="9"/>
      <c r="CE13" s="9"/>
      <c r="CF13" s="9"/>
      <c r="CG13" s="9"/>
      <c r="CH13" s="11"/>
      <c r="CI13" s="9"/>
      <c r="CJ13" s="11"/>
      <c r="CK13" s="9"/>
      <c r="CL13" s="9"/>
      <c r="CM13" s="9"/>
      <c r="CN13" s="9"/>
      <c r="CO13" s="11"/>
      <c r="CP13" s="9"/>
      <c r="CQ13" s="11"/>
      <c r="CR13" s="9"/>
    </row>
    <row r="14" spans="1:96" ht="12.75">
      <c r="A14" s="9"/>
      <c r="B14" s="9"/>
      <c r="C14" s="9"/>
      <c r="D14" s="11"/>
      <c r="E14" s="9"/>
      <c r="F14" s="11"/>
      <c r="G14" s="9"/>
      <c r="H14" s="9"/>
      <c r="I14" s="9"/>
      <c r="J14" s="9"/>
      <c r="K14" s="9"/>
      <c r="L14" s="9"/>
      <c r="M14" s="11"/>
      <c r="N14" s="9"/>
      <c r="O14" s="11"/>
      <c r="P14" s="9"/>
      <c r="Q14" s="9"/>
      <c r="R14" s="9"/>
      <c r="S14" s="9"/>
      <c r="T14" s="9"/>
      <c r="U14" s="11"/>
      <c r="V14" s="9"/>
      <c r="W14" s="11"/>
      <c r="X14" s="9"/>
      <c r="Y14" s="9"/>
      <c r="Z14" s="9"/>
      <c r="AA14" s="9"/>
      <c r="AB14" s="9"/>
      <c r="AC14" s="11"/>
      <c r="AD14" s="9"/>
      <c r="AE14" s="11"/>
      <c r="AF14" s="9"/>
      <c r="AG14" s="9"/>
      <c r="AH14" s="9"/>
      <c r="AI14" s="9"/>
      <c r="AJ14" s="9"/>
      <c r="AK14" s="11"/>
      <c r="AL14" s="9"/>
      <c r="AM14" s="11"/>
      <c r="AN14" s="9"/>
      <c r="AO14" s="9"/>
      <c r="AP14" s="9"/>
      <c r="AQ14" s="9"/>
      <c r="AR14" s="11"/>
      <c r="AS14" s="9"/>
      <c r="AT14" s="11"/>
      <c r="AU14" s="9"/>
      <c r="AV14" s="9"/>
      <c r="AW14" s="9"/>
      <c r="AX14" s="9"/>
      <c r="AY14" s="11"/>
      <c r="AZ14" s="9"/>
      <c r="BA14" s="11"/>
      <c r="BB14" s="9"/>
      <c r="BC14" s="9"/>
      <c r="BD14" s="9"/>
      <c r="BE14" s="9"/>
      <c r="BF14" s="11"/>
      <c r="BG14" s="9"/>
      <c r="BH14" s="11"/>
      <c r="BI14" s="9"/>
      <c r="BJ14" s="9"/>
      <c r="BK14" s="9"/>
      <c r="BL14" s="9"/>
      <c r="BM14" s="11"/>
      <c r="BN14" s="9"/>
      <c r="BO14" s="11"/>
      <c r="BP14" s="9"/>
      <c r="BQ14" s="9"/>
      <c r="BR14" s="9"/>
      <c r="BS14" s="9"/>
      <c r="BT14" s="11"/>
      <c r="BU14" s="9"/>
      <c r="BV14" s="11"/>
      <c r="BW14" s="9"/>
      <c r="BX14" s="9"/>
      <c r="BY14" s="9"/>
      <c r="BZ14" s="9"/>
      <c r="CA14" s="11"/>
      <c r="CB14" s="9"/>
      <c r="CC14" s="11"/>
      <c r="CD14" s="9"/>
      <c r="CE14" s="9"/>
      <c r="CF14" s="9"/>
      <c r="CG14" s="9"/>
      <c r="CH14" s="11"/>
      <c r="CI14" s="9"/>
      <c r="CJ14" s="11"/>
      <c r="CK14" s="9"/>
      <c r="CL14" s="9"/>
      <c r="CM14" s="9"/>
      <c r="CN14" s="9"/>
      <c r="CO14" s="11"/>
      <c r="CP14" s="9"/>
      <c r="CQ14" s="11"/>
      <c r="CR14" s="9"/>
    </row>
    <row r="15" spans="1:96" ht="12.75">
      <c r="A15" s="20" t="s">
        <v>106</v>
      </c>
      <c r="B15" s="9"/>
      <c r="C15" s="9"/>
      <c r="D15" s="11"/>
      <c r="E15" s="9"/>
      <c r="F15" s="11"/>
      <c r="G15" s="9"/>
      <c r="H15" s="9"/>
      <c r="I15" s="9"/>
      <c r="J15" s="20" t="s">
        <v>106</v>
      </c>
      <c r="K15" s="9"/>
      <c r="L15" s="9"/>
      <c r="M15" s="11"/>
      <c r="N15" s="9"/>
      <c r="O15" s="11"/>
      <c r="P15" s="9"/>
      <c r="Q15" s="9"/>
      <c r="R15" s="20" t="s">
        <v>106</v>
      </c>
      <c r="S15" s="9"/>
      <c r="T15" s="9"/>
      <c r="U15" s="11"/>
      <c r="V15" s="9"/>
      <c r="W15" s="11"/>
      <c r="X15" s="9"/>
      <c r="Y15" s="9"/>
      <c r="Z15" s="20" t="s">
        <v>106</v>
      </c>
      <c r="AA15" s="9"/>
      <c r="AB15" s="9"/>
      <c r="AC15" s="11"/>
      <c r="AD15" s="9"/>
      <c r="AE15" s="11"/>
      <c r="AF15" s="9"/>
      <c r="AG15" s="9"/>
      <c r="AH15" s="20" t="s">
        <v>106</v>
      </c>
      <c r="AI15" s="9"/>
      <c r="AJ15" s="9"/>
      <c r="AK15" s="11"/>
      <c r="AL15" s="9"/>
      <c r="AM15" s="11"/>
      <c r="AN15" s="9"/>
      <c r="AO15" s="20" t="s">
        <v>106</v>
      </c>
      <c r="AP15" s="9"/>
      <c r="AQ15" s="9"/>
      <c r="AR15" s="11"/>
      <c r="AS15" s="9"/>
      <c r="AT15" s="11"/>
      <c r="AU15" s="9"/>
      <c r="AV15" s="20" t="s">
        <v>106</v>
      </c>
      <c r="AW15" s="9"/>
      <c r="AX15" s="9"/>
      <c r="AY15" s="11"/>
      <c r="AZ15" s="9"/>
      <c r="BA15" s="11"/>
      <c r="BB15" s="9"/>
      <c r="BC15" s="20" t="s">
        <v>106</v>
      </c>
      <c r="BD15" s="9"/>
      <c r="BE15" s="9"/>
      <c r="BF15" s="11"/>
      <c r="BG15" s="9"/>
      <c r="BH15" s="11"/>
      <c r="BI15" s="9"/>
      <c r="BJ15" s="20" t="s">
        <v>106</v>
      </c>
      <c r="BK15" s="9"/>
      <c r="BL15" s="9"/>
      <c r="BM15" s="11"/>
      <c r="BN15" s="9"/>
      <c r="BO15" s="11"/>
      <c r="BP15" s="9"/>
      <c r="BQ15" s="20" t="s">
        <v>106</v>
      </c>
      <c r="BR15" s="9"/>
      <c r="BS15" s="9"/>
      <c r="BT15" s="11"/>
      <c r="BU15" s="9"/>
      <c r="BV15" s="11"/>
      <c r="BW15" s="9"/>
      <c r="BX15" s="20" t="s">
        <v>106</v>
      </c>
      <c r="BY15" s="9"/>
      <c r="BZ15" s="9"/>
      <c r="CA15" s="11"/>
      <c r="CB15" s="9"/>
      <c r="CC15" s="11"/>
      <c r="CD15" s="9"/>
      <c r="CE15" s="20" t="s">
        <v>106</v>
      </c>
      <c r="CF15" s="9"/>
      <c r="CG15" s="9"/>
      <c r="CH15" s="11"/>
      <c r="CI15" s="9"/>
      <c r="CJ15" s="11"/>
      <c r="CK15" s="9"/>
      <c r="CL15" s="20" t="s">
        <v>106</v>
      </c>
      <c r="CM15" s="9"/>
      <c r="CN15" s="9"/>
      <c r="CO15" s="11"/>
      <c r="CP15" s="9"/>
      <c r="CQ15" s="11"/>
      <c r="CR15" s="9"/>
    </row>
    <row r="16" spans="1:96" ht="12.75">
      <c r="A16" s="20"/>
      <c r="B16" s="9"/>
      <c r="C16" s="9"/>
      <c r="D16" s="11"/>
      <c r="E16" s="9"/>
      <c r="F16" s="11"/>
      <c r="G16" s="9"/>
      <c r="H16" s="9"/>
      <c r="I16" s="9"/>
      <c r="J16" s="20"/>
      <c r="K16" s="9"/>
      <c r="L16" s="9"/>
      <c r="M16" s="11"/>
      <c r="N16" s="9"/>
      <c r="O16" s="11"/>
      <c r="P16" s="9"/>
      <c r="Q16" s="9"/>
      <c r="R16" s="20"/>
      <c r="S16" s="9"/>
      <c r="T16" s="9"/>
      <c r="U16" s="11"/>
      <c r="V16" s="9"/>
      <c r="W16" s="11"/>
      <c r="X16" s="9"/>
      <c r="Y16" s="9"/>
      <c r="Z16" s="20"/>
      <c r="AA16" s="9"/>
      <c r="AB16" s="9"/>
      <c r="AC16" s="11"/>
      <c r="AD16" s="9"/>
      <c r="AE16" s="11"/>
      <c r="AF16" s="9"/>
      <c r="AG16" s="9"/>
      <c r="AH16" s="20"/>
      <c r="AI16" s="9"/>
      <c r="AJ16" s="9"/>
      <c r="AK16" s="11"/>
      <c r="AL16" s="9"/>
      <c r="AM16" s="11"/>
      <c r="AN16" s="9"/>
      <c r="AO16" s="20"/>
      <c r="AP16" s="9"/>
      <c r="AQ16" s="9"/>
      <c r="AR16" s="11"/>
      <c r="AS16" s="9"/>
      <c r="AT16" s="11"/>
      <c r="AU16" s="9"/>
      <c r="AV16" s="20"/>
      <c r="AW16" s="9"/>
      <c r="AX16" s="9"/>
      <c r="AY16" s="11"/>
      <c r="AZ16" s="9"/>
      <c r="BA16" s="11"/>
      <c r="BB16" s="9"/>
      <c r="BC16" s="20"/>
      <c r="BD16" s="9"/>
      <c r="BE16" s="9"/>
      <c r="BF16" s="11"/>
      <c r="BG16" s="9"/>
      <c r="BH16" s="11"/>
      <c r="BI16" s="9"/>
      <c r="BJ16" s="20"/>
      <c r="BK16" s="9"/>
      <c r="BL16" s="9"/>
      <c r="BM16" s="11"/>
      <c r="BN16" s="9"/>
      <c r="BO16" s="11"/>
      <c r="BP16" s="9"/>
      <c r="BQ16" s="20"/>
      <c r="BR16" s="9"/>
      <c r="BS16" s="9"/>
      <c r="BT16" s="11"/>
      <c r="BU16" s="9"/>
      <c r="BV16" s="11"/>
      <c r="BW16" s="9"/>
      <c r="BX16" s="20"/>
      <c r="BY16" s="9"/>
      <c r="BZ16" s="9"/>
      <c r="CA16" s="11"/>
      <c r="CB16" s="9"/>
      <c r="CC16" s="11"/>
      <c r="CD16" s="9"/>
      <c r="CE16" s="20"/>
      <c r="CF16" s="9"/>
      <c r="CG16" s="9"/>
      <c r="CH16" s="11"/>
      <c r="CI16" s="9"/>
      <c r="CJ16" s="11"/>
      <c r="CK16" s="9"/>
      <c r="CL16" s="20"/>
      <c r="CM16" s="9"/>
      <c r="CN16" s="9"/>
      <c r="CO16" s="11"/>
      <c r="CP16" s="9"/>
      <c r="CQ16" s="11"/>
      <c r="CR16" s="9"/>
    </row>
    <row r="17" spans="1:96" s="30" customFormat="1" ht="12.75">
      <c r="A17" s="26"/>
      <c r="B17" s="27"/>
      <c r="C17" s="27"/>
      <c r="D17" s="28" t="s">
        <v>143</v>
      </c>
      <c r="E17" s="27" t="s">
        <v>96</v>
      </c>
      <c r="F17" s="29" t="s">
        <v>97</v>
      </c>
      <c r="G17" s="27" t="s">
        <v>96</v>
      </c>
      <c r="H17" s="26"/>
      <c r="I17" s="26"/>
      <c r="J17" s="28" t="s">
        <v>143</v>
      </c>
      <c r="K17" s="27" t="s">
        <v>96</v>
      </c>
      <c r="L17" s="29" t="s">
        <v>97</v>
      </c>
      <c r="M17" s="27" t="s">
        <v>96</v>
      </c>
      <c r="N17" s="65"/>
      <c r="O17" s="66"/>
      <c r="P17" s="65"/>
      <c r="Q17" s="26"/>
      <c r="R17" s="28" t="s">
        <v>143</v>
      </c>
      <c r="S17" s="27" t="s">
        <v>96</v>
      </c>
      <c r="T17" s="29" t="s">
        <v>97</v>
      </c>
      <c r="U17" s="27" t="s">
        <v>96</v>
      </c>
      <c r="V17" s="65"/>
      <c r="W17" s="66"/>
      <c r="X17" s="65"/>
      <c r="Y17" s="26"/>
      <c r="Z17" s="28" t="s">
        <v>143</v>
      </c>
      <c r="AA17" s="27" t="s">
        <v>96</v>
      </c>
      <c r="AB17" s="29" t="s">
        <v>97</v>
      </c>
      <c r="AC17" s="27" t="s">
        <v>96</v>
      </c>
      <c r="AD17" s="65"/>
      <c r="AE17" s="66"/>
      <c r="AF17" s="65"/>
      <c r="AG17" s="26"/>
      <c r="AH17" s="28" t="s">
        <v>143</v>
      </c>
      <c r="AI17" s="27" t="s">
        <v>96</v>
      </c>
      <c r="AJ17" s="29" t="s">
        <v>97</v>
      </c>
      <c r="AK17" s="27" t="s">
        <v>96</v>
      </c>
      <c r="AL17" s="65"/>
      <c r="AM17" s="66"/>
      <c r="AN17" s="65"/>
      <c r="AO17" s="28" t="s">
        <v>143</v>
      </c>
      <c r="AP17" s="27" t="s">
        <v>96</v>
      </c>
      <c r="AQ17" s="29" t="s">
        <v>97</v>
      </c>
      <c r="AR17" s="27" t="s">
        <v>96</v>
      </c>
      <c r="AS17" s="65"/>
      <c r="AT17" s="66"/>
      <c r="AU17" s="65"/>
      <c r="AV17" s="94" t="s">
        <v>143</v>
      </c>
      <c r="AW17" s="45" t="s">
        <v>96</v>
      </c>
      <c r="AX17" s="93" t="s">
        <v>97</v>
      </c>
      <c r="AY17" s="27" t="s">
        <v>96</v>
      </c>
      <c r="AZ17" s="65"/>
      <c r="BA17" s="66"/>
      <c r="BB17" s="65"/>
      <c r="BC17" s="94" t="s">
        <v>143</v>
      </c>
      <c r="BD17" s="45" t="s">
        <v>96</v>
      </c>
      <c r="BE17" s="93" t="s">
        <v>97</v>
      </c>
      <c r="BF17" s="27" t="s">
        <v>96</v>
      </c>
      <c r="BG17" s="65"/>
      <c r="BH17" s="66"/>
      <c r="BI17" s="65"/>
      <c r="BJ17" s="94" t="s">
        <v>143</v>
      </c>
      <c r="BK17" s="45" t="s">
        <v>96</v>
      </c>
      <c r="BL17" s="93" t="s">
        <v>97</v>
      </c>
      <c r="BM17" s="27" t="s">
        <v>96</v>
      </c>
      <c r="BN17" s="65"/>
      <c r="BO17" s="66"/>
      <c r="BP17" s="65"/>
      <c r="BQ17" s="94" t="s">
        <v>143</v>
      </c>
      <c r="BR17" s="45" t="s">
        <v>96</v>
      </c>
      <c r="BS17" s="93" t="s">
        <v>97</v>
      </c>
      <c r="BT17" s="27" t="s">
        <v>96</v>
      </c>
      <c r="BU17" s="65"/>
      <c r="BV17" s="66"/>
      <c r="BW17" s="65"/>
      <c r="BX17" s="94" t="s">
        <v>143</v>
      </c>
      <c r="BY17" s="45" t="s">
        <v>96</v>
      </c>
      <c r="BZ17" s="93" t="s">
        <v>97</v>
      </c>
      <c r="CA17" s="27" t="s">
        <v>96</v>
      </c>
      <c r="CB17" s="65"/>
      <c r="CC17" s="66"/>
      <c r="CD17" s="65"/>
      <c r="CE17" s="94" t="s">
        <v>143</v>
      </c>
      <c r="CF17" s="45" t="s">
        <v>96</v>
      </c>
      <c r="CG17" s="93" t="s">
        <v>97</v>
      </c>
      <c r="CH17" s="27" t="s">
        <v>96</v>
      </c>
      <c r="CI17" s="65"/>
      <c r="CJ17" s="66"/>
      <c r="CK17" s="65"/>
      <c r="CL17" s="94" t="s">
        <v>143</v>
      </c>
      <c r="CM17" s="45" t="s">
        <v>96</v>
      </c>
      <c r="CN17" s="93" t="s">
        <v>97</v>
      </c>
      <c r="CO17" s="27" t="s">
        <v>96</v>
      </c>
      <c r="CP17" s="65"/>
      <c r="CQ17" s="66"/>
      <c r="CR17" s="65"/>
    </row>
    <row r="18" spans="1:96" ht="12.75">
      <c r="A18" s="13"/>
      <c r="B18" s="9"/>
      <c r="C18" s="9"/>
      <c r="D18" s="11"/>
      <c r="E18" s="9"/>
      <c r="F18" s="11"/>
      <c r="G18" s="38"/>
      <c r="H18" s="9"/>
      <c r="I18" s="9"/>
      <c r="J18" s="11"/>
      <c r="K18" s="9"/>
      <c r="L18" s="11"/>
      <c r="M18" s="38"/>
      <c r="N18" s="55"/>
      <c r="O18" s="56"/>
      <c r="P18" s="72"/>
      <c r="Q18" s="9"/>
      <c r="R18" s="11"/>
      <c r="S18" s="9"/>
      <c r="T18" s="11"/>
      <c r="U18" s="38"/>
      <c r="V18" s="55"/>
      <c r="W18" s="56"/>
      <c r="X18" s="72"/>
      <c r="Y18" s="9"/>
      <c r="Z18" s="11"/>
      <c r="AA18" s="9"/>
      <c r="AB18" s="11"/>
      <c r="AC18" s="38"/>
      <c r="AD18" s="55"/>
      <c r="AE18" s="56"/>
      <c r="AF18" s="72"/>
      <c r="AG18" s="9"/>
      <c r="AH18" s="11"/>
      <c r="AI18" s="9"/>
      <c r="AJ18" s="11"/>
      <c r="AK18" s="38"/>
      <c r="AL18" s="55"/>
      <c r="AM18" s="56"/>
      <c r="AN18" s="72"/>
      <c r="AO18" s="11"/>
      <c r="AP18" s="9"/>
      <c r="AQ18" s="11"/>
      <c r="AR18" s="38"/>
      <c r="AS18" s="55"/>
      <c r="AT18" s="56"/>
      <c r="AU18" s="72"/>
      <c r="AV18" s="11"/>
      <c r="AW18" s="9"/>
      <c r="AX18" s="11"/>
      <c r="AY18" s="38"/>
      <c r="AZ18" s="55"/>
      <c r="BA18" s="56"/>
      <c r="BB18" s="72"/>
      <c r="BC18" s="11"/>
      <c r="BD18" s="9"/>
      <c r="BE18" s="11"/>
      <c r="BF18" s="38"/>
      <c r="BG18" s="55"/>
      <c r="BH18" s="56"/>
      <c r="BI18" s="72"/>
      <c r="BJ18" s="11"/>
      <c r="BK18" s="9"/>
      <c r="BL18" s="11"/>
      <c r="BM18" s="38"/>
      <c r="BN18" s="55"/>
      <c r="BO18" s="56"/>
      <c r="BP18" s="72"/>
      <c r="BQ18" s="11"/>
      <c r="BR18" s="9"/>
      <c r="BS18" s="11"/>
      <c r="BT18" s="38"/>
      <c r="BU18" s="55"/>
      <c r="BV18" s="56"/>
      <c r="BW18" s="72"/>
      <c r="BX18" s="11"/>
      <c r="BY18" s="9"/>
      <c r="BZ18" s="11"/>
      <c r="CA18" s="38"/>
      <c r="CB18" s="55"/>
      <c r="CC18" s="56"/>
      <c r="CD18" s="72"/>
      <c r="CE18" s="11"/>
      <c r="CF18" s="9"/>
      <c r="CG18" s="11"/>
      <c r="CH18" s="38"/>
      <c r="CI18" s="55"/>
      <c r="CJ18" s="56"/>
      <c r="CK18" s="72"/>
      <c r="CL18" s="11"/>
      <c r="CM18" s="9"/>
      <c r="CN18" s="11"/>
      <c r="CO18" s="38"/>
      <c r="CP18" s="55"/>
      <c r="CQ18" s="56"/>
      <c r="CR18" s="72"/>
    </row>
    <row r="19" spans="1:96" ht="12.75">
      <c r="A19" s="9" t="s">
        <v>24</v>
      </c>
      <c r="B19" s="9"/>
      <c r="C19" s="9"/>
      <c r="D19" s="10">
        <v>3219335.76</v>
      </c>
      <c r="E19" s="15">
        <v>0.01672574854250407</v>
      </c>
      <c r="F19" s="11">
        <v>1962</v>
      </c>
      <c r="G19" s="15">
        <v>0.06550918196994991</v>
      </c>
      <c r="H19" s="9"/>
      <c r="I19" s="9"/>
      <c r="J19" s="10">
        <v>4320082.84</v>
      </c>
      <c r="K19" s="15">
        <v>0.024143541605946773</v>
      </c>
      <c r="L19" s="11">
        <v>2245</v>
      </c>
      <c r="M19" s="15">
        <v>0.08302514792899408</v>
      </c>
      <c r="N19" s="57"/>
      <c r="O19" s="56"/>
      <c r="P19" s="57"/>
      <c r="Q19" s="9"/>
      <c r="R19" s="10">
        <v>5108630.06</v>
      </c>
      <c r="S19" s="15">
        <v>0.030584604022538535</v>
      </c>
      <c r="T19" s="11">
        <v>2397</v>
      </c>
      <c r="U19" s="15">
        <v>0.09350862136225326</v>
      </c>
      <c r="V19" s="57"/>
      <c r="W19" s="56"/>
      <c r="X19" s="57"/>
      <c r="Y19" s="9"/>
      <c r="Z19" s="10">
        <v>5895704.930000012</v>
      </c>
      <c r="AA19" s="15">
        <v>0.03788936376983168</v>
      </c>
      <c r="AB19" s="11">
        <v>2581</v>
      </c>
      <c r="AC19" s="15">
        <v>0.10648129048228062</v>
      </c>
      <c r="AD19" s="57"/>
      <c r="AE19" s="56"/>
      <c r="AF19" s="57"/>
      <c r="AG19" s="9"/>
      <c r="AH19" s="10">
        <v>5864896.4700000025</v>
      </c>
      <c r="AI19" s="15">
        <v>0.04069127141111391</v>
      </c>
      <c r="AJ19" s="11">
        <v>2461</v>
      </c>
      <c r="AK19" s="15">
        <v>0.10757999650288512</v>
      </c>
      <c r="AL19" s="57"/>
      <c r="AM19" s="56"/>
      <c r="AN19" s="57"/>
      <c r="AO19" s="10">
        <v>6967257.409999988</v>
      </c>
      <c r="AP19" s="15">
        <v>0.052204680493327535</v>
      </c>
      <c r="AQ19" s="11">
        <v>2781</v>
      </c>
      <c r="AR19" s="15">
        <v>0.13234664255460904</v>
      </c>
      <c r="AS19" s="57"/>
      <c r="AT19" s="56"/>
      <c r="AU19" s="57"/>
      <c r="AV19" s="10">
        <v>7686088.640000024</v>
      </c>
      <c r="AW19" s="15">
        <v>0.0621130672771906</v>
      </c>
      <c r="AX19" s="11">
        <v>2948</v>
      </c>
      <c r="AY19" s="15">
        <v>0.14973587972368957</v>
      </c>
      <c r="AZ19" s="57"/>
      <c r="BA19" s="56"/>
      <c r="BB19" s="57"/>
      <c r="BC19" s="10">
        <v>5127446.57</v>
      </c>
      <c r="BD19" s="15">
        <v>0.045861406196453715</v>
      </c>
      <c r="BE19" s="11">
        <v>1745</v>
      </c>
      <c r="BF19" s="15">
        <v>0.09742072353729343</v>
      </c>
      <c r="BG19" s="57"/>
      <c r="BH19" s="56"/>
      <c r="BI19" s="57"/>
      <c r="BJ19" s="10">
        <v>3108025.38</v>
      </c>
      <c r="BK19" s="15">
        <v>0.02981723496630839</v>
      </c>
      <c r="BL19" s="11">
        <v>833</v>
      </c>
      <c r="BM19" s="15">
        <v>0.0494567476102832</v>
      </c>
      <c r="BN19" s="57"/>
      <c r="BO19" s="56"/>
      <c r="BP19" s="57"/>
      <c r="BQ19" s="10">
        <v>3569704.86</v>
      </c>
      <c r="BR19" s="15">
        <v>0.03704503801239236</v>
      </c>
      <c r="BS19" s="11">
        <v>953</v>
      </c>
      <c r="BT19" s="15">
        <v>0.06043503075654766</v>
      </c>
      <c r="BU19" s="57"/>
      <c r="BV19" s="56"/>
      <c r="BW19" s="57"/>
      <c r="BX19" s="10">
        <v>4051660.72</v>
      </c>
      <c r="BY19" s="15">
        <v>0.04503260856002863</v>
      </c>
      <c r="BZ19" s="11">
        <v>1049</v>
      </c>
      <c r="CA19" s="15">
        <v>0.07094069114762967</v>
      </c>
      <c r="CB19" s="57"/>
      <c r="CC19" s="56"/>
      <c r="CD19" s="57"/>
      <c r="CE19" s="10">
        <v>4659202.59</v>
      </c>
      <c r="CF19" s="15">
        <v>0.055622127894728826</v>
      </c>
      <c r="CG19" s="11">
        <v>1207</v>
      </c>
      <c r="CH19" s="15">
        <v>0.08707885433951375</v>
      </c>
      <c r="CI19" s="57"/>
      <c r="CJ19" s="56"/>
      <c r="CK19" s="57"/>
      <c r="CL19" s="10">
        <v>4897730.85</v>
      </c>
      <c r="CM19" s="15">
        <v>0.06239733146381371</v>
      </c>
      <c r="CN19" s="11">
        <v>1252</v>
      </c>
      <c r="CO19" s="15">
        <v>0.09613022113022113</v>
      </c>
      <c r="CP19" s="57"/>
      <c r="CQ19" s="56"/>
      <c r="CR19" s="57"/>
    </row>
    <row r="20" spans="1:96" ht="12.75">
      <c r="A20" s="9" t="s">
        <v>25</v>
      </c>
      <c r="B20" s="9"/>
      <c r="C20" s="9"/>
      <c r="D20" s="10">
        <v>7422278.250000017</v>
      </c>
      <c r="E20" s="15">
        <v>0.03856173101434987</v>
      </c>
      <c r="F20" s="11">
        <v>2515</v>
      </c>
      <c r="G20" s="15">
        <v>0.08397328881469115</v>
      </c>
      <c r="H20" s="9"/>
      <c r="I20" s="9"/>
      <c r="J20" s="10">
        <v>7439542.590000001</v>
      </c>
      <c r="K20" s="15">
        <v>0.04157719023065725</v>
      </c>
      <c r="L20" s="11">
        <v>2390</v>
      </c>
      <c r="M20" s="15">
        <v>0.08838757396449703</v>
      </c>
      <c r="N20" s="57"/>
      <c r="O20" s="56"/>
      <c r="P20" s="57"/>
      <c r="Q20" s="9"/>
      <c r="R20" s="10">
        <v>7057591.130000003</v>
      </c>
      <c r="S20" s="15">
        <v>0.042252742423872135</v>
      </c>
      <c r="T20" s="11">
        <v>2334</v>
      </c>
      <c r="U20" s="15">
        <v>0.09105094795974097</v>
      </c>
      <c r="V20" s="57"/>
      <c r="W20" s="56"/>
      <c r="X20" s="57"/>
      <c r="Y20" s="9"/>
      <c r="Z20" s="10">
        <v>7529919.380000002</v>
      </c>
      <c r="AA20" s="15">
        <v>0.04839181369043259</v>
      </c>
      <c r="AB20" s="11">
        <v>2416</v>
      </c>
      <c r="AC20" s="15">
        <v>0.09967407896365361</v>
      </c>
      <c r="AD20" s="57"/>
      <c r="AE20" s="56"/>
      <c r="AF20" s="57"/>
      <c r="AG20" s="9"/>
      <c r="AH20" s="10">
        <v>6825490.599999988</v>
      </c>
      <c r="AI20" s="15">
        <v>0.04735597498426193</v>
      </c>
      <c r="AJ20" s="11">
        <v>2318</v>
      </c>
      <c r="AK20" s="15">
        <v>0.10132890365448505</v>
      </c>
      <c r="AL20" s="57"/>
      <c r="AM20" s="56"/>
      <c r="AN20" s="57"/>
      <c r="AO20" s="10">
        <v>5728616.5799999945</v>
      </c>
      <c r="AP20" s="15">
        <v>0.042923718850754924</v>
      </c>
      <c r="AQ20" s="11">
        <v>1944</v>
      </c>
      <c r="AR20" s="15">
        <v>0.09251415790225098</v>
      </c>
      <c r="AS20" s="57"/>
      <c r="AT20" s="56"/>
      <c r="AU20" s="57"/>
      <c r="AV20" s="10">
        <v>5954165.359999999</v>
      </c>
      <c r="AW20" s="15">
        <v>0.04811699303863305</v>
      </c>
      <c r="AX20" s="11">
        <v>1836</v>
      </c>
      <c r="AY20" s="15">
        <v>0.09325477448191792</v>
      </c>
      <c r="AZ20" s="57"/>
      <c r="BA20" s="56"/>
      <c r="BB20" s="57"/>
      <c r="BC20" s="10">
        <v>4897626.37</v>
      </c>
      <c r="BD20" s="15">
        <v>0.04380582601624902</v>
      </c>
      <c r="BE20" s="11">
        <v>1847</v>
      </c>
      <c r="BF20" s="15">
        <v>0.10311523001339884</v>
      </c>
      <c r="BG20" s="57"/>
      <c r="BH20" s="56"/>
      <c r="BI20" s="57"/>
      <c r="BJ20" s="10">
        <v>2416781.59</v>
      </c>
      <c r="BK20" s="15">
        <v>0.023185700153863713</v>
      </c>
      <c r="BL20" s="11">
        <v>792</v>
      </c>
      <c r="BM20" s="15">
        <v>0.047022501929584994</v>
      </c>
      <c r="BN20" s="57"/>
      <c r="BO20" s="56"/>
      <c r="BP20" s="57"/>
      <c r="BQ20" s="10">
        <v>2618918.53</v>
      </c>
      <c r="BR20" s="15">
        <v>0.027178139454142054</v>
      </c>
      <c r="BS20" s="11">
        <v>868</v>
      </c>
      <c r="BT20" s="15">
        <v>0.05504470797133616</v>
      </c>
      <c r="BU20" s="57"/>
      <c r="BV20" s="56"/>
      <c r="BW20" s="57"/>
      <c r="BX20" s="10">
        <v>2898914.02</v>
      </c>
      <c r="BY20" s="15">
        <v>0.032220284306490266</v>
      </c>
      <c r="BZ20" s="11">
        <v>932</v>
      </c>
      <c r="CA20" s="15">
        <v>0.06302833570027727</v>
      </c>
      <c r="CB20" s="57"/>
      <c r="CC20" s="56"/>
      <c r="CD20" s="57"/>
      <c r="CE20" s="10">
        <v>2736336.96</v>
      </c>
      <c r="CF20" s="15">
        <v>0.03266672384644978</v>
      </c>
      <c r="CG20" s="11">
        <v>838</v>
      </c>
      <c r="CH20" s="15">
        <v>0.06045739845609985</v>
      </c>
      <c r="CI20" s="57"/>
      <c r="CJ20" s="56"/>
      <c r="CK20" s="57"/>
      <c r="CL20" s="10">
        <v>2689698.17</v>
      </c>
      <c r="CM20" s="15">
        <v>0.034266886725942296</v>
      </c>
      <c r="CN20" s="11">
        <v>735</v>
      </c>
      <c r="CO20" s="15">
        <v>0.056434275184275184</v>
      </c>
      <c r="CP20" s="57"/>
      <c r="CQ20" s="56"/>
      <c r="CR20" s="57"/>
    </row>
    <row r="21" spans="1:96" ht="12.75">
      <c r="A21" s="9" t="s">
        <v>26</v>
      </c>
      <c r="B21" s="9"/>
      <c r="C21" s="9"/>
      <c r="D21" s="10">
        <v>11652630.329999998</v>
      </c>
      <c r="E21" s="15">
        <v>0.060540117368291055</v>
      </c>
      <c r="F21" s="11">
        <v>2957</v>
      </c>
      <c r="G21" s="15">
        <v>0.09873121869782972</v>
      </c>
      <c r="H21" s="9"/>
      <c r="I21" s="9"/>
      <c r="J21" s="10">
        <v>11283461.570000006</v>
      </c>
      <c r="K21" s="15">
        <v>0.06305960648532301</v>
      </c>
      <c r="L21" s="11">
        <v>2752</v>
      </c>
      <c r="M21" s="15">
        <v>0.10177514792899409</v>
      </c>
      <c r="N21" s="57"/>
      <c r="O21" s="56"/>
      <c r="P21" s="57"/>
      <c r="Q21" s="9"/>
      <c r="R21" s="10">
        <v>10665049.080000008</v>
      </c>
      <c r="S21" s="15">
        <v>0.0638500535685176</v>
      </c>
      <c r="T21" s="11">
        <v>2552</v>
      </c>
      <c r="U21" s="15">
        <v>0.09955527814621207</v>
      </c>
      <c r="V21" s="57"/>
      <c r="W21" s="56"/>
      <c r="X21" s="57"/>
      <c r="Y21" s="9"/>
      <c r="Z21" s="10">
        <v>9977916.000000006</v>
      </c>
      <c r="AA21" s="15">
        <v>0.06412411975794441</v>
      </c>
      <c r="AB21" s="11">
        <v>2305</v>
      </c>
      <c r="AC21" s="15">
        <v>0.09509468212385</v>
      </c>
      <c r="AD21" s="57"/>
      <c r="AE21" s="56"/>
      <c r="AF21" s="57"/>
      <c r="AG21" s="9"/>
      <c r="AH21" s="10">
        <v>9235659.460000003</v>
      </c>
      <c r="AI21" s="15">
        <v>0.06407798120049026</v>
      </c>
      <c r="AJ21" s="11">
        <v>2156</v>
      </c>
      <c r="AK21" s="15">
        <v>0.09424724602203183</v>
      </c>
      <c r="AL21" s="57"/>
      <c r="AM21" s="56"/>
      <c r="AN21" s="57"/>
      <c r="AO21" s="10">
        <v>10109664.88999999</v>
      </c>
      <c r="AP21" s="15">
        <v>0.07575029806126563</v>
      </c>
      <c r="AQ21" s="11">
        <v>2021</v>
      </c>
      <c r="AR21" s="15">
        <v>0.09617855613191834</v>
      </c>
      <c r="AS21" s="57"/>
      <c r="AT21" s="56"/>
      <c r="AU21" s="57"/>
      <c r="AV21" s="10">
        <v>9085123.83</v>
      </c>
      <c r="AW21" s="15">
        <v>0.07341899555225474</v>
      </c>
      <c r="AX21" s="11">
        <v>1715</v>
      </c>
      <c r="AY21" s="15">
        <v>0.08710889882161722</v>
      </c>
      <c r="AZ21" s="57"/>
      <c r="BA21" s="56"/>
      <c r="BB21" s="57"/>
      <c r="BC21" s="10">
        <v>7506243.949999994</v>
      </c>
      <c r="BD21" s="15">
        <v>0.06713807703326741</v>
      </c>
      <c r="BE21" s="11">
        <v>1718</v>
      </c>
      <c r="BF21" s="15">
        <v>0.09591335417597141</v>
      </c>
      <c r="BG21" s="57"/>
      <c r="BH21" s="56"/>
      <c r="BI21" s="57"/>
      <c r="BJ21" s="10">
        <v>4209207.119999992</v>
      </c>
      <c r="BK21" s="15">
        <v>0.04038156140118069</v>
      </c>
      <c r="BL21" s="11">
        <v>1702</v>
      </c>
      <c r="BM21" s="15">
        <v>0.10105088167191117</v>
      </c>
      <c r="BN21" s="57"/>
      <c r="BO21" s="56"/>
      <c r="BP21" s="57"/>
      <c r="BQ21" s="10">
        <v>4260330.24</v>
      </c>
      <c r="BR21" s="15">
        <v>0.044212085277589144</v>
      </c>
      <c r="BS21" s="11">
        <v>1595</v>
      </c>
      <c r="BT21" s="15">
        <v>0.10114782167543915</v>
      </c>
      <c r="BU21" s="57"/>
      <c r="BV21" s="56"/>
      <c r="BW21" s="57"/>
      <c r="BX21" s="10">
        <v>4269848.37</v>
      </c>
      <c r="BY21" s="15">
        <v>0.047457678109060944</v>
      </c>
      <c r="BZ21" s="11">
        <v>1433</v>
      </c>
      <c r="CA21" s="15">
        <v>0.09690944748765808</v>
      </c>
      <c r="CB21" s="57"/>
      <c r="CC21" s="56"/>
      <c r="CD21" s="57"/>
      <c r="CE21" s="10">
        <v>4663173.540000009</v>
      </c>
      <c r="CF21" s="15">
        <v>0.055669533579392166</v>
      </c>
      <c r="CG21" s="11">
        <v>1354</v>
      </c>
      <c r="CH21" s="15">
        <v>0.09768414977274367</v>
      </c>
      <c r="CI21" s="57"/>
      <c r="CJ21" s="56"/>
      <c r="CK21" s="57"/>
      <c r="CL21" s="10">
        <v>4923869.590000006</v>
      </c>
      <c r="CM21" s="15">
        <v>0.0627303402945923</v>
      </c>
      <c r="CN21" s="11">
        <v>1320</v>
      </c>
      <c r="CO21" s="15">
        <v>0.10135135135135136</v>
      </c>
      <c r="CP21" s="57"/>
      <c r="CQ21" s="56"/>
      <c r="CR21" s="57"/>
    </row>
    <row r="22" spans="1:96" ht="12.75">
      <c r="A22" s="9" t="s">
        <v>27</v>
      </c>
      <c r="B22" s="9"/>
      <c r="C22" s="9"/>
      <c r="D22" s="10">
        <v>14601644.439999979</v>
      </c>
      <c r="E22" s="15">
        <v>0.0758614358418125</v>
      </c>
      <c r="F22" s="11">
        <v>2689</v>
      </c>
      <c r="G22" s="15">
        <v>0.0897829716193656</v>
      </c>
      <c r="H22" s="9"/>
      <c r="I22" s="9"/>
      <c r="J22" s="10">
        <v>14585318.849999992</v>
      </c>
      <c r="K22" s="15">
        <v>0.08151261573747381</v>
      </c>
      <c r="L22" s="11">
        <v>2495</v>
      </c>
      <c r="M22" s="15">
        <v>0.0922707100591716</v>
      </c>
      <c r="N22" s="57"/>
      <c r="O22" s="56"/>
      <c r="P22" s="57"/>
      <c r="Q22" s="9"/>
      <c r="R22" s="10">
        <v>13275885.52000002</v>
      </c>
      <c r="S22" s="15">
        <v>0.07948074080700882</v>
      </c>
      <c r="T22" s="11">
        <v>2249</v>
      </c>
      <c r="U22" s="15">
        <v>0.08773503940079581</v>
      </c>
      <c r="V22" s="57"/>
      <c r="W22" s="56"/>
      <c r="X22" s="57"/>
      <c r="Y22" s="9"/>
      <c r="Z22" s="10">
        <v>12276968.429999992</v>
      </c>
      <c r="AA22" s="15">
        <v>0.07889922042536957</v>
      </c>
      <c r="AB22" s="11">
        <v>2065</v>
      </c>
      <c r="AC22" s="15">
        <v>0.08519328355130162</v>
      </c>
      <c r="AD22" s="57"/>
      <c r="AE22" s="56"/>
      <c r="AF22" s="57"/>
      <c r="AG22" s="9"/>
      <c r="AH22" s="10">
        <v>11440124.220000012</v>
      </c>
      <c r="AI22" s="15">
        <v>0.07937279063561681</v>
      </c>
      <c r="AJ22" s="11">
        <v>1972</v>
      </c>
      <c r="AK22" s="15">
        <v>0.08620388179751705</v>
      </c>
      <c r="AL22" s="57"/>
      <c r="AM22" s="56"/>
      <c r="AN22" s="57"/>
      <c r="AO22" s="10">
        <v>7837443.009999998</v>
      </c>
      <c r="AP22" s="15">
        <v>0.05872485888557314</v>
      </c>
      <c r="AQ22" s="11">
        <v>1289</v>
      </c>
      <c r="AR22" s="15">
        <v>0.06134297815637938</v>
      </c>
      <c r="AS22" s="57"/>
      <c r="AT22" s="56"/>
      <c r="AU22" s="57"/>
      <c r="AV22" s="10">
        <v>6014092.879999994</v>
      </c>
      <c r="AW22" s="15">
        <v>0.04860128124500935</v>
      </c>
      <c r="AX22" s="11">
        <v>974</v>
      </c>
      <c r="AY22" s="15">
        <v>0.04947175944737912</v>
      </c>
      <c r="AZ22" s="57"/>
      <c r="BA22" s="56"/>
      <c r="BB22" s="57"/>
      <c r="BC22" s="10">
        <v>8153942.490000009</v>
      </c>
      <c r="BD22" s="15">
        <v>0.07293128529595061</v>
      </c>
      <c r="BE22" s="11">
        <v>1347</v>
      </c>
      <c r="BF22" s="15">
        <v>0.0752009825815096</v>
      </c>
      <c r="BG22" s="57"/>
      <c r="BH22" s="56"/>
      <c r="BI22" s="57"/>
      <c r="BJ22" s="10">
        <v>7326073.010000005</v>
      </c>
      <c r="BK22" s="15">
        <v>0.07028360891940344</v>
      </c>
      <c r="BL22" s="11">
        <v>1668</v>
      </c>
      <c r="BM22" s="15">
        <v>0.09903223891230778</v>
      </c>
      <c r="BN22" s="57"/>
      <c r="BO22" s="56"/>
      <c r="BP22" s="57"/>
      <c r="BQ22" s="10">
        <v>6962003.999999999</v>
      </c>
      <c r="BR22" s="15">
        <v>0.07224902700287314</v>
      </c>
      <c r="BS22" s="11">
        <v>1470</v>
      </c>
      <c r="BT22" s="15">
        <v>0.09322087640306931</v>
      </c>
      <c r="BU22" s="57"/>
      <c r="BV22" s="56"/>
      <c r="BW22" s="57"/>
      <c r="BX22" s="10">
        <v>6699532.259999998</v>
      </c>
      <c r="BY22" s="15">
        <v>0.07446265485918174</v>
      </c>
      <c r="BZ22" s="11">
        <v>1345</v>
      </c>
      <c r="CA22" s="15">
        <v>0.0909582741597349</v>
      </c>
      <c r="CB22" s="57"/>
      <c r="CC22" s="56"/>
      <c r="CD22" s="57"/>
      <c r="CE22" s="10">
        <v>5861261.82999999</v>
      </c>
      <c r="CF22" s="15">
        <v>0.06997245748284833</v>
      </c>
      <c r="CG22" s="11">
        <v>1164</v>
      </c>
      <c r="CH22" s="15">
        <v>0.08397662506312675</v>
      </c>
      <c r="CI22" s="57"/>
      <c r="CJ22" s="56"/>
      <c r="CK22" s="57"/>
      <c r="CL22" s="10">
        <v>6176707.059999993</v>
      </c>
      <c r="CM22" s="15">
        <v>0.0786915511655153</v>
      </c>
      <c r="CN22" s="11">
        <v>1056</v>
      </c>
      <c r="CO22" s="15">
        <v>0.08108108108108109</v>
      </c>
      <c r="CP22" s="57"/>
      <c r="CQ22" s="56"/>
      <c r="CR22" s="57"/>
    </row>
    <row r="23" spans="1:96" ht="12.75">
      <c r="A23" s="9" t="s">
        <v>28</v>
      </c>
      <c r="B23" s="9"/>
      <c r="C23" s="9"/>
      <c r="D23" s="10">
        <v>15640580.060000015</v>
      </c>
      <c r="E23" s="15">
        <v>0.08125912568450576</v>
      </c>
      <c r="F23" s="11">
        <v>2264</v>
      </c>
      <c r="G23" s="15">
        <v>0.07559265442404006</v>
      </c>
      <c r="H23" s="9"/>
      <c r="I23" s="9"/>
      <c r="J23" s="10">
        <v>14114160.389999995</v>
      </c>
      <c r="K23" s="15">
        <v>0.07887946394309671</v>
      </c>
      <c r="L23" s="11">
        <v>1888</v>
      </c>
      <c r="M23" s="15">
        <v>0.06982248520710059</v>
      </c>
      <c r="N23" s="57"/>
      <c r="O23" s="56"/>
      <c r="P23" s="57"/>
      <c r="Q23" s="9"/>
      <c r="R23" s="10">
        <v>11971109.339999985</v>
      </c>
      <c r="S23" s="15">
        <v>0.07166924098520697</v>
      </c>
      <c r="T23" s="11">
        <v>1601</v>
      </c>
      <c r="U23" s="15">
        <v>0.06245611297495514</v>
      </c>
      <c r="V23" s="57"/>
      <c r="W23" s="56"/>
      <c r="X23" s="57"/>
      <c r="Y23" s="9"/>
      <c r="Z23" s="10">
        <v>9419949.919999989</v>
      </c>
      <c r="AA23" s="15">
        <v>0.06053829244342384</v>
      </c>
      <c r="AB23" s="11">
        <v>1182</v>
      </c>
      <c r="AC23" s="15">
        <v>0.04876438796980073</v>
      </c>
      <c r="AD23" s="57"/>
      <c r="AE23" s="56"/>
      <c r="AF23" s="57"/>
      <c r="AG23" s="9"/>
      <c r="AH23" s="10">
        <v>8287677.679999999</v>
      </c>
      <c r="AI23" s="15">
        <v>0.057500783444300194</v>
      </c>
      <c r="AJ23" s="11">
        <v>1020</v>
      </c>
      <c r="AK23" s="15">
        <v>0.044588214722853646</v>
      </c>
      <c r="AL23" s="57"/>
      <c r="AM23" s="56"/>
      <c r="AN23" s="57"/>
      <c r="AO23" s="10">
        <v>7566861.029999991</v>
      </c>
      <c r="AP23" s="15">
        <v>0.05669742614096434</v>
      </c>
      <c r="AQ23" s="11">
        <v>1020</v>
      </c>
      <c r="AR23" s="15">
        <v>0.048541379146242805</v>
      </c>
      <c r="AS23" s="57"/>
      <c r="AT23" s="56"/>
      <c r="AU23" s="57"/>
      <c r="AV23" s="10">
        <v>8698256.599999998</v>
      </c>
      <c r="AW23" s="15">
        <v>0.0702926316225863</v>
      </c>
      <c r="AX23" s="11">
        <v>1146</v>
      </c>
      <c r="AY23" s="15">
        <v>0.0582080455099553</v>
      </c>
      <c r="AZ23" s="57"/>
      <c r="BA23" s="56"/>
      <c r="BB23" s="57"/>
      <c r="BC23" s="10">
        <v>5035236.49</v>
      </c>
      <c r="BD23" s="15">
        <v>0.04503665183255058</v>
      </c>
      <c r="BE23" s="11">
        <v>676</v>
      </c>
      <c r="BF23" s="15">
        <v>0.037740062527914245</v>
      </c>
      <c r="BG23" s="57"/>
      <c r="BH23" s="56"/>
      <c r="BI23" s="57"/>
      <c r="BJ23" s="10">
        <v>8441686.779999988</v>
      </c>
      <c r="BK23" s="15">
        <v>0.0809863908612094</v>
      </c>
      <c r="BL23" s="11">
        <v>1309</v>
      </c>
      <c r="BM23" s="15">
        <v>0.07771774624473075</v>
      </c>
      <c r="BN23" s="57"/>
      <c r="BO23" s="56"/>
      <c r="BP23" s="57"/>
      <c r="BQ23" s="10">
        <v>7036404.640000004</v>
      </c>
      <c r="BR23" s="15">
        <v>0.07302112851967656</v>
      </c>
      <c r="BS23" s="11">
        <v>1079</v>
      </c>
      <c r="BT23" s="15">
        <v>0.06842539159109645</v>
      </c>
      <c r="BU23" s="57"/>
      <c r="BV23" s="56"/>
      <c r="BW23" s="57"/>
      <c r="BX23" s="10">
        <v>5462672.179999992</v>
      </c>
      <c r="BY23" s="15">
        <v>0.060715443610416094</v>
      </c>
      <c r="BZ23" s="11">
        <v>782</v>
      </c>
      <c r="CA23" s="15">
        <v>0.05288429025495368</v>
      </c>
      <c r="CB23" s="57"/>
      <c r="CC23" s="56"/>
      <c r="CD23" s="57"/>
      <c r="CE23" s="10">
        <v>4357091.96</v>
      </c>
      <c r="CF23" s="15">
        <v>0.052015494404207656</v>
      </c>
      <c r="CG23" s="11">
        <v>598</v>
      </c>
      <c r="CH23" s="15">
        <v>0.04314263040184691</v>
      </c>
      <c r="CI23" s="57"/>
      <c r="CJ23" s="56"/>
      <c r="CK23" s="57"/>
      <c r="CL23" s="10">
        <v>2543503.09</v>
      </c>
      <c r="CM23" s="15">
        <v>0.03240435422987044</v>
      </c>
      <c r="CN23" s="11">
        <v>415</v>
      </c>
      <c r="CO23" s="15">
        <v>0.03186425061425061</v>
      </c>
      <c r="CP23" s="57"/>
      <c r="CQ23" s="56"/>
      <c r="CR23" s="57"/>
    </row>
    <row r="24" spans="1:96" ht="12.75">
      <c r="A24" s="9" t="s">
        <v>81</v>
      </c>
      <c r="B24" s="9"/>
      <c r="C24" s="9"/>
      <c r="D24" s="10">
        <v>10423500.560000014</v>
      </c>
      <c r="E24" s="15">
        <v>0.054154292157215324</v>
      </c>
      <c r="F24" s="11">
        <v>1216</v>
      </c>
      <c r="G24" s="15">
        <v>0.040601001669449084</v>
      </c>
      <c r="H24" s="9"/>
      <c r="I24" s="9"/>
      <c r="J24" s="10">
        <v>8366542.819999986</v>
      </c>
      <c r="K24" s="15">
        <v>0.04675789380756525</v>
      </c>
      <c r="L24" s="11">
        <v>967</v>
      </c>
      <c r="M24" s="15">
        <v>0.03576183431952663</v>
      </c>
      <c r="N24" s="57"/>
      <c r="O24" s="56"/>
      <c r="P24" s="57"/>
      <c r="Q24" s="9"/>
      <c r="R24" s="10">
        <v>10712094.889999999</v>
      </c>
      <c r="S24" s="15">
        <v>0.06413170979589557</v>
      </c>
      <c r="T24" s="11">
        <v>1280</v>
      </c>
      <c r="U24" s="15">
        <v>0.049933681828821096</v>
      </c>
      <c r="V24" s="57"/>
      <c r="W24" s="56"/>
      <c r="X24" s="57"/>
      <c r="Y24" s="9"/>
      <c r="Z24" s="10">
        <v>13540343.929999985</v>
      </c>
      <c r="AA24" s="15">
        <v>0.08701843508514946</v>
      </c>
      <c r="AB24" s="11">
        <v>1725</v>
      </c>
      <c r="AC24" s="15">
        <v>0.07116630224019142</v>
      </c>
      <c r="AD24" s="57"/>
      <c r="AE24" s="56"/>
      <c r="AF24" s="57"/>
      <c r="AG24" s="9"/>
      <c r="AH24" s="10">
        <v>13744862.26000002</v>
      </c>
      <c r="AI24" s="15">
        <v>0.09536330668255377</v>
      </c>
      <c r="AJ24" s="11">
        <v>1831</v>
      </c>
      <c r="AK24" s="15">
        <v>0.08004021682112257</v>
      </c>
      <c r="AL24" s="57"/>
      <c r="AM24" s="56"/>
      <c r="AN24" s="57"/>
      <c r="AO24" s="10">
        <v>16791130.560000002</v>
      </c>
      <c r="AP24" s="15">
        <v>0.12581358121610572</v>
      </c>
      <c r="AQ24" s="11">
        <v>2370</v>
      </c>
      <c r="AR24" s="15">
        <v>0.1127873221339171</v>
      </c>
      <c r="AS24" s="57"/>
      <c r="AT24" s="56"/>
      <c r="AU24" s="57"/>
      <c r="AV24" s="10">
        <v>17182719.909999996</v>
      </c>
      <c r="AW24" s="15">
        <v>0.13885755001843808</v>
      </c>
      <c r="AX24" s="11">
        <v>2494</v>
      </c>
      <c r="AY24" s="15">
        <v>0.12667614790735474</v>
      </c>
      <c r="AZ24" s="57"/>
      <c r="BA24" s="56"/>
      <c r="BB24" s="57"/>
      <c r="BC24" s="10">
        <v>14959989.130000027</v>
      </c>
      <c r="BD24" s="15">
        <v>0.13380658946300109</v>
      </c>
      <c r="BE24" s="11">
        <v>2094</v>
      </c>
      <c r="BF24" s="15">
        <v>0.11690486824475212</v>
      </c>
      <c r="BG24" s="57"/>
      <c r="BH24" s="56"/>
      <c r="BI24" s="57"/>
      <c r="BJ24" s="10">
        <v>3781763.87</v>
      </c>
      <c r="BK24" s="15">
        <v>0.03628083046699117</v>
      </c>
      <c r="BL24" s="11">
        <v>555</v>
      </c>
      <c r="BM24" s="15">
        <v>0.03295137445823191</v>
      </c>
      <c r="BN24" s="57"/>
      <c r="BO24" s="56"/>
      <c r="BP24" s="57"/>
      <c r="BQ24" s="10">
        <v>5628917.4199999925</v>
      </c>
      <c r="BR24" s="15">
        <v>0.05841476199590269</v>
      </c>
      <c r="BS24" s="11">
        <v>786</v>
      </c>
      <c r="BT24" s="15">
        <v>0.049844631872661554</v>
      </c>
      <c r="BU24" s="57"/>
      <c r="BV24" s="56"/>
      <c r="BW24" s="57"/>
      <c r="BX24" s="10">
        <v>7433966.34999999</v>
      </c>
      <c r="BY24" s="15">
        <v>0.08262559967952457</v>
      </c>
      <c r="BZ24" s="11">
        <v>1108</v>
      </c>
      <c r="CA24" s="15">
        <v>0.07493068235612363</v>
      </c>
      <c r="CB24" s="57"/>
      <c r="CC24" s="56"/>
      <c r="CD24" s="57"/>
      <c r="CE24" s="10">
        <v>9573083.899999999</v>
      </c>
      <c r="CF24" s="15">
        <v>0.11428464136236872</v>
      </c>
      <c r="CG24" s="11">
        <v>1472</v>
      </c>
      <c r="CH24" s="15">
        <v>0.1061972440660847</v>
      </c>
      <c r="CI24" s="57"/>
      <c r="CJ24" s="56"/>
      <c r="CK24" s="57"/>
      <c r="CL24" s="10">
        <v>11016569.329999994</v>
      </c>
      <c r="CM24" s="15">
        <v>0.1403516340792989</v>
      </c>
      <c r="CN24" s="11">
        <v>1718</v>
      </c>
      <c r="CO24" s="15">
        <v>0.13191031941031942</v>
      </c>
      <c r="CP24" s="57"/>
      <c r="CQ24" s="56"/>
      <c r="CR24" s="57"/>
    </row>
    <row r="25" spans="1:96" ht="12.75">
      <c r="A25" s="9" t="s">
        <v>82</v>
      </c>
      <c r="B25" s="9"/>
      <c r="C25" s="9"/>
      <c r="D25" s="10">
        <v>19849414.28999998</v>
      </c>
      <c r="E25" s="15">
        <v>0.1031257181234576</v>
      </c>
      <c r="F25" s="11">
        <v>2572</v>
      </c>
      <c r="G25" s="15">
        <v>0.08587646076794658</v>
      </c>
      <c r="H25" s="9"/>
      <c r="I25" s="9"/>
      <c r="J25" s="10">
        <v>22516272.029999997</v>
      </c>
      <c r="K25" s="15">
        <v>0.12583614034751253</v>
      </c>
      <c r="L25" s="11">
        <v>3001</v>
      </c>
      <c r="M25" s="15">
        <v>0.11098372781065088</v>
      </c>
      <c r="N25" s="57"/>
      <c r="O25" s="56"/>
      <c r="P25" s="57"/>
      <c r="Q25" s="9"/>
      <c r="R25" s="10">
        <v>21547457.75999999</v>
      </c>
      <c r="S25" s="15">
        <v>0.12900140654967981</v>
      </c>
      <c r="T25" s="11">
        <v>3035</v>
      </c>
      <c r="U25" s="15">
        <v>0.11839744089880627</v>
      </c>
      <c r="V25" s="57"/>
      <c r="W25" s="56"/>
      <c r="X25" s="57"/>
      <c r="Y25" s="9"/>
      <c r="Z25" s="10">
        <v>23294277.68999991</v>
      </c>
      <c r="AA25" s="15">
        <v>0.14970310957401986</v>
      </c>
      <c r="AB25" s="11">
        <v>3317</v>
      </c>
      <c r="AC25" s="15">
        <v>0.13684557943809564</v>
      </c>
      <c r="AD25" s="57"/>
      <c r="AE25" s="56"/>
      <c r="AF25" s="57"/>
      <c r="AG25" s="9"/>
      <c r="AH25" s="10">
        <v>22352739.20000006</v>
      </c>
      <c r="AI25" s="15">
        <v>0.1550856664259322</v>
      </c>
      <c r="AJ25" s="11">
        <v>3234</v>
      </c>
      <c r="AK25" s="15">
        <v>0.14137086903304774</v>
      </c>
      <c r="AL25" s="57"/>
      <c r="AM25" s="56"/>
      <c r="AN25" s="57"/>
      <c r="AO25" s="10">
        <v>25046938.400000006</v>
      </c>
      <c r="AP25" s="15">
        <v>0.18767318896978416</v>
      </c>
      <c r="AQ25" s="11">
        <v>3340</v>
      </c>
      <c r="AR25" s="15">
        <v>0.15894922191024605</v>
      </c>
      <c r="AS25" s="57"/>
      <c r="AT25" s="56"/>
      <c r="AU25" s="57"/>
      <c r="AV25" s="10">
        <v>24964303.86000003</v>
      </c>
      <c r="AW25" s="15">
        <v>0.20174233707307412</v>
      </c>
      <c r="AX25" s="11">
        <v>3189</v>
      </c>
      <c r="AY25" s="15">
        <v>0.16197683868346202</v>
      </c>
      <c r="AZ25" s="57"/>
      <c r="BA25" s="56"/>
      <c r="BB25" s="57"/>
      <c r="BC25" s="10">
        <v>19002080.239999965</v>
      </c>
      <c r="BD25" s="15">
        <v>0.16996025381581784</v>
      </c>
      <c r="BE25" s="11">
        <v>2782</v>
      </c>
      <c r="BF25" s="15">
        <v>0.1553148727110317</v>
      </c>
      <c r="BG25" s="57"/>
      <c r="BH25" s="56"/>
      <c r="BI25" s="57"/>
      <c r="BJ25" s="10">
        <v>13932007.679999996</v>
      </c>
      <c r="BK25" s="15">
        <v>0.1336584795028195</v>
      </c>
      <c r="BL25" s="11">
        <v>2040</v>
      </c>
      <c r="BM25" s="15">
        <v>0.12111856557620376</v>
      </c>
      <c r="BN25" s="57"/>
      <c r="BO25" s="56"/>
      <c r="BP25" s="57"/>
      <c r="BQ25" s="10">
        <v>13475353.31</v>
      </c>
      <c r="BR25" s="15">
        <v>0.13984208644054874</v>
      </c>
      <c r="BS25" s="11">
        <v>2147</v>
      </c>
      <c r="BT25" s="15">
        <v>0.13615321199822436</v>
      </c>
      <c r="BU25" s="57"/>
      <c r="BV25" s="56"/>
      <c r="BW25" s="57"/>
      <c r="BX25" s="10">
        <v>14475736.170000002</v>
      </c>
      <c r="BY25" s="15">
        <v>0.1608920898396098</v>
      </c>
      <c r="BZ25" s="11">
        <v>2328</v>
      </c>
      <c r="CA25" s="15">
        <v>0.15743558531142218</v>
      </c>
      <c r="CB25" s="57"/>
      <c r="CC25" s="56"/>
      <c r="CD25" s="57"/>
      <c r="CE25" s="10">
        <v>14155426.649999985</v>
      </c>
      <c r="CF25" s="15">
        <v>0.16898920712755533</v>
      </c>
      <c r="CG25" s="11">
        <v>2295</v>
      </c>
      <c r="CH25" s="15">
        <v>0.16557246951879373</v>
      </c>
      <c r="CI25" s="57"/>
      <c r="CJ25" s="56"/>
      <c r="CK25" s="57"/>
      <c r="CL25" s="10">
        <v>14441438.890000004</v>
      </c>
      <c r="CM25" s="15">
        <v>0.18398464040418636</v>
      </c>
      <c r="CN25" s="11">
        <v>2293</v>
      </c>
      <c r="CO25" s="15">
        <v>0.1760595823095823</v>
      </c>
      <c r="CP25" s="57"/>
      <c r="CQ25" s="56"/>
      <c r="CR25" s="57"/>
    </row>
    <row r="26" spans="1:96" ht="12.75">
      <c r="A26" s="9" t="s">
        <v>83</v>
      </c>
      <c r="B26" s="9"/>
      <c r="C26" s="9"/>
      <c r="D26" s="10">
        <v>29400370.07999998</v>
      </c>
      <c r="E26" s="15">
        <v>0.15274678805625438</v>
      </c>
      <c r="F26" s="11">
        <v>3947</v>
      </c>
      <c r="G26" s="15">
        <v>0.1317863105175292</v>
      </c>
      <c r="H26" s="9"/>
      <c r="I26" s="9"/>
      <c r="J26" s="10">
        <v>32029617.030000005</v>
      </c>
      <c r="K26" s="15">
        <v>0.17900313952922867</v>
      </c>
      <c r="L26" s="11">
        <v>4080</v>
      </c>
      <c r="M26" s="15">
        <v>0.15088757396449703</v>
      </c>
      <c r="N26" s="57"/>
      <c r="O26" s="56"/>
      <c r="P26" s="57"/>
      <c r="Q26" s="9"/>
      <c r="R26" s="10">
        <v>31826754.910000008</v>
      </c>
      <c r="S26" s="15">
        <v>0.1905420210138948</v>
      </c>
      <c r="T26" s="11">
        <v>3948</v>
      </c>
      <c r="U26" s="15">
        <v>0.15401419989077006</v>
      </c>
      <c r="V26" s="57"/>
      <c r="W26" s="56"/>
      <c r="X26" s="57"/>
      <c r="Y26" s="9"/>
      <c r="Z26" s="10">
        <v>32288403.02000004</v>
      </c>
      <c r="AA26" s="15">
        <v>0.2075047957957609</v>
      </c>
      <c r="AB26" s="11">
        <v>3836</v>
      </c>
      <c r="AC26" s="15">
        <v>0.1582573538512315</v>
      </c>
      <c r="AD26" s="57"/>
      <c r="AE26" s="56"/>
      <c r="AF26" s="57"/>
      <c r="AG26" s="9"/>
      <c r="AH26" s="10">
        <v>30335189.320000034</v>
      </c>
      <c r="AI26" s="15">
        <v>0.21046874880770824</v>
      </c>
      <c r="AJ26" s="11">
        <v>3624</v>
      </c>
      <c r="AK26" s="15">
        <v>0.15841930407413884</v>
      </c>
      <c r="AL26" s="57"/>
      <c r="AM26" s="56"/>
      <c r="AN26" s="57"/>
      <c r="AO26" s="10">
        <v>31802377.87000004</v>
      </c>
      <c r="AP26" s="15">
        <v>0.23829074741066947</v>
      </c>
      <c r="AQ26" s="11">
        <v>3727</v>
      </c>
      <c r="AR26" s="15">
        <v>0.17736639223337933</v>
      </c>
      <c r="AS26" s="57"/>
      <c r="AT26" s="56"/>
      <c r="AU26" s="57"/>
      <c r="AV26" s="10">
        <v>28731909.05000005</v>
      </c>
      <c r="AW26" s="15">
        <v>0.2321892295825473</v>
      </c>
      <c r="AX26" s="11">
        <v>3461</v>
      </c>
      <c r="AY26" s="15">
        <v>0.17579236082893132</v>
      </c>
      <c r="AZ26" s="57"/>
      <c r="BA26" s="56"/>
      <c r="BB26" s="57"/>
      <c r="BC26" s="10">
        <v>26905143.29999998</v>
      </c>
      <c r="BD26" s="15">
        <v>0.24064759891883056</v>
      </c>
      <c r="BE26" s="11">
        <v>3252</v>
      </c>
      <c r="BF26" s="15">
        <v>0.1815542652970076</v>
      </c>
      <c r="BG26" s="57"/>
      <c r="BH26" s="56"/>
      <c r="BI26" s="57"/>
      <c r="BJ26" s="10">
        <v>18958275.330000024</v>
      </c>
      <c r="BK26" s="15">
        <v>0.18187861454032858</v>
      </c>
      <c r="BL26" s="11">
        <v>2757</v>
      </c>
      <c r="BM26" s="15">
        <v>0.16368817906548713</v>
      </c>
      <c r="BN26" s="57"/>
      <c r="BO26" s="56"/>
      <c r="BP26" s="57"/>
      <c r="BQ26" s="10">
        <v>19804072.849999987</v>
      </c>
      <c r="BR26" s="15">
        <v>0.20551912841568548</v>
      </c>
      <c r="BS26" s="11">
        <v>2718</v>
      </c>
      <c r="BT26" s="15">
        <v>0.1723634980024098</v>
      </c>
      <c r="BU26" s="57"/>
      <c r="BV26" s="56"/>
      <c r="BW26" s="57"/>
      <c r="BX26" s="10">
        <v>20035048.360000018</v>
      </c>
      <c r="BY26" s="15">
        <v>0.22268164898987994</v>
      </c>
      <c r="BZ26" s="11">
        <v>2610</v>
      </c>
      <c r="CA26" s="15">
        <v>0.17650639074863056</v>
      </c>
      <c r="CB26" s="57"/>
      <c r="CC26" s="56"/>
      <c r="CD26" s="57"/>
      <c r="CE26" s="10">
        <v>19859296.09000004</v>
      </c>
      <c r="CF26" s="15">
        <v>0.23708269509209529</v>
      </c>
      <c r="CG26" s="11">
        <v>2577</v>
      </c>
      <c r="CH26" s="15">
        <v>0.18591732198254093</v>
      </c>
      <c r="CI26" s="57"/>
      <c r="CJ26" s="56"/>
      <c r="CK26" s="57"/>
      <c r="CL26" s="10">
        <v>19336285.069999985</v>
      </c>
      <c r="CM26" s="15">
        <v>0.24634522103058829</v>
      </c>
      <c r="CN26" s="11">
        <v>2541</v>
      </c>
      <c r="CO26" s="15">
        <v>0.19510135135135134</v>
      </c>
      <c r="CP26" s="57"/>
      <c r="CQ26" s="56"/>
      <c r="CR26" s="57"/>
    </row>
    <row r="27" spans="1:96" ht="12.75">
      <c r="A27" s="9" t="s">
        <v>84</v>
      </c>
      <c r="B27" s="9"/>
      <c r="C27" s="9"/>
      <c r="D27" s="10">
        <v>41530910.50999989</v>
      </c>
      <c r="E27" s="15">
        <v>0.2157698412704547</v>
      </c>
      <c r="F27" s="11">
        <v>4642</v>
      </c>
      <c r="G27" s="15">
        <v>0.15499165275459098</v>
      </c>
      <c r="H27" s="9"/>
      <c r="I27" s="9"/>
      <c r="J27" s="10">
        <v>40767999.61000015</v>
      </c>
      <c r="K27" s="15">
        <v>0.2278391251347533</v>
      </c>
      <c r="L27" s="11">
        <v>4565</v>
      </c>
      <c r="M27" s="15">
        <v>0.16882396449704143</v>
      </c>
      <c r="N27" s="57"/>
      <c r="O27" s="56"/>
      <c r="P27" s="57"/>
      <c r="Q27" s="9"/>
      <c r="R27" s="10">
        <v>38260580.54000002</v>
      </c>
      <c r="S27" s="15">
        <v>0.2290603726918415</v>
      </c>
      <c r="T27" s="11">
        <v>4366</v>
      </c>
      <c r="U27" s="15">
        <v>0.17032066786299446</v>
      </c>
      <c r="V27" s="57"/>
      <c r="W27" s="56"/>
      <c r="X27" s="57"/>
      <c r="Y27" s="9"/>
      <c r="Z27" s="10">
        <v>36375482.42000005</v>
      </c>
      <c r="AA27" s="15">
        <v>0.23377083861530637</v>
      </c>
      <c r="AB27" s="11">
        <v>4213</v>
      </c>
      <c r="AC27" s="15">
        <v>0.17381080077560956</v>
      </c>
      <c r="AD27" s="57"/>
      <c r="AE27" s="56"/>
      <c r="AF27" s="57"/>
      <c r="AG27" s="9"/>
      <c r="AH27" s="10">
        <v>34301465.980000034</v>
      </c>
      <c r="AI27" s="15">
        <v>0.23798719536327484</v>
      </c>
      <c r="AJ27" s="11">
        <v>4032</v>
      </c>
      <c r="AK27" s="15">
        <v>0.1762545899632803</v>
      </c>
      <c r="AL27" s="57"/>
      <c r="AM27" s="56"/>
      <c r="AN27" s="57"/>
      <c r="AO27" s="10">
        <v>19152702.349999983</v>
      </c>
      <c r="AP27" s="15">
        <v>0.14350850670889082</v>
      </c>
      <c r="AQ27" s="11">
        <v>2222</v>
      </c>
      <c r="AR27" s="15">
        <v>0.10574406319897206</v>
      </c>
      <c r="AS27" s="57"/>
      <c r="AT27" s="56"/>
      <c r="AU27" s="57"/>
      <c r="AV27" s="10">
        <v>14295947.449999997</v>
      </c>
      <c r="AW27" s="15">
        <v>0.11552887136011854</v>
      </c>
      <c r="AX27" s="11">
        <v>1797</v>
      </c>
      <c r="AY27" s="15">
        <v>0.0912738724095896</v>
      </c>
      <c r="AZ27" s="57"/>
      <c r="BA27" s="56"/>
      <c r="BB27" s="57"/>
      <c r="BC27" s="10">
        <v>20193750.370000035</v>
      </c>
      <c r="BD27" s="15">
        <v>0.1806189056687447</v>
      </c>
      <c r="BE27" s="11">
        <v>2449</v>
      </c>
      <c r="BF27" s="15">
        <v>0.13672398392139348</v>
      </c>
      <c r="BG27" s="57"/>
      <c r="BH27" s="56"/>
      <c r="BI27" s="57"/>
      <c r="BJ27" s="10">
        <v>25389038.380000032</v>
      </c>
      <c r="BK27" s="15">
        <v>0.24357295401013826</v>
      </c>
      <c r="BL27" s="11">
        <v>3131</v>
      </c>
      <c r="BM27" s="15">
        <v>0.1858932494211245</v>
      </c>
      <c r="BN27" s="57"/>
      <c r="BO27" s="56"/>
      <c r="BP27" s="57"/>
      <c r="BQ27" s="10">
        <v>23322469.600000076</v>
      </c>
      <c r="BR27" s="15">
        <v>0.2420317103960431</v>
      </c>
      <c r="BS27" s="11">
        <v>2943</v>
      </c>
      <c r="BT27" s="15">
        <v>0.1866319994926755</v>
      </c>
      <c r="BU27" s="57"/>
      <c r="BV27" s="56"/>
      <c r="BW27" s="57"/>
      <c r="BX27" s="10">
        <v>21750589.870000005</v>
      </c>
      <c r="BY27" s="15">
        <v>0.2417492152613988</v>
      </c>
      <c r="BZ27" s="11">
        <v>2818</v>
      </c>
      <c r="CA27" s="15">
        <v>0.1905728004328126</v>
      </c>
      <c r="CB27" s="57"/>
      <c r="CC27" s="56"/>
      <c r="CD27" s="57"/>
      <c r="CE27" s="10">
        <v>17900396.999999993</v>
      </c>
      <c r="CF27" s="15">
        <v>0.21369711921035398</v>
      </c>
      <c r="CG27" s="11">
        <v>2356</v>
      </c>
      <c r="CH27" s="15">
        <v>0.16997330639924968</v>
      </c>
      <c r="CI27" s="57"/>
      <c r="CJ27" s="56"/>
      <c r="CK27" s="57"/>
      <c r="CL27" s="10">
        <v>12466831.13</v>
      </c>
      <c r="CM27" s="15">
        <v>0.15882804060619235</v>
      </c>
      <c r="CN27" s="11">
        <v>1694</v>
      </c>
      <c r="CO27" s="15">
        <v>0.13006756756756757</v>
      </c>
      <c r="CP27" s="57"/>
      <c r="CQ27" s="56"/>
      <c r="CR27" s="57"/>
    </row>
    <row r="28" spans="1:96" ht="12.75">
      <c r="A28" s="9" t="s">
        <v>85</v>
      </c>
      <c r="B28" s="9"/>
      <c r="C28" s="9"/>
      <c r="D28" s="10">
        <v>38490547.20000008</v>
      </c>
      <c r="E28" s="15">
        <v>0.19997392683594653</v>
      </c>
      <c r="F28" s="11">
        <v>4184</v>
      </c>
      <c r="G28" s="15">
        <v>0.13969949916527546</v>
      </c>
      <c r="H28" s="9"/>
      <c r="I28" s="9"/>
      <c r="J28" s="10">
        <v>23197292.40999995</v>
      </c>
      <c r="K28" s="15">
        <v>0.12964214233589724</v>
      </c>
      <c r="L28" s="11">
        <v>2591</v>
      </c>
      <c r="M28" s="15">
        <v>0.09582100591715977</v>
      </c>
      <c r="N28" s="57"/>
      <c r="O28" s="56"/>
      <c r="P28" s="57"/>
      <c r="Q28" s="9"/>
      <c r="R28" s="10">
        <v>16315616.870000008</v>
      </c>
      <c r="S28" s="15">
        <v>0.09767915771775419</v>
      </c>
      <c r="T28" s="11">
        <v>1811</v>
      </c>
      <c r="U28" s="15">
        <v>0.0706483576499961</v>
      </c>
      <c r="V28" s="57"/>
      <c r="W28" s="56"/>
      <c r="X28" s="57"/>
      <c r="Y28" s="9"/>
      <c r="Z28" s="10">
        <v>4719740.96</v>
      </c>
      <c r="AA28" s="15">
        <v>0.030331908441152966</v>
      </c>
      <c r="AB28" s="11">
        <v>542</v>
      </c>
      <c r="AC28" s="15">
        <v>0.022360658443005076</v>
      </c>
      <c r="AD28" s="57"/>
      <c r="AE28" s="56"/>
      <c r="AF28" s="57"/>
      <c r="AG28" s="9"/>
      <c r="AH28" s="10">
        <v>1477235.97</v>
      </c>
      <c r="AI28" s="15">
        <v>0.010249219248968275</v>
      </c>
      <c r="AJ28" s="11">
        <v>176</v>
      </c>
      <c r="AK28" s="15">
        <v>0.007693652736492394</v>
      </c>
      <c r="AL28" s="57"/>
      <c r="AM28" s="56"/>
      <c r="AN28" s="57"/>
      <c r="AO28" s="10">
        <v>2457405.4</v>
      </c>
      <c r="AP28" s="15">
        <v>0.018412993262664303</v>
      </c>
      <c r="AQ28" s="11">
        <v>299</v>
      </c>
      <c r="AR28" s="15">
        <v>0.014229286632084899</v>
      </c>
      <c r="AS28" s="57"/>
      <c r="AT28" s="56"/>
      <c r="AU28" s="57"/>
      <c r="AV28" s="10">
        <v>1130897.24</v>
      </c>
      <c r="AW28" s="15">
        <v>0.009139043230147933</v>
      </c>
      <c r="AX28" s="11">
        <v>128</v>
      </c>
      <c r="AY28" s="15">
        <v>0.00650142218610321</v>
      </c>
      <c r="AZ28" s="57"/>
      <c r="BA28" s="56"/>
      <c r="BB28" s="57"/>
      <c r="BC28" s="10">
        <v>21623.36</v>
      </c>
      <c r="BD28" s="15">
        <v>0.00019340575913444358</v>
      </c>
      <c r="BE28" s="11">
        <v>2</v>
      </c>
      <c r="BF28" s="15">
        <v>0.00011165698972755694</v>
      </c>
      <c r="BG28" s="57"/>
      <c r="BH28" s="56"/>
      <c r="BI28" s="57"/>
      <c r="BJ28" s="10">
        <v>16673009.259999987</v>
      </c>
      <c r="BK28" s="15">
        <v>0.15995462517775677</v>
      </c>
      <c r="BL28" s="11">
        <v>2056</v>
      </c>
      <c r="BM28" s="15">
        <v>0.12206851511013478</v>
      </c>
      <c r="BN28" s="57"/>
      <c r="BO28" s="56"/>
      <c r="BP28" s="57"/>
      <c r="BQ28" s="10">
        <v>9683039.210000006</v>
      </c>
      <c r="BR28" s="15">
        <v>0.1004868944851468</v>
      </c>
      <c r="BS28" s="11">
        <v>1210</v>
      </c>
      <c r="BT28" s="15">
        <v>0.07673283023654005</v>
      </c>
      <c r="BU28" s="57"/>
      <c r="BV28" s="56"/>
      <c r="BW28" s="57"/>
      <c r="BX28" s="10">
        <v>2893739.97</v>
      </c>
      <c r="BY28" s="15">
        <v>0.03216277678440927</v>
      </c>
      <c r="BZ28" s="11">
        <v>382</v>
      </c>
      <c r="CA28" s="15">
        <v>0.02583350240075742</v>
      </c>
      <c r="CB28" s="57"/>
      <c r="CC28" s="56"/>
      <c r="CD28" s="57"/>
      <c r="CE28" s="10">
        <v>0</v>
      </c>
      <c r="CF28" s="15">
        <v>0</v>
      </c>
      <c r="CG28" s="11">
        <v>0</v>
      </c>
      <c r="CH28" s="15">
        <v>0</v>
      </c>
      <c r="CI28" s="57"/>
      <c r="CJ28" s="56"/>
      <c r="CK28" s="57"/>
      <c r="CL28" s="10">
        <v>0</v>
      </c>
      <c r="CM28" s="15">
        <v>0</v>
      </c>
      <c r="CN28" s="11">
        <v>0</v>
      </c>
      <c r="CO28" s="15">
        <v>0</v>
      </c>
      <c r="CP28" s="57"/>
      <c r="CQ28" s="56"/>
      <c r="CR28" s="57"/>
    </row>
    <row r="29" spans="1:96" ht="12.75">
      <c r="A29" s="9" t="s">
        <v>6</v>
      </c>
      <c r="B29" s="9"/>
      <c r="C29" s="9"/>
      <c r="D29" s="10">
        <v>32531.09</v>
      </c>
      <c r="E29" s="15">
        <v>0.00016901214154610872</v>
      </c>
      <c r="F29" s="11">
        <v>3</v>
      </c>
      <c r="G29" s="15">
        <v>0.0001001669449081803</v>
      </c>
      <c r="H29" s="9"/>
      <c r="I29" s="9"/>
      <c r="J29" s="10">
        <v>32531.09</v>
      </c>
      <c r="K29" s="15">
        <v>0.00018180570928630596</v>
      </c>
      <c r="L29" s="11">
        <v>3</v>
      </c>
      <c r="M29" s="15">
        <v>0.00011094674556213017</v>
      </c>
      <c r="N29" s="57"/>
      <c r="O29" s="56"/>
      <c r="P29" s="57"/>
      <c r="Q29" s="9"/>
      <c r="R29" s="10">
        <v>13374.29</v>
      </c>
      <c r="S29" s="15">
        <v>8.0069873709469E-05</v>
      </c>
      <c r="T29" s="11">
        <v>2</v>
      </c>
      <c r="U29" s="15">
        <v>7.802137785753296E-05</v>
      </c>
      <c r="V29" s="57"/>
      <c r="W29" s="56"/>
      <c r="X29" s="57"/>
      <c r="Y29" s="9"/>
      <c r="Z29" s="10">
        <v>13374.29</v>
      </c>
      <c r="AA29" s="15">
        <v>8.595127215317084E-05</v>
      </c>
      <c r="AB29" s="11">
        <v>2</v>
      </c>
      <c r="AC29" s="15">
        <v>8.251165477123644E-05</v>
      </c>
      <c r="AD29" s="57"/>
      <c r="AE29" s="56"/>
      <c r="AF29" s="57"/>
      <c r="AG29" s="9"/>
      <c r="AH29" s="10">
        <v>10907.73</v>
      </c>
      <c r="AI29" s="15">
        <v>7.567898328291364E-05</v>
      </c>
      <c r="AJ29" s="11">
        <v>1</v>
      </c>
      <c r="AK29" s="15">
        <v>4.371393600279769E-05</v>
      </c>
      <c r="AL29" s="57"/>
      <c r="AM29" s="56"/>
      <c r="AN29" s="57"/>
      <c r="AO29" s="10">
        <v>0</v>
      </c>
      <c r="AP29" s="15">
        <v>0</v>
      </c>
      <c r="AQ29" s="11">
        <v>0</v>
      </c>
      <c r="AR29" s="15">
        <v>0</v>
      </c>
      <c r="AS29" s="57"/>
      <c r="AT29" s="56"/>
      <c r="AU29" s="57"/>
      <c r="AV29" s="10">
        <v>0</v>
      </c>
      <c r="AW29" s="15">
        <v>0</v>
      </c>
      <c r="AX29" s="11">
        <v>0</v>
      </c>
      <c r="AY29" s="15">
        <v>0</v>
      </c>
      <c r="AZ29" s="57"/>
      <c r="BA29" s="56"/>
      <c r="BB29" s="57"/>
      <c r="BC29" s="10">
        <v>0</v>
      </c>
      <c r="BD29" s="15">
        <v>0</v>
      </c>
      <c r="BE29" s="11">
        <v>0</v>
      </c>
      <c r="BF29" s="15">
        <v>0</v>
      </c>
      <c r="BG29" s="57"/>
      <c r="BH29" s="56"/>
      <c r="BI29" s="57"/>
      <c r="BJ29" s="10">
        <v>0</v>
      </c>
      <c r="BK29" s="15">
        <v>0</v>
      </c>
      <c r="BL29" s="11">
        <v>0</v>
      </c>
      <c r="BM29" s="15">
        <v>0</v>
      </c>
      <c r="BN29" s="57"/>
      <c r="BO29" s="56"/>
      <c r="BP29" s="57"/>
      <c r="BQ29" s="10">
        <v>0</v>
      </c>
      <c r="BR29" s="15">
        <v>0</v>
      </c>
      <c r="BS29" s="11">
        <v>0</v>
      </c>
      <c r="BT29" s="15">
        <v>0</v>
      </c>
      <c r="BU29" s="57"/>
      <c r="BV29" s="56"/>
      <c r="BW29" s="57"/>
      <c r="BX29" s="10">
        <v>0</v>
      </c>
      <c r="BY29" s="15">
        <v>0</v>
      </c>
      <c r="BZ29" s="11">
        <v>0</v>
      </c>
      <c r="CA29" s="15">
        <v>0</v>
      </c>
      <c r="CB29" s="57"/>
      <c r="CC29" s="56"/>
      <c r="CD29" s="57"/>
      <c r="CE29" s="10">
        <v>0</v>
      </c>
      <c r="CF29" s="15">
        <v>0</v>
      </c>
      <c r="CG29" s="11">
        <v>0</v>
      </c>
      <c r="CH29" s="15">
        <v>0</v>
      </c>
      <c r="CI29" s="57"/>
      <c r="CJ29" s="56"/>
      <c r="CK29" s="57"/>
      <c r="CL29" s="10">
        <v>0</v>
      </c>
      <c r="CM29" s="15">
        <v>0</v>
      </c>
      <c r="CN29" s="11">
        <v>0</v>
      </c>
      <c r="CO29" s="15">
        <v>0</v>
      </c>
      <c r="CP29" s="57"/>
      <c r="CQ29" s="56"/>
      <c r="CR29" s="57"/>
    </row>
    <row r="30" spans="1:96" ht="12.75">
      <c r="A30" s="9" t="s">
        <v>140</v>
      </c>
      <c r="B30" s="9"/>
      <c r="C30" s="9"/>
      <c r="D30" s="10">
        <v>214085.95999999938</v>
      </c>
      <c r="E30" s="15">
        <v>0.0011122629636619759</v>
      </c>
      <c r="F30" s="11">
        <v>999</v>
      </c>
      <c r="G30" s="15">
        <v>0.03335559265442404</v>
      </c>
      <c r="H30" s="9"/>
      <c r="I30" s="9"/>
      <c r="J30" s="10">
        <v>280448.4</v>
      </c>
      <c r="K30" s="15">
        <v>0.0015673351332589722</v>
      </c>
      <c r="L30" s="11">
        <v>63</v>
      </c>
      <c r="M30" s="15">
        <v>0.0023298816568047337</v>
      </c>
      <c r="N30" s="57"/>
      <c r="O30" s="56"/>
      <c r="P30" s="57"/>
      <c r="Q30" s="9"/>
      <c r="R30" s="10">
        <v>278590.65</v>
      </c>
      <c r="S30" s="15">
        <v>0.0016678805500807054</v>
      </c>
      <c r="T30" s="11">
        <v>59</v>
      </c>
      <c r="U30" s="15">
        <v>0.0023016306467972224</v>
      </c>
      <c r="V30" s="57"/>
      <c r="W30" s="56"/>
      <c r="X30" s="57"/>
      <c r="Y30" s="9"/>
      <c r="Z30" s="10">
        <v>271084.23</v>
      </c>
      <c r="AA30" s="15">
        <v>0.0017421511294553028</v>
      </c>
      <c r="AB30" s="11">
        <v>55</v>
      </c>
      <c r="AC30" s="15">
        <v>0.002269070506209002</v>
      </c>
      <c r="AD30" s="57"/>
      <c r="AE30" s="56"/>
      <c r="AF30" s="57"/>
      <c r="AG30" s="9"/>
      <c r="AH30" s="10">
        <v>255312.17</v>
      </c>
      <c r="AI30" s="15">
        <v>0.0017713828124966795</v>
      </c>
      <c r="AJ30" s="11">
        <v>51</v>
      </c>
      <c r="AK30" s="15">
        <v>0.002229410736142682</v>
      </c>
      <c r="AL30" s="57"/>
      <c r="AM30" s="56"/>
      <c r="AN30" s="57"/>
      <c r="AO30" s="10">
        <v>0</v>
      </c>
      <c r="AP30" s="15">
        <v>0</v>
      </c>
      <c r="AQ30" s="11">
        <v>0</v>
      </c>
      <c r="AR30" s="15">
        <v>0</v>
      </c>
      <c r="AS30" s="57"/>
      <c r="AT30" s="56"/>
      <c r="AU30" s="57"/>
      <c r="AV30" s="10">
        <v>0</v>
      </c>
      <c r="AW30" s="15">
        <v>0</v>
      </c>
      <c r="AX30" s="11">
        <v>0</v>
      </c>
      <c r="AY30" s="15">
        <v>0</v>
      </c>
      <c r="AZ30" s="57"/>
      <c r="BA30" s="56"/>
      <c r="BB30" s="57"/>
      <c r="BC30" s="10">
        <v>0</v>
      </c>
      <c r="BD30" s="15">
        <v>0</v>
      </c>
      <c r="BE30" s="11">
        <v>0</v>
      </c>
      <c r="BF30" s="15">
        <v>0</v>
      </c>
      <c r="BG30" s="57"/>
      <c r="BH30" s="56"/>
      <c r="BI30" s="57"/>
      <c r="BJ30" s="10">
        <v>0</v>
      </c>
      <c r="BK30" s="15">
        <v>0</v>
      </c>
      <c r="BL30" s="11">
        <v>0</v>
      </c>
      <c r="BM30" s="15">
        <v>0</v>
      </c>
      <c r="BN30" s="57"/>
      <c r="BO30" s="56"/>
      <c r="BP30" s="57"/>
      <c r="BQ30" s="10">
        <v>0</v>
      </c>
      <c r="BR30" s="15">
        <v>0</v>
      </c>
      <c r="BS30" s="11">
        <v>0</v>
      </c>
      <c r="BT30" s="15">
        <v>0</v>
      </c>
      <c r="BU30" s="57"/>
      <c r="BV30" s="56"/>
      <c r="BW30" s="57"/>
      <c r="BX30" s="10">
        <v>0</v>
      </c>
      <c r="BY30" s="15">
        <v>0</v>
      </c>
      <c r="BZ30" s="11">
        <v>0</v>
      </c>
      <c r="CA30" s="15">
        <v>0</v>
      </c>
      <c r="CB30" s="57"/>
      <c r="CC30" s="56"/>
      <c r="CD30" s="57"/>
      <c r="CE30" s="10">
        <v>0</v>
      </c>
      <c r="CF30" s="15">
        <v>0</v>
      </c>
      <c r="CG30" s="11">
        <v>0</v>
      </c>
      <c r="CH30" s="15">
        <v>0</v>
      </c>
      <c r="CI30" s="57"/>
      <c r="CJ30" s="56"/>
      <c r="CK30" s="57"/>
      <c r="CL30" s="10">
        <v>0</v>
      </c>
      <c r="CM30" s="15">
        <v>0</v>
      </c>
      <c r="CN30" s="11">
        <v>0</v>
      </c>
      <c r="CO30" s="15">
        <v>0</v>
      </c>
      <c r="CP30" s="57"/>
      <c r="CQ30" s="56"/>
      <c r="CR30" s="57"/>
    </row>
    <row r="31" spans="1:96" ht="12.75">
      <c r="A31" s="9"/>
      <c r="B31" s="9"/>
      <c r="C31" s="9"/>
      <c r="D31" s="10"/>
      <c r="E31" s="9"/>
      <c r="F31" s="11"/>
      <c r="G31" s="9"/>
      <c r="H31" s="9"/>
      <c r="I31" s="9"/>
      <c r="J31" s="10"/>
      <c r="K31" s="9"/>
      <c r="L31" s="11"/>
      <c r="M31" s="9"/>
      <c r="N31" s="55"/>
      <c r="O31" s="56"/>
      <c r="P31" s="55"/>
      <c r="Q31" s="9"/>
      <c r="R31" s="10"/>
      <c r="S31" s="9"/>
      <c r="T31" s="11"/>
      <c r="U31" s="9"/>
      <c r="V31" s="55"/>
      <c r="W31" s="56"/>
      <c r="X31" s="55"/>
      <c r="Y31" s="9"/>
      <c r="Z31" s="10"/>
      <c r="AA31" s="9"/>
      <c r="AB31" s="11"/>
      <c r="AC31" s="9"/>
      <c r="AD31" s="55"/>
      <c r="AE31" s="56"/>
      <c r="AF31" s="55"/>
      <c r="AG31" s="9"/>
      <c r="AH31" s="10"/>
      <c r="AI31" s="9"/>
      <c r="AJ31" s="11"/>
      <c r="AK31" s="9"/>
      <c r="AL31" s="55"/>
      <c r="AM31" s="56"/>
      <c r="AN31" s="55"/>
      <c r="AO31" s="10"/>
      <c r="AP31" s="9"/>
      <c r="AQ31" s="11"/>
      <c r="AR31" s="9"/>
      <c r="AS31" s="55"/>
      <c r="AT31" s="56"/>
      <c r="AU31" s="55"/>
      <c r="AV31" s="10"/>
      <c r="AW31" s="9"/>
      <c r="AX31" s="11"/>
      <c r="AY31" s="9"/>
      <c r="AZ31" s="55"/>
      <c r="BA31" s="56"/>
      <c r="BB31" s="55"/>
      <c r="BC31" s="10"/>
      <c r="BD31" s="9"/>
      <c r="BE31" s="11"/>
      <c r="BF31" s="9"/>
      <c r="BG31" s="55"/>
      <c r="BH31" s="56"/>
      <c r="BI31" s="55"/>
      <c r="BJ31" s="10"/>
      <c r="BK31" s="9"/>
      <c r="BL31" s="11"/>
      <c r="BM31" s="9"/>
      <c r="BN31" s="55"/>
      <c r="BO31" s="56"/>
      <c r="BP31" s="55"/>
      <c r="BQ31" s="10"/>
      <c r="BR31" s="9"/>
      <c r="BS31" s="11"/>
      <c r="BT31" s="9"/>
      <c r="BU31" s="55"/>
      <c r="BV31" s="56"/>
      <c r="BW31" s="55"/>
      <c r="BX31" s="10"/>
      <c r="BY31" s="9"/>
      <c r="BZ31" s="11"/>
      <c r="CA31" s="9"/>
      <c r="CB31" s="55"/>
      <c r="CC31" s="56"/>
      <c r="CD31" s="55"/>
      <c r="CE31" s="10"/>
      <c r="CF31" s="9"/>
      <c r="CG31" s="11"/>
      <c r="CH31" s="9"/>
      <c r="CI31" s="55"/>
      <c r="CJ31" s="56"/>
      <c r="CK31" s="55"/>
      <c r="CL31" s="10"/>
      <c r="CM31" s="9"/>
      <c r="CN31" s="11"/>
      <c r="CO31" s="9"/>
      <c r="CP31" s="55"/>
      <c r="CQ31" s="56"/>
      <c r="CR31" s="55"/>
    </row>
    <row r="32" spans="1:96" ht="13.5" thickBot="1">
      <c r="A32" s="9"/>
      <c r="B32" s="13"/>
      <c r="C32" s="13"/>
      <c r="D32" s="22">
        <f>SUM(D19:D30)</f>
        <v>192477828.52999997</v>
      </c>
      <c r="E32" s="13"/>
      <c r="F32" s="23">
        <f>SUM(F19:F30)</f>
        <v>29950</v>
      </c>
      <c r="G32" s="24"/>
      <c r="H32" s="9"/>
      <c r="I32" s="9"/>
      <c r="J32" s="22">
        <f>SUM(J19:J30)</f>
        <v>178933269.6300001</v>
      </c>
      <c r="K32" s="13"/>
      <c r="L32" s="23">
        <f>SUM(L19:L30)</f>
        <v>27040</v>
      </c>
      <c r="M32" s="24"/>
      <c r="N32" s="54"/>
      <c r="O32" s="32"/>
      <c r="P32" s="58"/>
      <c r="Q32" s="9"/>
      <c r="R32" s="22">
        <f>SUM(R19:R30)</f>
        <v>167032735.04000002</v>
      </c>
      <c r="S32" s="13"/>
      <c r="T32" s="23">
        <f>SUM(T19:T30)</f>
        <v>25634</v>
      </c>
      <c r="U32" s="24"/>
      <c r="V32" s="54"/>
      <c r="W32" s="32"/>
      <c r="X32" s="58"/>
      <c r="Y32" s="9"/>
      <c r="Z32" s="22">
        <f>SUM(Z19:Z30)</f>
        <v>155603165.19999996</v>
      </c>
      <c r="AA32" s="13"/>
      <c r="AB32" s="23">
        <f>SUM(AB19:AB30)</f>
        <v>24239</v>
      </c>
      <c r="AC32" s="24"/>
      <c r="AD32" s="54"/>
      <c r="AE32" s="32"/>
      <c r="AF32" s="58"/>
      <c r="AG32" s="9"/>
      <c r="AH32" s="22">
        <f>SUM(AH19:AH30)</f>
        <v>144131561.06000015</v>
      </c>
      <c r="AI32" s="13"/>
      <c r="AJ32" s="23">
        <f>SUM(AJ19:AJ30)</f>
        <v>22876</v>
      </c>
      <c r="AK32" s="24"/>
      <c r="AL32" s="54"/>
      <c r="AM32" s="32"/>
      <c r="AN32" s="58"/>
      <c r="AO32" s="22">
        <f>SUM(AO19:AO30)</f>
        <v>133460397.49999999</v>
      </c>
      <c r="AP32" s="13"/>
      <c r="AQ32" s="23">
        <f>SUM(AQ19:AQ30)</f>
        <v>21013</v>
      </c>
      <c r="AR32" s="24"/>
      <c r="AS32" s="54"/>
      <c r="AT32" s="32"/>
      <c r="AU32" s="58"/>
      <c r="AV32" s="22">
        <f>SUM(AV19:AV30)</f>
        <v>123743504.82000008</v>
      </c>
      <c r="AW32" s="13"/>
      <c r="AX32" s="23">
        <f>SUM(AX19:AX30)</f>
        <v>19688</v>
      </c>
      <c r="AY32" s="24"/>
      <c r="AZ32" s="54"/>
      <c r="BA32" s="32"/>
      <c r="BB32" s="58"/>
      <c r="BC32" s="22">
        <f>SUM(BC19:BC30)</f>
        <v>111803082.27000001</v>
      </c>
      <c r="BD32" s="13"/>
      <c r="BE32" s="23">
        <f>SUM(BE19:BE30)</f>
        <v>17912</v>
      </c>
      <c r="BF32" s="24"/>
      <c r="BG32" s="54"/>
      <c r="BH32" s="32"/>
      <c r="BI32" s="58"/>
      <c r="BJ32" s="22">
        <f>SUM(BJ19:BJ30)</f>
        <v>104235868.40000004</v>
      </c>
      <c r="BK32" s="13"/>
      <c r="BL32" s="23">
        <f>SUM(BL19:BL30)</f>
        <v>16843</v>
      </c>
      <c r="BM32" s="24"/>
      <c r="BN32" s="54"/>
      <c r="BO32" s="32"/>
      <c r="BP32" s="58"/>
      <c r="BQ32" s="22">
        <f>SUM(BQ19:BQ30)</f>
        <v>96361214.66000007</v>
      </c>
      <c r="BR32" s="13"/>
      <c r="BS32" s="23">
        <f>SUM(BS19:BS30)</f>
        <v>15769</v>
      </c>
      <c r="BT32" s="24"/>
      <c r="BU32" s="54"/>
      <c r="BV32" s="32"/>
      <c r="BW32" s="58"/>
      <c r="BX32" s="22">
        <f>SUM(BX19:BX30)</f>
        <v>89971708.27</v>
      </c>
      <c r="BY32" s="13"/>
      <c r="BZ32" s="23">
        <f>SUM(BZ19:BZ30)</f>
        <v>14787</v>
      </c>
      <c r="CA32" s="24"/>
      <c r="CB32" s="54"/>
      <c r="CC32" s="32"/>
      <c r="CD32" s="58"/>
      <c r="CE32" s="22">
        <f>SUM(CE19:CE30)</f>
        <v>83765270.52000001</v>
      </c>
      <c r="CF32" s="13"/>
      <c r="CG32" s="23">
        <f>SUM(CG19:CG30)</f>
        <v>13861</v>
      </c>
      <c r="CH32" s="24"/>
      <c r="CI32" s="54"/>
      <c r="CJ32" s="32"/>
      <c r="CK32" s="58"/>
      <c r="CL32" s="22">
        <f>SUM(CL19:CL30)</f>
        <v>78492633.17999999</v>
      </c>
      <c r="CM32" s="13"/>
      <c r="CN32" s="23">
        <f>SUM(CN19:CN30)</f>
        <v>13024</v>
      </c>
      <c r="CO32" s="24"/>
      <c r="CP32" s="54"/>
      <c r="CQ32" s="32"/>
      <c r="CR32" s="58"/>
    </row>
    <row r="33" spans="1:96" ht="13.5" thickTop="1">
      <c r="A33" s="9"/>
      <c r="B33" s="9"/>
      <c r="C33" s="9"/>
      <c r="D33" s="10"/>
      <c r="E33" s="9"/>
      <c r="F33" s="11"/>
      <c r="G33" s="9"/>
      <c r="H33" s="9"/>
      <c r="I33" s="9"/>
      <c r="J33" s="9"/>
      <c r="K33" s="9"/>
      <c r="L33" s="9"/>
      <c r="M33" s="10"/>
      <c r="N33" s="55"/>
      <c r="O33" s="56"/>
      <c r="P33" s="55"/>
      <c r="Q33" s="9"/>
      <c r="R33" s="9"/>
      <c r="S33" s="9"/>
      <c r="T33" s="9"/>
      <c r="U33" s="10"/>
      <c r="V33" s="55"/>
      <c r="W33" s="56"/>
      <c r="X33" s="55"/>
      <c r="Y33" s="9"/>
      <c r="Z33" s="9"/>
      <c r="AA33" s="9"/>
      <c r="AB33" s="9"/>
      <c r="AC33" s="10"/>
      <c r="AD33" s="55"/>
      <c r="AE33" s="56"/>
      <c r="AF33" s="55"/>
      <c r="AG33" s="9"/>
      <c r="AH33" s="9"/>
      <c r="AI33" s="9"/>
      <c r="AJ33" s="9"/>
      <c r="AK33" s="10"/>
      <c r="AL33" s="55"/>
      <c r="AM33" s="56"/>
      <c r="AN33" s="55"/>
      <c r="AO33" s="9"/>
      <c r="AP33" s="9"/>
      <c r="AQ33" s="9"/>
      <c r="AR33" s="10"/>
      <c r="AS33" s="55"/>
      <c r="AT33" s="56"/>
      <c r="AU33" s="55"/>
      <c r="AV33" s="9"/>
      <c r="AW33" s="9"/>
      <c r="AX33" s="9"/>
      <c r="AY33" s="10"/>
      <c r="AZ33" s="55"/>
      <c r="BA33" s="56"/>
      <c r="BB33" s="55"/>
      <c r="BC33" s="9"/>
      <c r="BD33" s="9"/>
      <c r="BE33" s="9"/>
      <c r="BF33" s="10"/>
      <c r="BG33" s="55"/>
      <c r="BH33" s="56"/>
      <c r="BI33" s="55"/>
      <c r="BJ33" s="9"/>
      <c r="BK33" s="9"/>
      <c r="BL33" s="9"/>
      <c r="BM33" s="10"/>
      <c r="BN33" s="55"/>
      <c r="BO33" s="56"/>
      <c r="BP33" s="55"/>
      <c r="BQ33" s="9"/>
      <c r="BR33" s="9"/>
      <c r="BS33" s="9"/>
      <c r="BT33" s="10"/>
      <c r="BU33" s="55"/>
      <c r="BV33" s="56"/>
      <c r="BW33" s="55"/>
      <c r="BX33" s="9"/>
      <c r="BY33" s="9"/>
      <c r="BZ33" s="9"/>
      <c r="CA33" s="10"/>
      <c r="CB33" s="55"/>
      <c r="CC33" s="56"/>
      <c r="CD33" s="55"/>
      <c r="CE33" s="9"/>
      <c r="CF33" s="9"/>
      <c r="CG33" s="9"/>
      <c r="CH33" s="10"/>
      <c r="CI33" s="55"/>
      <c r="CJ33" s="56"/>
      <c r="CK33" s="55"/>
      <c r="CL33" s="9"/>
      <c r="CM33" s="9"/>
      <c r="CN33" s="9"/>
      <c r="CO33" s="10"/>
      <c r="CP33" s="55"/>
      <c r="CQ33" s="56"/>
      <c r="CR33" s="55"/>
    </row>
    <row r="34" spans="1:96" ht="12.75">
      <c r="A34" s="9"/>
      <c r="B34" s="9"/>
      <c r="C34" s="9"/>
      <c r="D34" s="10"/>
      <c r="E34" s="9"/>
      <c r="F34" s="11"/>
      <c r="G34" s="9"/>
      <c r="H34" s="9"/>
      <c r="I34" s="9"/>
      <c r="J34" s="9"/>
      <c r="K34" s="9"/>
      <c r="L34" s="9"/>
      <c r="M34" s="10"/>
      <c r="N34" s="9"/>
      <c r="O34" s="11"/>
      <c r="P34" s="9"/>
      <c r="Q34" s="9"/>
      <c r="R34" s="9"/>
      <c r="S34" s="9"/>
      <c r="T34" s="9"/>
      <c r="U34" s="10"/>
      <c r="V34" s="9"/>
      <c r="W34" s="11"/>
      <c r="X34" s="9"/>
      <c r="Y34" s="9"/>
      <c r="Z34" s="9"/>
      <c r="AA34" s="9"/>
      <c r="AB34" s="9"/>
      <c r="AC34" s="10"/>
      <c r="AD34" s="9"/>
      <c r="AE34" s="11"/>
      <c r="AF34" s="9"/>
      <c r="AG34" s="9"/>
      <c r="AH34" s="9"/>
      <c r="AI34" s="9"/>
      <c r="AJ34" s="9"/>
      <c r="AK34" s="10"/>
      <c r="AL34" s="9"/>
      <c r="AM34" s="11"/>
      <c r="AN34" s="9"/>
      <c r="AO34" s="9"/>
      <c r="AP34" s="9"/>
      <c r="AQ34" s="9"/>
      <c r="AR34" s="10"/>
      <c r="AS34" s="9"/>
      <c r="AT34" s="11"/>
      <c r="AU34" s="9"/>
      <c r="AV34" s="9"/>
      <c r="AW34" s="9"/>
      <c r="AX34" s="9"/>
      <c r="AY34" s="10"/>
      <c r="AZ34" s="9"/>
      <c r="BA34" s="11"/>
      <c r="BB34" s="9"/>
      <c r="BC34" s="9"/>
      <c r="BD34" s="9"/>
      <c r="BE34" s="9"/>
      <c r="BF34" s="10"/>
      <c r="BG34" s="9"/>
      <c r="BH34" s="11"/>
      <c r="BI34" s="9"/>
      <c r="BJ34" s="9"/>
      <c r="BK34" s="9"/>
      <c r="BL34" s="9"/>
      <c r="BM34" s="10"/>
      <c r="BN34" s="9"/>
      <c r="BO34" s="11"/>
      <c r="BP34" s="9"/>
      <c r="BQ34" s="9"/>
      <c r="BR34" s="9"/>
      <c r="BS34" s="9"/>
      <c r="BT34" s="10"/>
      <c r="BU34" s="9"/>
      <c r="BV34" s="11"/>
      <c r="BW34" s="9"/>
      <c r="BX34" s="9"/>
      <c r="BY34" s="9"/>
      <c r="BZ34" s="9"/>
      <c r="CA34" s="10"/>
      <c r="CB34" s="9"/>
      <c r="CC34" s="11"/>
      <c r="CD34" s="9"/>
      <c r="CE34" s="9"/>
      <c r="CF34" s="9"/>
      <c r="CG34" s="9"/>
      <c r="CH34" s="10"/>
      <c r="CI34" s="9"/>
      <c r="CJ34" s="11"/>
      <c r="CK34" s="9"/>
      <c r="CL34" s="9"/>
      <c r="CM34" s="9"/>
      <c r="CN34" s="9"/>
      <c r="CO34" s="10"/>
      <c r="CP34" s="9"/>
      <c r="CQ34" s="11"/>
      <c r="CR34" s="9"/>
    </row>
    <row r="35" spans="1:96" ht="12.75">
      <c r="A35" s="20" t="s">
        <v>107</v>
      </c>
      <c r="B35" s="9"/>
      <c r="C35" s="9"/>
      <c r="D35" s="10"/>
      <c r="E35" s="9"/>
      <c r="F35" s="11"/>
      <c r="G35" s="9"/>
      <c r="H35" s="9"/>
      <c r="I35" s="9"/>
      <c r="J35" s="20" t="s">
        <v>107</v>
      </c>
      <c r="K35" s="9"/>
      <c r="L35" s="9"/>
      <c r="M35" s="10"/>
      <c r="N35" s="9"/>
      <c r="O35" s="11"/>
      <c r="P35" s="9"/>
      <c r="Q35" s="9"/>
      <c r="R35" s="20" t="s">
        <v>107</v>
      </c>
      <c r="S35" s="9"/>
      <c r="T35" s="9"/>
      <c r="U35" s="10"/>
      <c r="V35" s="9"/>
      <c r="W35" s="11"/>
      <c r="X35" s="9"/>
      <c r="Y35" s="9"/>
      <c r="Z35" s="20" t="s">
        <v>107</v>
      </c>
      <c r="AA35" s="9"/>
      <c r="AB35" s="9"/>
      <c r="AC35" s="10"/>
      <c r="AD35" s="9"/>
      <c r="AE35" s="11"/>
      <c r="AF35" s="9"/>
      <c r="AG35" s="9"/>
      <c r="AH35" s="20" t="s">
        <v>107</v>
      </c>
      <c r="AI35" s="9"/>
      <c r="AJ35" s="9"/>
      <c r="AK35" s="10"/>
      <c r="AL35" s="9"/>
      <c r="AM35" s="11"/>
      <c r="AN35" s="9"/>
      <c r="AO35" s="20" t="s">
        <v>107</v>
      </c>
      <c r="AP35" s="9"/>
      <c r="AQ35" s="9"/>
      <c r="AR35" s="10"/>
      <c r="AS35" s="9"/>
      <c r="AT35" s="11"/>
      <c r="AU35" s="9"/>
      <c r="AV35" s="20" t="s">
        <v>107</v>
      </c>
      <c r="AW35" s="9"/>
      <c r="AX35" s="9"/>
      <c r="AY35" s="10"/>
      <c r="AZ35" s="9"/>
      <c r="BA35" s="11"/>
      <c r="BB35" s="9"/>
      <c r="BC35" s="20" t="s">
        <v>107</v>
      </c>
      <c r="BD35" s="9"/>
      <c r="BE35" s="9"/>
      <c r="BF35" s="10"/>
      <c r="BG35" s="9"/>
      <c r="BH35" s="11"/>
      <c r="BI35" s="9"/>
      <c r="BJ35" s="20" t="s">
        <v>107</v>
      </c>
      <c r="BK35" s="9"/>
      <c r="BL35" s="9"/>
      <c r="BM35" s="10"/>
      <c r="BN35" s="9"/>
      <c r="BO35" s="11"/>
      <c r="BP35" s="9"/>
      <c r="BQ35" s="20" t="s">
        <v>107</v>
      </c>
      <c r="BR35" s="9"/>
      <c r="BS35" s="9"/>
      <c r="BT35" s="10"/>
      <c r="BU35" s="9"/>
      <c r="BV35" s="11"/>
      <c r="BW35" s="9"/>
      <c r="BX35" s="20" t="s">
        <v>107</v>
      </c>
      <c r="BY35" s="9"/>
      <c r="BZ35" s="9"/>
      <c r="CA35" s="10"/>
      <c r="CB35" s="9"/>
      <c r="CC35" s="11"/>
      <c r="CD35" s="9"/>
      <c r="CE35" s="20" t="s">
        <v>107</v>
      </c>
      <c r="CF35" s="9"/>
      <c r="CG35" s="9"/>
      <c r="CH35" s="10"/>
      <c r="CI35" s="9"/>
      <c r="CJ35" s="11"/>
      <c r="CK35" s="9"/>
      <c r="CL35" s="20" t="s">
        <v>107</v>
      </c>
      <c r="CM35" s="9"/>
      <c r="CN35" s="9"/>
      <c r="CO35" s="10"/>
      <c r="CP35" s="9"/>
      <c r="CQ35" s="11"/>
      <c r="CR35" s="9"/>
    </row>
    <row r="36" spans="1:96" ht="12.75">
      <c r="A36" s="20"/>
      <c r="B36" s="9"/>
      <c r="C36" s="9"/>
      <c r="D36" s="10"/>
      <c r="E36" s="9"/>
      <c r="F36" s="11"/>
      <c r="G36" s="9"/>
      <c r="H36" s="9"/>
      <c r="I36" s="9"/>
      <c r="J36" s="20"/>
      <c r="K36" s="9"/>
      <c r="L36" s="9"/>
      <c r="M36" s="10"/>
      <c r="N36" s="9"/>
      <c r="O36" s="11"/>
      <c r="P36" s="9"/>
      <c r="Q36" s="9"/>
      <c r="R36" s="20"/>
      <c r="S36" s="9"/>
      <c r="T36" s="9"/>
      <c r="U36" s="10"/>
      <c r="V36" s="9"/>
      <c r="W36" s="11"/>
      <c r="X36" s="9"/>
      <c r="Y36" s="9"/>
      <c r="Z36" s="20"/>
      <c r="AA36" s="9"/>
      <c r="AB36" s="9"/>
      <c r="AC36" s="10"/>
      <c r="AD36" s="9"/>
      <c r="AE36" s="11"/>
      <c r="AF36" s="9"/>
      <c r="AG36" s="9"/>
      <c r="AH36" s="20"/>
      <c r="AI36" s="9"/>
      <c r="AJ36" s="9"/>
      <c r="AK36" s="10"/>
      <c r="AL36" s="9"/>
      <c r="AM36" s="11"/>
      <c r="AN36" s="9"/>
      <c r="AO36" s="20"/>
      <c r="AP36" s="9"/>
      <c r="AQ36" s="9"/>
      <c r="AR36" s="10"/>
      <c r="AS36" s="9"/>
      <c r="AT36" s="11"/>
      <c r="AU36" s="9"/>
      <c r="AV36" s="20"/>
      <c r="AW36" s="9"/>
      <c r="AX36" s="9"/>
      <c r="AY36" s="10"/>
      <c r="AZ36" s="9"/>
      <c r="BA36" s="11"/>
      <c r="BB36" s="9"/>
      <c r="BC36" s="20"/>
      <c r="BD36" s="9"/>
      <c r="BE36" s="9"/>
      <c r="BF36" s="10"/>
      <c r="BG36" s="9"/>
      <c r="BH36" s="11"/>
      <c r="BI36" s="9"/>
      <c r="BJ36" s="20"/>
      <c r="BK36" s="9"/>
      <c r="BL36" s="9"/>
      <c r="BM36" s="10"/>
      <c r="BN36" s="9"/>
      <c r="BO36" s="11"/>
      <c r="BP36" s="9"/>
      <c r="BQ36" s="20"/>
      <c r="BR36" s="9"/>
      <c r="BS36" s="9"/>
      <c r="BT36" s="10"/>
      <c r="BU36" s="9"/>
      <c r="BV36" s="11"/>
      <c r="BW36" s="9"/>
      <c r="BX36" s="20"/>
      <c r="BY36" s="9"/>
      <c r="BZ36" s="9"/>
      <c r="CA36" s="10"/>
      <c r="CB36" s="9"/>
      <c r="CC36" s="11"/>
      <c r="CD36" s="9"/>
      <c r="CE36" s="20"/>
      <c r="CF36" s="9"/>
      <c r="CG36" s="9"/>
      <c r="CH36" s="10"/>
      <c r="CI36" s="9"/>
      <c r="CJ36" s="11"/>
      <c r="CK36" s="9"/>
      <c r="CL36" s="20"/>
      <c r="CM36" s="9"/>
      <c r="CN36" s="9"/>
      <c r="CO36" s="10"/>
      <c r="CP36" s="9"/>
      <c r="CQ36" s="11"/>
      <c r="CR36" s="9"/>
    </row>
    <row r="37" spans="1:96" s="30" customFormat="1" ht="12.75">
      <c r="A37" s="26"/>
      <c r="B37" s="27"/>
      <c r="C37" s="27"/>
      <c r="D37" s="28" t="s">
        <v>143</v>
      </c>
      <c r="E37" s="27" t="s">
        <v>96</v>
      </c>
      <c r="F37" s="29" t="s">
        <v>97</v>
      </c>
      <c r="G37" s="27" t="s">
        <v>96</v>
      </c>
      <c r="H37" s="26"/>
      <c r="I37" s="26"/>
      <c r="J37" s="28" t="s">
        <v>143</v>
      </c>
      <c r="K37" s="27" t="s">
        <v>96</v>
      </c>
      <c r="L37" s="29" t="s">
        <v>97</v>
      </c>
      <c r="M37" s="27" t="s">
        <v>96</v>
      </c>
      <c r="N37" s="65"/>
      <c r="O37" s="66"/>
      <c r="P37" s="65"/>
      <c r="Q37" s="26"/>
      <c r="R37" s="28" t="s">
        <v>143</v>
      </c>
      <c r="S37" s="27" t="s">
        <v>96</v>
      </c>
      <c r="T37" s="29" t="s">
        <v>97</v>
      </c>
      <c r="U37" s="27" t="s">
        <v>96</v>
      </c>
      <c r="V37" s="65"/>
      <c r="W37" s="66"/>
      <c r="X37" s="65"/>
      <c r="Y37" s="26"/>
      <c r="Z37" s="28" t="s">
        <v>143</v>
      </c>
      <c r="AA37" s="27" t="s">
        <v>96</v>
      </c>
      <c r="AB37" s="29" t="s">
        <v>97</v>
      </c>
      <c r="AC37" s="27" t="s">
        <v>96</v>
      </c>
      <c r="AD37" s="65"/>
      <c r="AE37" s="66"/>
      <c r="AF37" s="65"/>
      <c r="AG37" s="26"/>
      <c r="AH37" s="28" t="s">
        <v>143</v>
      </c>
      <c r="AI37" s="27" t="s">
        <v>96</v>
      </c>
      <c r="AJ37" s="29" t="s">
        <v>97</v>
      </c>
      <c r="AK37" s="27" t="s">
        <v>96</v>
      </c>
      <c r="AL37" s="65"/>
      <c r="AM37" s="66"/>
      <c r="AN37" s="65"/>
      <c r="AO37" s="28" t="s">
        <v>143</v>
      </c>
      <c r="AP37" s="27" t="s">
        <v>96</v>
      </c>
      <c r="AQ37" s="29" t="s">
        <v>97</v>
      </c>
      <c r="AR37" s="27" t="s">
        <v>96</v>
      </c>
      <c r="AS37" s="65"/>
      <c r="AT37" s="66"/>
      <c r="AU37" s="65"/>
      <c r="AV37" s="94" t="s">
        <v>143</v>
      </c>
      <c r="AW37" s="45" t="s">
        <v>96</v>
      </c>
      <c r="AX37" s="93" t="s">
        <v>97</v>
      </c>
      <c r="AY37" s="27" t="s">
        <v>96</v>
      </c>
      <c r="AZ37" s="65"/>
      <c r="BA37" s="66"/>
      <c r="BB37" s="65"/>
      <c r="BC37" s="94" t="s">
        <v>143</v>
      </c>
      <c r="BD37" s="45" t="s">
        <v>96</v>
      </c>
      <c r="BE37" s="93" t="s">
        <v>97</v>
      </c>
      <c r="BF37" s="27" t="s">
        <v>96</v>
      </c>
      <c r="BG37" s="65"/>
      <c r="BH37" s="66"/>
      <c r="BI37" s="65"/>
      <c r="BJ37" s="94" t="s">
        <v>143</v>
      </c>
      <c r="BK37" s="45" t="s">
        <v>96</v>
      </c>
      <c r="BL37" s="93" t="s">
        <v>97</v>
      </c>
      <c r="BM37" s="27" t="s">
        <v>96</v>
      </c>
      <c r="BN37" s="65"/>
      <c r="BO37" s="66"/>
      <c r="BP37" s="65"/>
      <c r="BQ37" s="94" t="s">
        <v>143</v>
      </c>
      <c r="BR37" s="45" t="s">
        <v>96</v>
      </c>
      <c r="BS37" s="93" t="s">
        <v>97</v>
      </c>
      <c r="BT37" s="27" t="s">
        <v>96</v>
      </c>
      <c r="BU37" s="65"/>
      <c r="BV37" s="66"/>
      <c r="BW37" s="65"/>
      <c r="BX37" s="94" t="s">
        <v>143</v>
      </c>
      <c r="BY37" s="45" t="s">
        <v>96</v>
      </c>
      <c r="BZ37" s="93" t="s">
        <v>97</v>
      </c>
      <c r="CA37" s="27" t="s">
        <v>96</v>
      </c>
      <c r="CB37" s="65"/>
      <c r="CC37" s="66"/>
      <c r="CD37" s="65"/>
      <c r="CE37" s="94" t="s">
        <v>143</v>
      </c>
      <c r="CF37" s="45" t="s">
        <v>96</v>
      </c>
      <c r="CG37" s="93" t="s">
        <v>97</v>
      </c>
      <c r="CH37" s="27" t="s">
        <v>96</v>
      </c>
      <c r="CI37" s="65"/>
      <c r="CJ37" s="66"/>
      <c r="CK37" s="65"/>
      <c r="CL37" s="94" t="s">
        <v>143</v>
      </c>
      <c r="CM37" s="45" t="s">
        <v>96</v>
      </c>
      <c r="CN37" s="93" t="s">
        <v>97</v>
      </c>
      <c r="CO37" s="27" t="s">
        <v>96</v>
      </c>
      <c r="CP37" s="65"/>
      <c r="CQ37" s="66"/>
      <c r="CR37" s="65"/>
    </row>
    <row r="38" spans="1:96" ht="12.75">
      <c r="A38" s="13"/>
      <c r="B38" s="9"/>
      <c r="C38" s="9"/>
      <c r="D38" s="10"/>
      <c r="E38" s="9"/>
      <c r="F38" s="11"/>
      <c r="G38" s="9"/>
      <c r="H38" s="9"/>
      <c r="I38" s="9"/>
      <c r="J38" s="10"/>
      <c r="K38" s="9"/>
      <c r="L38" s="11"/>
      <c r="M38" s="9"/>
      <c r="N38" s="55"/>
      <c r="O38" s="56"/>
      <c r="P38" s="55"/>
      <c r="Q38" s="9"/>
      <c r="R38" s="10"/>
      <c r="S38" s="9"/>
      <c r="T38" s="11"/>
      <c r="U38" s="9"/>
      <c r="V38" s="55"/>
      <c r="W38" s="56"/>
      <c r="X38" s="55"/>
      <c r="Y38" s="9"/>
      <c r="Z38" s="10"/>
      <c r="AA38" s="9"/>
      <c r="AB38" s="11"/>
      <c r="AC38" s="9"/>
      <c r="AD38" s="55"/>
      <c r="AE38" s="56"/>
      <c r="AF38" s="55"/>
      <c r="AG38" s="9"/>
      <c r="AH38" s="10"/>
      <c r="AI38" s="9"/>
      <c r="AJ38" s="11"/>
      <c r="AK38" s="9"/>
      <c r="AL38" s="55"/>
      <c r="AM38" s="56"/>
      <c r="AN38" s="55"/>
      <c r="AO38" s="10"/>
      <c r="AP38" s="9"/>
      <c r="AQ38" s="11"/>
      <c r="AR38" s="9"/>
      <c r="AS38" s="55"/>
      <c r="AT38" s="56"/>
      <c r="AU38" s="55"/>
      <c r="AV38" s="10"/>
      <c r="AW38" s="9"/>
      <c r="AX38" s="11"/>
      <c r="AY38" s="9"/>
      <c r="AZ38" s="55"/>
      <c r="BA38" s="56"/>
      <c r="BB38" s="55"/>
      <c r="BC38" s="10"/>
      <c r="BD38" s="9"/>
      <c r="BE38" s="11"/>
      <c r="BF38" s="9"/>
      <c r="BG38" s="55"/>
      <c r="BH38" s="56"/>
      <c r="BI38" s="55"/>
      <c r="BJ38" s="10"/>
      <c r="BK38" s="9"/>
      <c r="BL38" s="11"/>
      <c r="BM38" s="9"/>
      <c r="BN38" s="55"/>
      <c r="BO38" s="56"/>
      <c r="BP38" s="55"/>
      <c r="BQ38" s="10"/>
      <c r="BR38" s="9"/>
      <c r="BS38" s="11"/>
      <c r="BT38" s="9"/>
      <c r="BU38" s="55"/>
      <c r="BV38" s="56"/>
      <c r="BW38" s="55"/>
      <c r="BX38" s="10"/>
      <c r="BY38" s="9"/>
      <c r="BZ38" s="11"/>
      <c r="CA38" s="9"/>
      <c r="CB38" s="55"/>
      <c r="CC38" s="56"/>
      <c r="CD38" s="55"/>
      <c r="CE38" s="10"/>
      <c r="CF38" s="9"/>
      <c r="CG38" s="11"/>
      <c r="CH38" s="9"/>
      <c r="CI38" s="55"/>
      <c r="CJ38" s="56"/>
      <c r="CK38" s="55"/>
      <c r="CL38" s="10"/>
      <c r="CM38" s="9"/>
      <c r="CN38" s="11"/>
      <c r="CO38" s="9"/>
      <c r="CP38" s="55"/>
      <c r="CQ38" s="56"/>
      <c r="CR38" s="55"/>
    </row>
    <row r="39" spans="1:96" ht="12.75">
      <c r="A39" s="9" t="s">
        <v>29</v>
      </c>
      <c r="B39" s="9"/>
      <c r="C39" s="9"/>
      <c r="D39" s="10">
        <v>16426549.110000014</v>
      </c>
      <c r="E39" s="15">
        <v>0.08534255210303215</v>
      </c>
      <c r="F39" s="11">
        <v>2279</v>
      </c>
      <c r="G39" s="15">
        <v>0.07609348914858097</v>
      </c>
      <c r="H39" s="9"/>
      <c r="I39" s="9"/>
      <c r="J39" s="10">
        <v>15345234.44</v>
      </c>
      <c r="K39" s="15">
        <v>0.08575953746182047</v>
      </c>
      <c r="L39" s="11">
        <v>2099</v>
      </c>
      <c r="M39" s="15">
        <v>0.07762573964497041</v>
      </c>
      <c r="N39" s="57"/>
      <c r="O39" s="56"/>
      <c r="P39" s="57"/>
      <c r="Q39" s="9"/>
      <c r="R39" s="10">
        <v>14436905.16999999</v>
      </c>
      <c r="S39" s="15">
        <v>0.08643159178674006</v>
      </c>
      <c r="T39" s="11">
        <v>2003</v>
      </c>
      <c r="U39" s="15">
        <v>0.07813840992431927</v>
      </c>
      <c r="V39" s="57"/>
      <c r="W39" s="56"/>
      <c r="X39" s="57"/>
      <c r="Y39" s="9"/>
      <c r="Z39" s="10">
        <v>13664352.379999999</v>
      </c>
      <c r="AA39" s="15">
        <v>0.08781538834661186</v>
      </c>
      <c r="AB39" s="11">
        <v>1899</v>
      </c>
      <c r="AC39" s="15">
        <v>0.07834481620528899</v>
      </c>
      <c r="AD39" s="57"/>
      <c r="AE39" s="56"/>
      <c r="AF39" s="57"/>
      <c r="AG39" s="9"/>
      <c r="AH39" s="10">
        <f>12468629.98+334539.72</f>
        <v>12803169.700000001</v>
      </c>
      <c r="AI39" s="15">
        <f>+AH39/$AH$53</f>
        <v>0.08882974419926123</v>
      </c>
      <c r="AJ39" s="11">
        <v>1806</v>
      </c>
      <c r="AK39" s="15">
        <f>+AJ39/$AJ$53</f>
        <v>0.07894736842105263</v>
      </c>
      <c r="AL39" s="57"/>
      <c r="AM39" s="56"/>
      <c r="AN39" s="57"/>
      <c r="AO39" s="10">
        <v>12029913.070000017</v>
      </c>
      <c r="AP39" s="15">
        <v>0.09013844777436701</v>
      </c>
      <c r="AQ39" s="11">
        <v>1689</v>
      </c>
      <c r="AR39" s="15">
        <v>0.08037881311569028</v>
      </c>
      <c r="AS39" s="57"/>
      <c r="AT39" s="56"/>
      <c r="AU39" s="57"/>
      <c r="AV39" s="10">
        <v>11203798.620000005</v>
      </c>
      <c r="AW39" s="15">
        <v>0.09054049856028638</v>
      </c>
      <c r="AX39" s="11">
        <v>1593</v>
      </c>
      <c r="AY39" s="15">
        <v>0.08091223080048761</v>
      </c>
      <c r="AZ39" s="57"/>
      <c r="BA39" s="56"/>
      <c r="BB39" s="57"/>
      <c r="BC39" s="10">
        <v>10333099.54999999</v>
      </c>
      <c r="BD39" s="15">
        <v>0.09242231376990093</v>
      </c>
      <c r="BE39" s="11">
        <v>1478</v>
      </c>
      <c r="BF39" s="15">
        <v>0.08251451540866458</v>
      </c>
      <c r="BG39" s="57"/>
      <c r="BH39" s="56"/>
      <c r="BI39" s="57"/>
      <c r="BJ39" s="10">
        <v>9667199.949999992</v>
      </c>
      <c r="BK39" s="15">
        <v>0.09274350661043648</v>
      </c>
      <c r="BL39" s="11">
        <v>1392</v>
      </c>
      <c r="BM39" s="15">
        <v>0.08264560945199786</v>
      </c>
      <c r="BN39" s="57"/>
      <c r="BO39" s="56"/>
      <c r="BP39" s="57"/>
      <c r="BQ39" s="10">
        <v>8910090.010000005</v>
      </c>
      <c r="BR39" s="15">
        <v>0.09246552195754561</v>
      </c>
      <c r="BS39" s="11">
        <v>1300</v>
      </c>
      <c r="BT39" s="15">
        <v>0.08244023083264633</v>
      </c>
      <c r="BU39" s="57"/>
      <c r="BV39" s="56"/>
      <c r="BW39" s="57"/>
      <c r="BX39" s="10">
        <v>8182723.760000004</v>
      </c>
      <c r="BY39" s="15">
        <v>0.09094774254417969</v>
      </c>
      <c r="BZ39" s="11">
        <v>1217</v>
      </c>
      <c r="CA39" s="15">
        <v>0.0823020220463921</v>
      </c>
      <c r="CB39" s="57"/>
      <c r="CC39" s="56"/>
      <c r="CD39" s="57"/>
      <c r="CE39" s="10">
        <v>7602055.160000006</v>
      </c>
      <c r="CF39" s="15">
        <v>0.09075426024183757</v>
      </c>
      <c r="CG39" s="11">
        <v>1141</v>
      </c>
      <c r="CH39" s="15">
        <v>0.08231729312459418</v>
      </c>
      <c r="CI39" s="57"/>
      <c r="CJ39" s="56"/>
      <c r="CK39" s="57"/>
      <c r="CL39" s="10">
        <v>7005476.7799999975</v>
      </c>
      <c r="CM39" s="15">
        <v>0.08925011808350189</v>
      </c>
      <c r="CN39" s="11">
        <v>1062</v>
      </c>
      <c r="CO39" s="15">
        <v>0.08154176904176905</v>
      </c>
      <c r="CP39" s="57"/>
      <c r="CQ39" s="56"/>
      <c r="CR39" s="57"/>
    </row>
    <row r="40" spans="1:96" ht="12.75">
      <c r="A40" s="9" t="s">
        <v>30</v>
      </c>
      <c r="B40" s="9"/>
      <c r="C40" s="9"/>
      <c r="D40" s="10">
        <v>24920002.43999992</v>
      </c>
      <c r="E40" s="15">
        <v>0.1294694699660737</v>
      </c>
      <c r="F40" s="11">
        <v>3607</v>
      </c>
      <c r="G40" s="15">
        <v>0.12043405676126878</v>
      </c>
      <c r="H40" s="9"/>
      <c r="I40" s="9"/>
      <c r="J40" s="10">
        <v>23381524.700000018</v>
      </c>
      <c r="K40" s="15">
        <v>0.13067175684180243</v>
      </c>
      <c r="L40" s="11">
        <v>3305</v>
      </c>
      <c r="M40" s="15">
        <v>0.12222633136094675</v>
      </c>
      <c r="N40" s="57"/>
      <c r="O40" s="56"/>
      <c r="P40" s="57"/>
      <c r="Q40" s="9"/>
      <c r="R40" s="10">
        <v>21912727.959999967</v>
      </c>
      <c r="S40" s="15">
        <v>0.13118822460012072</v>
      </c>
      <c r="T40" s="11">
        <v>3128</v>
      </c>
      <c r="U40" s="15">
        <v>0.12202543496918156</v>
      </c>
      <c r="V40" s="57"/>
      <c r="W40" s="56"/>
      <c r="X40" s="57"/>
      <c r="Y40" s="9"/>
      <c r="Z40" s="10">
        <v>20681041.360000048</v>
      </c>
      <c r="AA40" s="15">
        <v>0.13290887324443737</v>
      </c>
      <c r="AB40" s="11">
        <v>2977</v>
      </c>
      <c r="AC40" s="15">
        <v>0.12281859812698544</v>
      </c>
      <c r="AD40" s="57"/>
      <c r="AE40" s="56"/>
      <c r="AF40" s="57"/>
      <c r="AG40" s="9"/>
      <c r="AH40" s="10">
        <f>18927162.52+406438.12</f>
        <v>19333600.64</v>
      </c>
      <c r="AI40" s="15">
        <f aca="true" t="shared" si="0" ref="AI40:AI51">+AH40/$AH$53</f>
        <v>0.13413856408556962</v>
      </c>
      <c r="AJ40" s="11">
        <v>2826</v>
      </c>
      <c r="AK40" s="15">
        <f aca="true" t="shared" si="1" ref="AK40:AK51">+AJ40/$AJ$53</f>
        <v>0.12353558314390628</v>
      </c>
      <c r="AL40" s="57"/>
      <c r="AM40" s="56"/>
      <c r="AN40" s="57"/>
      <c r="AO40" s="10">
        <v>18029959.18000006</v>
      </c>
      <c r="AP40" s="15">
        <v>0.135095949942754</v>
      </c>
      <c r="AQ40" s="11">
        <v>2630</v>
      </c>
      <c r="AR40" s="15">
        <v>0.12516061485746918</v>
      </c>
      <c r="AS40" s="57"/>
      <c r="AT40" s="56"/>
      <c r="AU40" s="57"/>
      <c r="AV40" s="10">
        <v>16838786.550000016</v>
      </c>
      <c r="AW40" s="15">
        <v>0.1360781446629791</v>
      </c>
      <c r="AX40" s="11">
        <v>2484</v>
      </c>
      <c r="AY40" s="15">
        <v>0.1261682242990654</v>
      </c>
      <c r="AZ40" s="57"/>
      <c r="BA40" s="56"/>
      <c r="BB40" s="57"/>
      <c r="BC40" s="10">
        <v>15227707.190000007</v>
      </c>
      <c r="BD40" s="15">
        <v>0.13620113936774744</v>
      </c>
      <c r="BE40" s="11">
        <v>2247</v>
      </c>
      <c r="BF40" s="15">
        <v>0.12544662795891023</v>
      </c>
      <c r="BG40" s="57"/>
      <c r="BH40" s="56"/>
      <c r="BI40" s="57"/>
      <c r="BJ40" s="10">
        <v>14204250.090000005</v>
      </c>
      <c r="BK40" s="15">
        <v>0.13627027152968008</v>
      </c>
      <c r="BL40" s="11">
        <v>2108</v>
      </c>
      <c r="BM40" s="15">
        <v>0.12515585109541055</v>
      </c>
      <c r="BN40" s="57"/>
      <c r="BO40" s="56"/>
      <c r="BP40" s="57"/>
      <c r="BQ40" s="10">
        <v>13143381.030000024</v>
      </c>
      <c r="BR40" s="15">
        <v>0.13639700450409423</v>
      </c>
      <c r="BS40" s="11">
        <v>1982</v>
      </c>
      <c r="BT40" s="15">
        <v>0.12568964423869616</v>
      </c>
      <c r="BU40" s="57"/>
      <c r="BV40" s="56"/>
      <c r="BW40" s="57"/>
      <c r="BX40" s="10">
        <v>12202625.030000012</v>
      </c>
      <c r="BY40" s="15">
        <v>0.13562735736194562</v>
      </c>
      <c r="BZ40" s="11">
        <v>1844</v>
      </c>
      <c r="CA40" s="15">
        <v>0.12470413200784473</v>
      </c>
      <c r="CB40" s="57"/>
      <c r="CC40" s="56"/>
      <c r="CD40" s="57"/>
      <c r="CE40" s="10">
        <v>11372729.209999999</v>
      </c>
      <c r="CF40" s="15">
        <v>0.13576902622530918</v>
      </c>
      <c r="CG40" s="11">
        <v>1733</v>
      </c>
      <c r="CH40" s="15">
        <v>0.12502705432508476</v>
      </c>
      <c r="CI40" s="57"/>
      <c r="CJ40" s="56"/>
      <c r="CK40" s="57"/>
      <c r="CL40" s="10">
        <v>10641254.559999984</v>
      </c>
      <c r="CM40" s="15">
        <v>0.13557010548489776</v>
      </c>
      <c r="CN40" s="11">
        <v>1634</v>
      </c>
      <c r="CO40" s="15">
        <v>0.12546068796068796</v>
      </c>
      <c r="CP40" s="57"/>
      <c r="CQ40" s="56"/>
      <c r="CR40" s="57"/>
    </row>
    <row r="41" spans="1:96" ht="12.75">
      <c r="A41" s="9" t="s">
        <v>31</v>
      </c>
      <c r="B41" s="9"/>
      <c r="C41" s="9"/>
      <c r="D41" s="10">
        <v>22183047.960000012</v>
      </c>
      <c r="E41" s="15">
        <v>0.11524988685407221</v>
      </c>
      <c r="F41" s="11">
        <v>3157</v>
      </c>
      <c r="G41" s="15">
        <v>0.10540901502504174</v>
      </c>
      <c r="H41" s="9"/>
      <c r="I41" s="9"/>
      <c r="J41" s="10">
        <v>20685795.590000037</v>
      </c>
      <c r="K41" s="15">
        <v>0.11560620131054634</v>
      </c>
      <c r="L41" s="11">
        <v>2910</v>
      </c>
      <c r="M41" s="15">
        <v>0.10761834319526627</v>
      </c>
      <c r="N41" s="57"/>
      <c r="O41" s="56"/>
      <c r="P41" s="57"/>
      <c r="Q41" s="9"/>
      <c r="R41" s="10">
        <v>19469014.41000002</v>
      </c>
      <c r="S41" s="15">
        <v>0.11655807710589006</v>
      </c>
      <c r="T41" s="11">
        <v>2775</v>
      </c>
      <c r="U41" s="15">
        <v>0.10825466177732698</v>
      </c>
      <c r="V41" s="57"/>
      <c r="W41" s="56"/>
      <c r="X41" s="57"/>
      <c r="Y41" s="9"/>
      <c r="Z41" s="10">
        <v>18187818.250000004</v>
      </c>
      <c r="AA41" s="15">
        <v>0.11688591441326288</v>
      </c>
      <c r="AB41" s="11">
        <v>2623</v>
      </c>
      <c r="AC41" s="15">
        <v>0.1082140352324766</v>
      </c>
      <c r="AD41" s="57"/>
      <c r="AE41" s="56"/>
      <c r="AF41" s="57"/>
      <c r="AG41" s="9"/>
      <c r="AH41" s="10">
        <f>16561932.99+413730.43</f>
        <v>16975663.42</v>
      </c>
      <c r="AI41" s="15">
        <f t="shared" si="0"/>
        <v>0.11777894650661047</v>
      </c>
      <c r="AJ41" s="11">
        <v>2492</v>
      </c>
      <c r="AK41" s="15">
        <f t="shared" si="1"/>
        <v>0.10893512851897184</v>
      </c>
      <c r="AL41" s="57"/>
      <c r="AM41" s="56"/>
      <c r="AN41" s="57"/>
      <c r="AO41" s="10">
        <v>15740471.939999994</v>
      </c>
      <c r="AP41" s="15">
        <v>0.11794114385130605</v>
      </c>
      <c r="AQ41" s="11">
        <v>2304</v>
      </c>
      <c r="AR41" s="15">
        <v>0.1096464093656308</v>
      </c>
      <c r="AS41" s="57"/>
      <c r="AT41" s="56"/>
      <c r="AU41" s="57"/>
      <c r="AV41" s="10">
        <v>14433316.439999983</v>
      </c>
      <c r="AW41" s="15">
        <v>0.11663898207017002</v>
      </c>
      <c r="AX41" s="11">
        <v>2131</v>
      </c>
      <c r="AY41" s="15">
        <v>0.10823852092645266</v>
      </c>
      <c r="AZ41" s="57"/>
      <c r="BA41" s="56"/>
      <c r="BB41" s="57"/>
      <c r="BC41" s="10">
        <v>13145508.46000001</v>
      </c>
      <c r="BD41" s="15">
        <v>0.11757733501706265</v>
      </c>
      <c r="BE41" s="11">
        <v>1947</v>
      </c>
      <c r="BF41" s="15">
        <v>0.10869807949977668</v>
      </c>
      <c r="BG41" s="57"/>
      <c r="BH41" s="56"/>
      <c r="BI41" s="57"/>
      <c r="BJ41" s="10">
        <v>12159820.400000015</v>
      </c>
      <c r="BK41" s="15">
        <v>0.11665677646908738</v>
      </c>
      <c r="BL41" s="11">
        <v>1817</v>
      </c>
      <c r="BM41" s="15">
        <v>0.10787864394704032</v>
      </c>
      <c r="BN41" s="57"/>
      <c r="BO41" s="56"/>
      <c r="BP41" s="57"/>
      <c r="BQ41" s="10">
        <v>11387400.600000018</v>
      </c>
      <c r="BR41" s="15">
        <v>0.11817410812201987</v>
      </c>
      <c r="BS41" s="11">
        <v>1706</v>
      </c>
      <c r="BT41" s="15">
        <v>0.10818694907730357</v>
      </c>
      <c r="BU41" s="57"/>
      <c r="BV41" s="56"/>
      <c r="BW41" s="57"/>
      <c r="BX41" s="10">
        <v>10598047.880000008</v>
      </c>
      <c r="BY41" s="15">
        <v>0.11779311612263561</v>
      </c>
      <c r="BZ41" s="11">
        <v>1583</v>
      </c>
      <c r="CA41" s="15">
        <v>0.10705349293298168</v>
      </c>
      <c r="CB41" s="57"/>
      <c r="CC41" s="56"/>
      <c r="CD41" s="57"/>
      <c r="CE41" s="10">
        <v>9838188.010000011</v>
      </c>
      <c r="CF41" s="15">
        <v>0.11744948651065384</v>
      </c>
      <c r="CG41" s="11">
        <v>1472</v>
      </c>
      <c r="CH41" s="15">
        <v>0.1061972440660847</v>
      </c>
      <c r="CI41" s="57"/>
      <c r="CJ41" s="56"/>
      <c r="CK41" s="57"/>
      <c r="CL41" s="10">
        <v>9159445.010000007</v>
      </c>
      <c r="CM41" s="15">
        <v>0.11669177907429208</v>
      </c>
      <c r="CN41" s="11">
        <v>1379</v>
      </c>
      <c r="CO41" s="15">
        <v>0.10588144963144963</v>
      </c>
      <c r="CP41" s="57"/>
      <c r="CQ41" s="56"/>
      <c r="CR41" s="57"/>
    </row>
    <row r="42" spans="1:96" ht="12.75">
      <c r="A42" s="9" t="s">
        <v>32</v>
      </c>
      <c r="B42" s="9"/>
      <c r="C42" s="9"/>
      <c r="D42" s="10">
        <v>14186534.670000017</v>
      </c>
      <c r="E42" s="15">
        <v>0.0737047730554009</v>
      </c>
      <c r="F42" s="11">
        <v>2151</v>
      </c>
      <c r="G42" s="15">
        <v>0.07181969949916528</v>
      </c>
      <c r="H42" s="9"/>
      <c r="I42" s="9"/>
      <c r="J42" s="10">
        <v>13180638.710000012</v>
      </c>
      <c r="K42" s="15">
        <v>0.07366231409762464</v>
      </c>
      <c r="L42" s="11">
        <v>1955</v>
      </c>
      <c r="M42" s="15">
        <v>0.07230029585798817</v>
      </c>
      <c r="N42" s="57"/>
      <c r="O42" s="56"/>
      <c r="P42" s="57"/>
      <c r="Q42" s="9"/>
      <c r="R42" s="10">
        <v>12300753.250000017</v>
      </c>
      <c r="S42" s="15">
        <v>0.07364276976638327</v>
      </c>
      <c r="T42" s="11">
        <v>1850</v>
      </c>
      <c r="U42" s="15">
        <v>0.07216977451821799</v>
      </c>
      <c r="V42" s="57"/>
      <c r="W42" s="56"/>
      <c r="X42" s="57"/>
      <c r="Y42" s="9"/>
      <c r="Z42" s="10">
        <v>11260706.439999988</v>
      </c>
      <c r="AA42" s="15">
        <v>0.07236810655828478</v>
      </c>
      <c r="AB42" s="11">
        <v>1708</v>
      </c>
      <c r="AC42" s="15">
        <v>0.07046495317463591</v>
      </c>
      <c r="AD42" s="57"/>
      <c r="AE42" s="56"/>
      <c r="AF42" s="57"/>
      <c r="AG42" s="9"/>
      <c r="AH42" s="10">
        <f>9890101.38+164816.04</f>
        <v>10054917.42</v>
      </c>
      <c r="AI42" s="15">
        <f t="shared" si="0"/>
        <v>0.06976207949218197</v>
      </c>
      <c r="AJ42" s="11">
        <v>1595</v>
      </c>
      <c r="AK42" s="15">
        <f t="shared" si="1"/>
        <v>0.06972372792446233</v>
      </c>
      <c r="AL42" s="57"/>
      <c r="AM42" s="56"/>
      <c r="AN42" s="57"/>
      <c r="AO42" s="10">
        <v>9300704.050000008</v>
      </c>
      <c r="AP42" s="15">
        <v>0.06968886819028097</v>
      </c>
      <c r="AQ42" s="11">
        <v>1440</v>
      </c>
      <c r="AR42" s="15">
        <v>0.06852900585351925</v>
      </c>
      <c r="AS42" s="57"/>
      <c r="AT42" s="56"/>
      <c r="AU42" s="57"/>
      <c r="AV42" s="10">
        <v>8578392.60000001</v>
      </c>
      <c r="AW42" s="15">
        <v>0.06932398280199292</v>
      </c>
      <c r="AX42" s="11">
        <v>1356</v>
      </c>
      <c r="AY42" s="15">
        <v>0.06887444128403088</v>
      </c>
      <c r="AZ42" s="57"/>
      <c r="BA42" s="56"/>
      <c r="BB42" s="57"/>
      <c r="BC42" s="10">
        <v>7614623.109999993</v>
      </c>
      <c r="BD42" s="15">
        <v>0.06810745245476309</v>
      </c>
      <c r="BE42" s="11">
        <v>1207</v>
      </c>
      <c r="BF42" s="15">
        <v>0.06738499330058062</v>
      </c>
      <c r="BG42" s="57"/>
      <c r="BH42" s="56"/>
      <c r="BI42" s="57"/>
      <c r="BJ42" s="10">
        <v>7064594.579999994</v>
      </c>
      <c r="BK42" s="15">
        <v>0.06777508249741784</v>
      </c>
      <c r="BL42" s="11">
        <v>1134</v>
      </c>
      <c r="BM42" s="15">
        <v>0.06732767321736033</v>
      </c>
      <c r="BN42" s="57"/>
      <c r="BO42" s="56"/>
      <c r="BP42" s="57"/>
      <c r="BQ42" s="10">
        <v>6504845.179999997</v>
      </c>
      <c r="BR42" s="15">
        <v>0.06750480681414846</v>
      </c>
      <c r="BS42" s="11">
        <v>1058</v>
      </c>
      <c r="BT42" s="15">
        <v>0.06709366478533832</v>
      </c>
      <c r="BU42" s="57"/>
      <c r="BV42" s="56"/>
      <c r="BW42" s="57"/>
      <c r="BX42" s="10">
        <v>5981491.599999988</v>
      </c>
      <c r="BY42" s="15">
        <v>0.06648191653813963</v>
      </c>
      <c r="BZ42" s="11">
        <v>977</v>
      </c>
      <c r="CA42" s="15">
        <v>0.06607154933387435</v>
      </c>
      <c r="CB42" s="57"/>
      <c r="CC42" s="56"/>
      <c r="CD42" s="57"/>
      <c r="CE42" s="10">
        <v>5555152.429999993</v>
      </c>
      <c r="CF42" s="15">
        <v>0.06631808618911618</v>
      </c>
      <c r="CG42" s="11">
        <v>908</v>
      </c>
      <c r="CH42" s="15">
        <v>0.0655075391385903</v>
      </c>
      <c r="CI42" s="57"/>
      <c r="CJ42" s="56"/>
      <c r="CK42" s="57"/>
      <c r="CL42" s="10">
        <v>5130948.62999999</v>
      </c>
      <c r="CM42" s="15">
        <v>0.06536853742992228</v>
      </c>
      <c r="CN42" s="11">
        <v>847</v>
      </c>
      <c r="CO42" s="15">
        <v>0.06503378378378379</v>
      </c>
      <c r="CP42" s="57"/>
      <c r="CQ42" s="56"/>
      <c r="CR42" s="57"/>
    </row>
    <row r="43" spans="1:96" ht="12.75">
      <c r="A43" s="9" t="s">
        <v>33</v>
      </c>
      <c r="B43" s="9"/>
      <c r="C43" s="9"/>
      <c r="D43" s="10">
        <v>16269322.910000008</v>
      </c>
      <c r="E43" s="15">
        <v>0.08452569854020478</v>
      </c>
      <c r="F43" s="11">
        <v>2464</v>
      </c>
      <c r="G43" s="15">
        <v>0.08227045075125208</v>
      </c>
      <c r="H43" s="9"/>
      <c r="I43" s="9"/>
      <c r="J43" s="10">
        <v>15208998.170000002</v>
      </c>
      <c r="K43" s="15">
        <v>0.08499815714232087</v>
      </c>
      <c r="L43" s="11">
        <v>2250</v>
      </c>
      <c r="M43" s="15">
        <v>0.08321005917159763</v>
      </c>
      <c r="N43" s="57"/>
      <c r="O43" s="56"/>
      <c r="P43" s="57"/>
      <c r="Q43" s="9"/>
      <c r="R43" s="10">
        <v>14197489.539999979</v>
      </c>
      <c r="S43" s="15">
        <v>0.0849982462216167</v>
      </c>
      <c r="T43" s="11">
        <v>2138</v>
      </c>
      <c r="U43" s="15">
        <v>0.08340485292970273</v>
      </c>
      <c r="V43" s="57"/>
      <c r="W43" s="56"/>
      <c r="X43" s="57"/>
      <c r="Y43" s="9"/>
      <c r="Z43" s="10">
        <v>13108981.49000001</v>
      </c>
      <c r="AA43" s="15">
        <v>0.08424623929179566</v>
      </c>
      <c r="AB43" s="11">
        <v>2015</v>
      </c>
      <c r="AC43" s="15">
        <v>0.0831304921820207</v>
      </c>
      <c r="AD43" s="57"/>
      <c r="AE43" s="56"/>
      <c r="AF43" s="57"/>
      <c r="AG43" s="9"/>
      <c r="AH43" s="10">
        <f>11760379.27+395223.61</f>
        <v>12155602.879999999</v>
      </c>
      <c r="AI43" s="15">
        <f t="shared" si="0"/>
        <v>0.08433685717828164</v>
      </c>
      <c r="AJ43" s="11">
        <v>1894</v>
      </c>
      <c r="AK43" s="15">
        <f t="shared" si="1"/>
        <v>0.08279419478929882</v>
      </c>
      <c r="AL43" s="57"/>
      <c r="AM43" s="56"/>
      <c r="AN43" s="57"/>
      <c r="AO43" s="10">
        <v>11241928.52000001</v>
      </c>
      <c r="AP43" s="15">
        <v>0.08423419029603899</v>
      </c>
      <c r="AQ43" s="11">
        <v>1734</v>
      </c>
      <c r="AR43" s="15">
        <v>0.08252034454861276</v>
      </c>
      <c r="AS43" s="57"/>
      <c r="AT43" s="56"/>
      <c r="AU43" s="57"/>
      <c r="AV43" s="10">
        <v>10329914.55000001</v>
      </c>
      <c r="AW43" s="15">
        <v>0.08347843844431371</v>
      </c>
      <c r="AX43" s="11">
        <v>1621</v>
      </c>
      <c r="AY43" s="15">
        <v>0.08233441690369768</v>
      </c>
      <c r="AZ43" s="57"/>
      <c r="BA43" s="56"/>
      <c r="BB43" s="57"/>
      <c r="BC43" s="10">
        <v>9369512.239999998</v>
      </c>
      <c r="BD43" s="15">
        <v>0.08380370245404323</v>
      </c>
      <c r="BE43" s="11">
        <v>1473</v>
      </c>
      <c r="BF43" s="15">
        <v>0.08223537293434569</v>
      </c>
      <c r="BG43" s="57"/>
      <c r="BH43" s="56"/>
      <c r="BI43" s="57"/>
      <c r="BJ43" s="10">
        <v>8641887.499999996</v>
      </c>
      <c r="BK43" s="15">
        <v>0.0829070418144086</v>
      </c>
      <c r="BL43" s="11">
        <v>1371</v>
      </c>
      <c r="BM43" s="15">
        <v>0.08139880068871341</v>
      </c>
      <c r="BN43" s="57"/>
      <c r="BO43" s="56"/>
      <c r="BP43" s="57"/>
      <c r="BQ43" s="10">
        <v>7943932.780000002</v>
      </c>
      <c r="BR43" s="15">
        <v>0.08243911005096076</v>
      </c>
      <c r="BS43" s="11">
        <v>1274</v>
      </c>
      <c r="BT43" s="15">
        <v>0.0807914262159934</v>
      </c>
      <c r="BU43" s="57"/>
      <c r="BV43" s="56"/>
      <c r="BW43" s="57"/>
      <c r="BX43" s="10">
        <v>7460616.59</v>
      </c>
      <c r="BY43" s="15">
        <v>0.08292180657069564</v>
      </c>
      <c r="BZ43" s="11">
        <v>1190</v>
      </c>
      <c r="CA43" s="15">
        <v>0.08047609386623386</v>
      </c>
      <c r="CB43" s="57"/>
      <c r="CC43" s="56"/>
      <c r="CD43" s="57"/>
      <c r="CE43" s="10">
        <v>6893055.930000003</v>
      </c>
      <c r="CF43" s="15">
        <v>0.08229014109557731</v>
      </c>
      <c r="CG43" s="11">
        <v>1106</v>
      </c>
      <c r="CH43" s="15">
        <v>0.07979222278334897</v>
      </c>
      <c r="CI43" s="57"/>
      <c r="CJ43" s="56"/>
      <c r="CK43" s="57"/>
      <c r="CL43" s="10">
        <v>6489759.4700000025</v>
      </c>
      <c r="CM43" s="15">
        <v>0.082679854236991</v>
      </c>
      <c r="CN43" s="11">
        <v>1038</v>
      </c>
      <c r="CO43" s="15">
        <v>0.0796990171990172</v>
      </c>
      <c r="CP43" s="57"/>
      <c r="CQ43" s="56"/>
      <c r="CR43" s="57"/>
    </row>
    <row r="44" spans="1:96" ht="12.75">
      <c r="A44" s="9" t="s">
        <v>40</v>
      </c>
      <c r="B44" s="9"/>
      <c r="C44" s="9"/>
      <c r="D44" s="10">
        <v>7628573.169999999</v>
      </c>
      <c r="E44" s="15">
        <v>0.03963351638088017</v>
      </c>
      <c r="F44" s="11">
        <v>1254</v>
      </c>
      <c r="G44" s="15">
        <v>0.04186978297161936</v>
      </c>
      <c r="H44" s="9"/>
      <c r="I44" s="9"/>
      <c r="J44" s="10">
        <v>6986472.009999996</v>
      </c>
      <c r="K44" s="15">
        <v>0.039045125730093104</v>
      </c>
      <c r="L44" s="11">
        <v>1108</v>
      </c>
      <c r="M44" s="15">
        <v>0.04097633136094674</v>
      </c>
      <c r="N44" s="57"/>
      <c r="O44" s="56"/>
      <c r="P44" s="57"/>
      <c r="Q44" s="9"/>
      <c r="R44" s="10">
        <v>6374723.749999999</v>
      </c>
      <c r="S44" s="15">
        <v>0.03816451756282036</v>
      </c>
      <c r="T44" s="11">
        <v>1029</v>
      </c>
      <c r="U44" s="15">
        <v>0.04014199890770071</v>
      </c>
      <c r="V44" s="57"/>
      <c r="W44" s="56"/>
      <c r="X44" s="57"/>
      <c r="Y44" s="9"/>
      <c r="Z44" s="10">
        <v>5913064.07999999</v>
      </c>
      <c r="AA44" s="15">
        <v>0.03800092416114933</v>
      </c>
      <c r="AB44" s="11">
        <v>976</v>
      </c>
      <c r="AC44" s="15">
        <v>0.04026568752836338</v>
      </c>
      <c r="AD44" s="57"/>
      <c r="AE44" s="56"/>
      <c r="AF44" s="57"/>
      <c r="AG44" s="9"/>
      <c r="AH44" s="10">
        <f>5204657.12+317286.38</f>
        <v>5521943.5</v>
      </c>
      <c r="AI44" s="15">
        <f t="shared" si="0"/>
        <v>0.03831182746783191</v>
      </c>
      <c r="AJ44" s="11">
        <v>912</v>
      </c>
      <c r="AK44" s="15">
        <f t="shared" si="1"/>
        <v>0.03986710963455149</v>
      </c>
      <c r="AL44" s="57"/>
      <c r="AM44" s="56"/>
      <c r="AN44" s="57"/>
      <c r="AO44" s="10">
        <v>4829527.109999995</v>
      </c>
      <c r="AP44" s="15">
        <v>0.03618696782317011</v>
      </c>
      <c r="AQ44" s="11">
        <v>825</v>
      </c>
      <c r="AR44" s="15">
        <v>0.03926140960357874</v>
      </c>
      <c r="AS44" s="57"/>
      <c r="AT44" s="56"/>
      <c r="AU44" s="57"/>
      <c r="AV44" s="10">
        <v>4420935.21</v>
      </c>
      <c r="AW44" s="15">
        <v>0.03572660412706738</v>
      </c>
      <c r="AX44" s="11">
        <v>768</v>
      </c>
      <c r="AY44" s="15">
        <v>0.03900853311661926</v>
      </c>
      <c r="AZ44" s="57"/>
      <c r="BA44" s="56"/>
      <c r="BB44" s="57"/>
      <c r="BC44" s="10">
        <v>4025104.08</v>
      </c>
      <c r="BD44" s="15">
        <v>0.03600172730729852</v>
      </c>
      <c r="BE44" s="11">
        <v>701</v>
      </c>
      <c r="BF44" s="15">
        <v>0.03913577489950871</v>
      </c>
      <c r="BG44" s="57"/>
      <c r="BH44" s="56"/>
      <c r="BI44" s="57"/>
      <c r="BJ44" s="10">
        <v>3718394.51</v>
      </c>
      <c r="BK44" s="15">
        <v>0.035672888489122</v>
      </c>
      <c r="BL44" s="11">
        <v>650</v>
      </c>
      <c r="BM44" s="15">
        <v>0.038591699815947275</v>
      </c>
      <c r="BN44" s="57"/>
      <c r="BO44" s="56"/>
      <c r="BP44" s="57"/>
      <c r="BQ44" s="10">
        <v>3432765.28</v>
      </c>
      <c r="BR44" s="15">
        <v>0.03562393118550997</v>
      </c>
      <c r="BS44" s="11">
        <v>607</v>
      </c>
      <c r="BT44" s="15">
        <v>0.03849324624262794</v>
      </c>
      <c r="BU44" s="57"/>
      <c r="BV44" s="56"/>
      <c r="BW44" s="57"/>
      <c r="BX44" s="10">
        <v>3170513.45</v>
      </c>
      <c r="BY44" s="15">
        <v>0.03523900469340277</v>
      </c>
      <c r="BZ44" s="11">
        <v>568</v>
      </c>
      <c r="CA44" s="15">
        <v>0.03841211875295868</v>
      </c>
      <c r="CB44" s="57"/>
      <c r="CC44" s="56"/>
      <c r="CD44" s="57"/>
      <c r="CE44" s="10">
        <v>2993562.71</v>
      </c>
      <c r="CF44" s="15">
        <v>0.035737516173665884</v>
      </c>
      <c r="CG44" s="11">
        <v>539</v>
      </c>
      <c r="CH44" s="15">
        <v>0.038886083255176396</v>
      </c>
      <c r="CI44" s="57"/>
      <c r="CJ44" s="56"/>
      <c r="CK44" s="57"/>
      <c r="CL44" s="10">
        <v>2856447.42</v>
      </c>
      <c r="CM44" s="15">
        <v>0.03639128035684023</v>
      </c>
      <c r="CN44" s="11">
        <v>514</v>
      </c>
      <c r="CO44" s="15">
        <v>0.03946560196560196</v>
      </c>
      <c r="CP44" s="57"/>
      <c r="CQ44" s="56"/>
      <c r="CR44" s="57"/>
    </row>
    <row r="45" spans="1:96" ht="12.75">
      <c r="A45" s="9" t="s">
        <v>34</v>
      </c>
      <c r="B45" s="9"/>
      <c r="C45" s="9"/>
      <c r="D45" s="10">
        <v>30420915.510000013</v>
      </c>
      <c r="E45" s="15">
        <v>0.15804893343992887</v>
      </c>
      <c r="F45" s="11">
        <v>5278</v>
      </c>
      <c r="G45" s="15">
        <v>0.1762270450751252</v>
      </c>
      <c r="H45" s="9"/>
      <c r="I45" s="9"/>
      <c r="J45" s="10">
        <v>27835245.569999922</v>
      </c>
      <c r="K45" s="15">
        <v>0.15556215804672846</v>
      </c>
      <c r="L45" s="11">
        <v>4649</v>
      </c>
      <c r="M45" s="15">
        <v>0.17193047337278106</v>
      </c>
      <c r="N45" s="57"/>
      <c r="O45" s="56"/>
      <c r="P45" s="57"/>
      <c r="Q45" s="9"/>
      <c r="R45" s="10">
        <v>25654983.440000024</v>
      </c>
      <c r="S45" s="15">
        <v>0.1535925483939201</v>
      </c>
      <c r="T45" s="11">
        <v>4376</v>
      </c>
      <c r="U45" s="15">
        <v>0.17071077475228214</v>
      </c>
      <c r="V45" s="57"/>
      <c r="W45" s="56"/>
      <c r="X45" s="57"/>
      <c r="Y45" s="9"/>
      <c r="Z45" s="10">
        <v>23449290.93999996</v>
      </c>
      <c r="AA45" s="15">
        <v>0.15069931842234763</v>
      </c>
      <c r="AB45" s="11">
        <v>4074</v>
      </c>
      <c r="AC45" s="15">
        <v>0.16807624076900862</v>
      </c>
      <c r="AD45" s="57"/>
      <c r="AE45" s="56"/>
      <c r="AF45" s="57"/>
      <c r="AG45" s="9"/>
      <c r="AH45" s="10">
        <f>20410241.61+1182900.65</f>
        <v>21593142.259999998</v>
      </c>
      <c r="AI45" s="15">
        <f t="shared" si="0"/>
        <v>0.14981550259495952</v>
      </c>
      <c r="AJ45" s="11">
        <v>3838</v>
      </c>
      <c r="AK45" s="15">
        <f t="shared" si="1"/>
        <v>0.16777408637873753</v>
      </c>
      <c r="AL45" s="57"/>
      <c r="AM45" s="56"/>
      <c r="AN45" s="57"/>
      <c r="AO45" s="10">
        <v>19672688.099999983</v>
      </c>
      <c r="AP45" s="15">
        <v>0.14740468684727223</v>
      </c>
      <c r="AQ45" s="11">
        <v>3483</v>
      </c>
      <c r="AR45" s="15">
        <v>0.1657545329081997</v>
      </c>
      <c r="AS45" s="57"/>
      <c r="AT45" s="56"/>
      <c r="AU45" s="57"/>
      <c r="AV45" s="10">
        <v>18436875.279999994</v>
      </c>
      <c r="AW45" s="15">
        <v>0.1489926708219447</v>
      </c>
      <c r="AX45" s="11">
        <v>3287</v>
      </c>
      <c r="AY45" s="15">
        <v>0.16695449004469728</v>
      </c>
      <c r="AZ45" s="57"/>
      <c r="BA45" s="56"/>
      <c r="BB45" s="57"/>
      <c r="BC45" s="10">
        <v>16373821.990000008</v>
      </c>
      <c r="BD45" s="15">
        <v>0.1464523308083571</v>
      </c>
      <c r="BE45" s="11">
        <v>2955</v>
      </c>
      <c r="BF45" s="15">
        <v>0.16497320232246537</v>
      </c>
      <c r="BG45" s="57"/>
      <c r="BH45" s="56"/>
      <c r="BI45" s="57"/>
      <c r="BJ45" s="10">
        <v>15276579.720000034</v>
      </c>
      <c r="BK45" s="15">
        <v>0.14655780159452317</v>
      </c>
      <c r="BL45" s="11">
        <v>2796</v>
      </c>
      <c r="BM45" s="15">
        <v>0.166003681054444</v>
      </c>
      <c r="BN45" s="57"/>
      <c r="BO45" s="56"/>
      <c r="BP45" s="57"/>
      <c r="BQ45" s="10">
        <v>14202792.330000024</v>
      </c>
      <c r="BR45" s="15">
        <v>0.14739117164632065</v>
      </c>
      <c r="BS45" s="11">
        <v>2632</v>
      </c>
      <c r="BT45" s="15">
        <v>0.16690975965501934</v>
      </c>
      <c r="BU45" s="57"/>
      <c r="BV45" s="56"/>
      <c r="BW45" s="57"/>
      <c r="BX45" s="10">
        <v>13389317.290000014</v>
      </c>
      <c r="BY45" s="15">
        <v>0.14881697310691744</v>
      </c>
      <c r="BZ45" s="11">
        <v>2480</v>
      </c>
      <c r="CA45" s="15">
        <v>0.16771488469601678</v>
      </c>
      <c r="CB45" s="57"/>
      <c r="CC45" s="56"/>
      <c r="CD45" s="57"/>
      <c r="CE45" s="10">
        <v>12446946.81</v>
      </c>
      <c r="CF45" s="15">
        <v>0.14859316674716805</v>
      </c>
      <c r="CG45" s="11">
        <v>2324</v>
      </c>
      <c r="CH45" s="15">
        <v>0.16766467065868262</v>
      </c>
      <c r="CI45" s="57"/>
      <c r="CJ45" s="56"/>
      <c r="CK45" s="57"/>
      <c r="CL45" s="10">
        <v>11825847.210000018</v>
      </c>
      <c r="CM45" s="15">
        <v>0.1506618739988106</v>
      </c>
      <c r="CN45" s="11">
        <v>2186</v>
      </c>
      <c r="CO45" s="15">
        <v>0.16784398034398035</v>
      </c>
      <c r="CP45" s="57"/>
      <c r="CQ45" s="56"/>
      <c r="CR45" s="57"/>
    </row>
    <row r="46" spans="1:96" ht="12.75">
      <c r="A46" s="9" t="s">
        <v>35</v>
      </c>
      <c r="B46" s="9"/>
      <c r="C46" s="9"/>
      <c r="D46" s="10">
        <v>14909628.119999968</v>
      </c>
      <c r="E46" s="15">
        <v>0.07746153535640143</v>
      </c>
      <c r="F46" s="11">
        <v>2715</v>
      </c>
      <c r="G46" s="15">
        <v>0.09065108514190318</v>
      </c>
      <c r="H46" s="9"/>
      <c r="I46" s="9"/>
      <c r="J46" s="10">
        <v>13484815.749999994</v>
      </c>
      <c r="K46" s="15">
        <v>0.07536226090253667</v>
      </c>
      <c r="L46" s="11">
        <v>2417</v>
      </c>
      <c r="M46" s="15">
        <v>0.08938609467455622</v>
      </c>
      <c r="N46" s="57"/>
      <c r="O46" s="56"/>
      <c r="P46" s="57"/>
      <c r="Q46" s="9"/>
      <c r="R46" s="10">
        <v>12384680.579999993</v>
      </c>
      <c r="S46" s="15">
        <v>0.07414523013727929</v>
      </c>
      <c r="T46" s="11">
        <v>2267</v>
      </c>
      <c r="U46" s="15">
        <v>0.08843723180151361</v>
      </c>
      <c r="V46" s="57"/>
      <c r="W46" s="56"/>
      <c r="X46" s="57"/>
      <c r="Y46" s="9"/>
      <c r="Z46" s="10">
        <v>11424438.080000002</v>
      </c>
      <c r="AA46" s="15">
        <v>0.07342034505092447</v>
      </c>
      <c r="AB46" s="11">
        <v>2150</v>
      </c>
      <c r="AC46" s="15">
        <v>0.08870002887907917</v>
      </c>
      <c r="AD46" s="57"/>
      <c r="AE46" s="56"/>
      <c r="AF46" s="57"/>
      <c r="AG46" s="9"/>
      <c r="AH46" s="10">
        <f>10140628.03+299547.92</f>
        <v>10440175.95</v>
      </c>
      <c r="AI46" s="15">
        <f t="shared" si="0"/>
        <v>0.0724350438808742</v>
      </c>
      <c r="AJ46" s="11">
        <v>2006</v>
      </c>
      <c r="AK46" s="15">
        <f t="shared" si="1"/>
        <v>0.08769015562161217</v>
      </c>
      <c r="AL46" s="57"/>
      <c r="AM46" s="56"/>
      <c r="AN46" s="57"/>
      <c r="AO46" s="10">
        <v>9544183.470000003</v>
      </c>
      <c r="AP46" s="15">
        <v>0.07151322526219808</v>
      </c>
      <c r="AQ46" s="11">
        <v>1827</v>
      </c>
      <c r="AR46" s="15">
        <v>0.08694617617665255</v>
      </c>
      <c r="AS46" s="57"/>
      <c r="AT46" s="56"/>
      <c r="AU46" s="57"/>
      <c r="AV46" s="10">
        <v>8651806.660000006</v>
      </c>
      <c r="AW46" s="15">
        <v>0.0699172588701533</v>
      </c>
      <c r="AX46" s="11">
        <v>1693</v>
      </c>
      <c r="AY46" s="15">
        <v>0.08599146688338075</v>
      </c>
      <c r="AZ46" s="57"/>
      <c r="BA46" s="56"/>
      <c r="BB46" s="57"/>
      <c r="BC46" s="10">
        <v>7778317.500000001</v>
      </c>
      <c r="BD46" s="15">
        <v>0.0695715837351932</v>
      </c>
      <c r="BE46" s="11">
        <v>1550</v>
      </c>
      <c r="BF46" s="15">
        <v>0.08653416703885664</v>
      </c>
      <c r="BG46" s="57"/>
      <c r="BH46" s="56"/>
      <c r="BI46" s="57"/>
      <c r="BJ46" s="10">
        <v>7243982.609999998</v>
      </c>
      <c r="BK46" s="15">
        <v>0.06949606427416682</v>
      </c>
      <c r="BL46" s="11">
        <v>1456</v>
      </c>
      <c r="BM46" s="15">
        <v>0.0864454075877219</v>
      </c>
      <c r="BN46" s="57"/>
      <c r="BO46" s="56"/>
      <c r="BP46" s="57"/>
      <c r="BQ46" s="10">
        <v>6684672.780000001</v>
      </c>
      <c r="BR46" s="15">
        <v>0.0693709891846645</v>
      </c>
      <c r="BS46" s="11">
        <v>1368</v>
      </c>
      <c r="BT46" s="15">
        <v>0.08675248906081552</v>
      </c>
      <c r="BU46" s="57"/>
      <c r="BV46" s="56"/>
      <c r="BW46" s="57"/>
      <c r="BX46" s="10">
        <v>6254494.799999991</v>
      </c>
      <c r="BY46" s="15">
        <v>0.06951623927413499</v>
      </c>
      <c r="BZ46" s="11">
        <v>1289</v>
      </c>
      <c r="CA46" s="15">
        <v>0.08717116386014742</v>
      </c>
      <c r="CB46" s="57"/>
      <c r="CC46" s="56"/>
      <c r="CD46" s="57"/>
      <c r="CE46" s="10">
        <v>5783589.329999992</v>
      </c>
      <c r="CF46" s="15">
        <v>0.06904519371926444</v>
      </c>
      <c r="CG46" s="11">
        <v>1210</v>
      </c>
      <c r="CH46" s="15">
        <v>0.08729528894019191</v>
      </c>
      <c r="CI46" s="57"/>
      <c r="CJ46" s="56"/>
      <c r="CK46" s="57"/>
      <c r="CL46" s="10">
        <v>5369048.319999992</v>
      </c>
      <c r="CM46" s="15">
        <v>0.0684019391690892</v>
      </c>
      <c r="CN46" s="11">
        <v>1127</v>
      </c>
      <c r="CO46" s="15">
        <v>0.08653255528255528</v>
      </c>
      <c r="CP46" s="57"/>
      <c r="CQ46" s="56"/>
      <c r="CR46" s="57"/>
    </row>
    <row r="47" spans="1:96" ht="12.75">
      <c r="A47" s="9" t="s">
        <v>36</v>
      </c>
      <c r="B47" s="9"/>
      <c r="C47" s="9"/>
      <c r="D47" s="10">
        <v>4870058.49</v>
      </c>
      <c r="E47" s="15">
        <v>0.025301919328547213</v>
      </c>
      <c r="F47" s="11">
        <v>920</v>
      </c>
      <c r="G47" s="15">
        <v>0.030717863105175294</v>
      </c>
      <c r="H47" s="9"/>
      <c r="I47" s="9"/>
      <c r="J47" s="10">
        <v>4504892.07</v>
      </c>
      <c r="K47" s="15">
        <v>0.025176380442358533</v>
      </c>
      <c r="L47" s="11">
        <v>806</v>
      </c>
      <c r="M47" s="15">
        <v>0.02980769230769231</v>
      </c>
      <c r="N47" s="57"/>
      <c r="O47" s="56"/>
      <c r="P47" s="57"/>
      <c r="Q47" s="9"/>
      <c r="R47" s="10">
        <v>4154672.71</v>
      </c>
      <c r="S47" s="15">
        <v>0.02487340406061763</v>
      </c>
      <c r="T47" s="11">
        <v>759</v>
      </c>
      <c r="U47" s="15">
        <v>0.02960911289693376</v>
      </c>
      <c r="V47" s="57"/>
      <c r="W47" s="56"/>
      <c r="X47" s="57"/>
      <c r="Y47" s="9"/>
      <c r="Z47" s="10">
        <v>3843282.2</v>
      </c>
      <c r="AA47" s="15">
        <v>0.024699254639583657</v>
      </c>
      <c r="AB47" s="11">
        <v>717</v>
      </c>
      <c r="AC47" s="15">
        <v>0.029580428235488263</v>
      </c>
      <c r="AD47" s="57"/>
      <c r="AE47" s="56"/>
      <c r="AF47" s="57"/>
      <c r="AG47" s="9"/>
      <c r="AH47" s="10">
        <f>3128381.95+345677.3</f>
        <v>3474059.25</v>
      </c>
      <c r="AI47" s="15">
        <f t="shared" si="0"/>
        <v>0.024103390155843774</v>
      </c>
      <c r="AJ47" s="11">
        <v>672</v>
      </c>
      <c r="AK47" s="15">
        <f t="shared" si="1"/>
        <v>0.02937576499388005</v>
      </c>
      <c r="AL47" s="57"/>
      <c r="AM47" s="56"/>
      <c r="AN47" s="57"/>
      <c r="AO47" s="10">
        <v>3214410.27</v>
      </c>
      <c r="AP47" s="15">
        <v>0.024085124353087586</v>
      </c>
      <c r="AQ47" s="11">
        <v>619</v>
      </c>
      <c r="AR47" s="15">
        <v>0.029457954599533622</v>
      </c>
      <c r="AS47" s="57"/>
      <c r="AT47" s="56"/>
      <c r="AU47" s="57"/>
      <c r="AV47" s="10">
        <v>2998081.29</v>
      </c>
      <c r="AW47" s="15">
        <v>0.024228191163334793</v>
      </c>
      <c r="AX47" s="11">
        <v>583</v>
      </c>
      <c r="AY47" s="15">
        <v>0.029611946363266965</v>
      </c>
      <c r="AZ47" s="57"/>
      <c r="BA47" s="56"/>
      <c r="BB47" s="57"/>
      <c r="BC47" s="10">
        <v>2677062.19</v>
      </c>
      <c r="BD47" s="15">
        <v>0.023944439953229563</v>
      </c>
      <c r="BE47" s="11">
        <v>519</v>
      </c>
      <c r="BF47" s="15">
        <v>0.028974988834301028</v>
      </c>
      <c r="BG47" s="57"/>
      <c r="BH47" s="56"/>
      <c r="BI47" s="57"/>
      <c r="BJ47" s="10">
        <v>2479406.22</v>
      </c>
      <c r="BK47" s="15">
        <v>0.023786497470193277</v>
      </c>
      <c r="BL47" s="11">
        <v>482</v>
      </c>
      <c r="BM47" s="15">
        <v>0.028617229709671673</v>
      </c>
      <c r="BN47" s="57"/>
      <c r="BO47" s="56"/>
      <c r="BP47" s="57"/>
      <c r="BQ47" s="10">
        <v>2304853.59</v>
      </c>
      <c r="BR47" s="15">
        <v>0.02391889307469214</v>
      </c>
      <c r="BS47" s="11">
        <v>447</v>
      </c>
      <c r="BT47" s="15">
        <v>0.028346756293994545</v>
      </c>
      <c r="BU47" s="57"/>
      <c r="BV47" s="56"/>
      <c r="BW47" s="57"/>
      <c r="BX47" s="10">
        <v>2158134.33</v>
      </c>
      <c r="BY47" s="15">
        <v>0.023986810648560324</v>
      </c>
      <c r="BZ47" s="11">
        <v>421</v>
      </c>
      <c r="CA47" s="15">
        <v>0.028470954216541555</v>
      </c>
      <c r="CB47" s="57"/>
      <c r="CC47" s="56"/>
      <c r="CD47" s="57"/>
      <c r="CE47" s="10">
        <v>2024557.59</v>
      </c>
      <c r="CF47" s="15">
        <v>0.024169415050317427</v>
      </c>
      <c r="CG47" s="11">
        <v>391</v>
      </c>
      <c r="CH47" s="15">
        <v>0.028208642955053747</v>
      </c>
      <c r="CI47" s="57"/>
      <c r="CJ47" s="56"/>
      <c r="CK47" s="57"/>
      <c r="CL47" s="10">
        <v>1925955.01</v>
      </c>
      <c r="CM47" s="15">
        <v>0.02453676137457871</v>
      </c>
      <c r="CN47" s="11">
        <v>374</v>
      </c>
      <c r="CO47" s="15">
        <v>0.028716216216216218</v>
      </c>
      <c r="CP47" s="57"/>
      <c r="CQ47" s="56"/>
      <c r="CR47" s="57"/>
    </row>
    <row r="48" spans="1:96" ht="12.75">
      <c r="A48" s="9" t="s">
        <v>37</v>
      </c>
      <c r="B48" s="9"/>
      <c r="C48" s="9"/>
      <c r="D48" s="10">
        <v>14568179.710000025</v>
      </c>
      <c r="E48" s="15">
        <v>0.07568757306366534</v>
      </c>
      <c r="F48" s="11">
        <v>2335</v>
      </c>
      <c r="G48" s="15">
        <v>0.07796327212020034</v>
      </c>
      <c r="H48" s="9"/>
      <c r="I48" s="9"/>
      <c r="J48" s="10">
        <v>13615611.259999976</v>
      </c>
      <c r="K48" s="15">
        <v>0.0760932345793182</v>
      </c>
      <c r="L48" s="11">
        <v>2157</v>
      </c>
      <c r="M48" s="15">
        <v>0.07977071005917159</v>
      </c>
      <c r="N48" s="57"/>
      <c r="O48" s="56"/>
      <c r="P48" s="57"/>
      <c r="Q48" s="9"/>
      <c r="R48" s="10">
        <v>12648086.749999983</v>
      </c>
      <c r="S48" s="15">
        <v>0.07572220347688792</v>
      </c>
      <c r="T48" s="11">
        <v>2033</v>
      </c>
      <c r="U48" s="15">
        <v>0.07930873059218226</v>
      </c>
      <c r="V48" s="57"/>
      <c r="W48" s="56"/>
      <c r="X48" s="57"/>
      <c r="Y48" s="9"/>
      <c r="Z48" s="10">
        <v>11814559.120000018</v>
      </c>
      <c r="AA48" s="15">
        <v>0.07592749867789976</v>
      </c>
      <c r="AB48" s="11">
        <v>1917</v>
      </c>
      <c r="AC48" s="15">
        <v>0.07908742109823012</v>
      </c>
      <c r="AD48" s="57"/>
      <c r="AE48" s="56"/>
      <c r="AF48" s="57"/>
      <c r="AG48" s="9"/>
      <c r="AH48" s="10">
        <f>10753840.9+250665.5</f>
        <v>11004506.4</v>
      </c>
      <c r="AI48" s="15">
        <f t="shared" si="0"/>
        <v>0.07635042817179351</v>
      </c>
      <c r="AJ48" s="11">
        <v>1814</v>
      </c>
      <c r="AK48" s="15">
        <f t="shared" si="1"/>
        <v>0.07929707990907502</v>
      </c>
      <c r="AL48" s="57"/>
      <c r="AM48" s="56"/>
      <c r="AN48" s="57"/>
      <c r="AO48" s="10">
        <v>10212955.219999988</v>
      </c>
      <c r="AP48" s="15">
        <v>0.07652423798602866</v>
      </c>
      <c r="AQ48" s="11">
        <v>1694</v>
      </c>
      <c r="AR48" s="15">
        <v>0.08061676105268167</v>
      </c>
      <c r="AS48" s="57"/>
      <c r="AT48" s="56"/>
      <c r="AU48" s="57"/>
      <c r="AV48" s="10">
        <v>9543480.279999997</v>
      </c>
      <c r="AW48" s="15">
        <v>0.07712308047102875</v>
      </c>
      <c r="AX48" s="11">
        <v>1594</v>
      </c>
      <c r="AY48" s="15">
        <v>0.08096302316131654</v>
      </c>
      <c r="AZ48" s="57"/>
      <c r="BA48" s="56"/>
      <c r="BB48" s="57"/>
      <c r="BC48" s="10">
        <v>8853651.140000008</v>
      </c>
      <c r="BD48" s="15">
        <v>0.0791896874418792</v>
      </c>
      <c r="BE48" s="11">
        <v>1486</v>
      </c>
      <c r="BF48" s="15">
        <v>0.0829611433675748</v>
      </c>
      <c r="BG48" s="57"/>
      <c r="BH48" s="56"/>
      <c r="BI48" s="57"/>
      <c r="BJ48" s="10">
        <v>8310098.250000009</v>
      </c>
      <c r="BK48" s="15">
        <v>0.07972397963923909</v>
      </c>
      <c r="BL48" s="11">
        <v>1409</v>
      </c>
      <c r="BM48" s="15">
        <v>0.08365493083179956</v>
      </c>
      <c r="BN48" s="57"/>
      <c r="BO48" s="56"/>
      <c r="BP48" s="57"/>
      <c r="BQ48" s="10">
        <v>7715445.480000008</v>
      </c>
      <c r="BR48" s="15">
        <v>0.08006795583911125</v>
      </c>
      <c r="BS48" s="11">
        <v>1336</v>
      </c>
      <c r="BT48" s="15">
        <v>0.08472319107108885</v>
      </c>
      <c r="BU48" s="57"/>
      <c r="BV48" s="56"/>
      <c r="BW48" s="57"/>
      <c r="BX48" s="10">
        <v>7253818.92999999</v>
      </c>
      <c r="BY48" s="15">
        <v>0.08062333226164484</v>
      </c>
      <c r="BZ48" s="11">
        <v>1275</v>
      </c>
      <c r="CA48" s="15">
        <v>0.08622438628525056</v>
      </c>
      <c r="CB48" s="57"/>
      <c r="CC48" s="56"/>
      <c r="CD48" s="57"/>
      <c r="CE48" s="10">
        <v>6770334.180000001</v>
      </c>
      <c r="CF48" s="15">
        <v>0.0808250738996121</v>
      </c>
      <c r="CG48" s="11">
        <v>1207</v>
      </c>
      <c r="CH48" s="15">
        <v>0.08707885433951375</v>
      </c>
      <c r="CI48" s="57"/>
      <c r="CJ48" s="56"/>
      <c r="CK48" s="57"/>
      <c r="CL48" s="10">
        <v>6328844.32</v>
      </c>
      <c r="CM48" s="15">
        <v>0.0806297873264952</v>
      </c>
      <c r="CN48" s="11">
        <v>1138</v>
      </c>
      <c r="CO48" s="15">
        <v>0.08737714987714988</v>
      </c>
      <c r="CP48" s="57"/>
      <c r="CQ48" s="56"/>
      <c r="CR48" s="57"/>
    </row>
    <row r="49" spans="1:96" ht="12.75">
      <c r="A49" s="9" t="s">
        <v>38</v>
      </c>
      <c r="B49" s="9"/>
      <c r="C49" s="9"/>
      <c r="D49" s="10">
        <v>21144949.00999998</v>
      </c>
      <c r="E49" s="15">
        <v>0.10985654384969479</v>
      </c>
      <c r="F49" s="11">
        <v>3027</v>
      </c>
      <c r="G49" s="15">
        <v>0.10106844741235392</v>
      </c>
      <c r="H49" s="9"/>
      <c r="I49" s="9"/>
      <c r="J49" s="10">
        <v>20042325.42999997</v>
      </c>
      <c r="K49" s="15">
        <v>0.11201005532086739</v>
      </c>
      <c r="L49" s="11">
        <v>2734</v>
      </c>
      <c r="M49" s="15">
        <v>0.1011094674556213</v>
      </c>
      <c r="N49" s="57"/>
      <c r="O49" s="56"/>
      <c r="P49" s="57"/>
      <c r="Q49" s="9"/>
      <c r="R49" s="10">
        <v>19118108.58999998</v>
      </c>
      <c r="S49" s="15">
        <v>0.11445725644989106</v>
      </c>
      <c r="T49" s="11">
        <v>2635</v>
      </c>
      <c r="U49" s="15">
        <v>0.10279316532729968</v>
      </c>
      <c r="V49" s="57"/>
      <c r="W49" s="56"/>
      <c r="X49" s="57"/>
      <c r="Y49" s="9"/>
      <c r="Z49" s="10">
        <v>18089829.839999966</v>
      </c>
      <c r="AA49" s="15">
        <v>0.11625618165767214</v>
      </c>
      <c r="AB49" s="11">
        <v>2543</v>
      </c>
      <c r="AC49" s="15">
        <v>0.10491356904162713</v>
      </c>
      <c r="AD49" s="57"/>
      <c r="AE49" s="56"/>
      <c r="AF49" s="57"/>
      <c r="AG49" s="9"/>
      <c r="AH49" s="10">
        <f>16433871.42+445536.34</f>
        <v>16879407.76</v>
      </c>
      <c r="AI49" s="15">
        <f t="shared" si="0"/>
        <v>0.11711111456687362</v>
      </c>
      <c r="AJ49" s="11">
        <v>2416</v>
      </c>
      <c r="AK49" s="15">
        <f t="shared" si="1"/>
        <v>0.10561286938275923</v>
      </c>
      <c r="AL49" s="57"/>
      <c r="AM49" s="56"/>
      <c r="AN49" s="57"/>
      <c r="AO49" s="10">
        <v>15968865.47000001</v>
      </c>
      <c r="AP49" s="15">
        <v>0.11965246446984397</v>
      </c>
      <c r="AQ49" s="11">
        <v>2262</v>
      </c>
      <c r="AR49" s="15">
        <v>0.10764764669490315</v>
      </c>
      <c r="AS49" s="57"/>
      <c r="AT49" s="56"/>
      <c r="AU49" s="57"/>
      <c r="AV49" s="10">
        <v>15186709.040000021</v>
      </c>
      <c r="AW49" s="15">
        <v>0.12272732263475918</v>
      </c>
      <c r="AX49" s="11">
        <v>2151</v>
      </c>
      <c r="AY49" s="15">
        <v>0.10925436814303129</v>
      </c>
      <c r="AZ49" s="57"/>
      <c r="BA49" s="56"/>
      <c r="BB49" s="57"/>
      <c r="BC49" s="10">
        <v>13325377.23</v>
      </c>
      <c r="BD49" s="15">
        <v>0.11918613475986056</v>
      </c>
      <c r="BE49" s="11">
        <v>1918</v>
      </c>
      <c r="BF49" s="15">
        <v>0.10707905314872711</v>
      </c>
      <c r="BG49" s="57"/>
      <c r="BH49" s="56"/>
      <c r="BI49" s="57"/>
      <c r="BJ49" s="10">
        <v>12496102.580000006</v>
      </c>
      <c r="BK49" s="15">
        <v>0.11988294213702737</v>
      </c>
      <c r="BL49" s="11">
        <v>1811</v>
      </c>
      <c r="BM49" s="15">
        <v>0.10752241287181619</v>
      </c>
      <c r="BN49" s="57"/>
      <c r="BO49" s="56"/>
      <c r="BP49" s="57"/>
      <c r="BQ49" s="10">
        <v>11412356.680000015</v>
      </c>
      <c r="BR49" s="15">
        <v>0.11843309281921419</v>
      </c>
      <c r="BS49" s="11">
        <v>1672</v>
      </c>
      <c r="BT49" s="15">
        <v>0.10603081996321898</v>
      </c>
      <c r="BU49" s="57"/>
      <c r="BV49" s="56"/>
      <c r="BW49" s="57"/>
      <c r="BX49" s="10">
        <v>10707425.200000016</v>
      </c>
      <c r="BY49" s="15">
        <v>0.11900880183210077</v>
      </c>
      <c r="BZ49" s="11">
        <v>1571</v>
      </c>
      <c r="CA49" s="15">
        <v>0.10624196929735578</v>
      </c>
      <c r="CB49" s="57"/>
      <c r="CC49" s="56"/>
      <c r="CD49" s="57"/>
      <c r="CE49" s="10">
        <v>10039453.180000003</v>
      </c>
      <c r="CF49" s="15">
        <v>0.11985221461921929</v>
      </c>
      <c r="CG49" s="11">
        <v>1474</v>
      </c>
      <c r="CH49" s="15">
        <v>0.10634153379987014</v>
      </c>
      <c r="CI49" s="57"/>
      <c r="CJ49" s="56"/>
      <c r="CK49" s="57"/>
      <c r="CL49" s="10">
        <v>9454751.110000005</v>
      </c>
      <c r="CM49" s="15">
        <v>0.12045399328518241</v>
      </c>
      <c r="CN49" s="11">
        <v>1390</v>
      </c>
      <c r="CO49" s="15">
        <v>0.10672604422604423</v>
      </c>
      <c r="CP49" s="57"/>
      <c r="CQ49" s="56"/>
      <c r="CR49" s="57"/>
    </row>
    <row r="50" spans="1:96" ht="12.75">
      <c r="A50" s="9" t="s">
        <v>39</v>
      </c>
      <c r="B50" s="9"/>
      <c r="C50" s="9"/>
      <c r="D50" s="10">
        <v>0</v>
      </c>
      <c r="E50" s="15">
        <v>0</v>
      </c>
      <c r="F50" s="11">
        <v>0</v>
      </c>
      <c r="G50" s="15">
        <v>0</v>
      </c>
      <c r="H50" s="9"/>
      <c r="I50" s="9"/>
      <c r="J50" s="10">
        <v>0</v>
      </c>
      <c r="K50" s="15">
        <v>0</v>
      </c>
      <c r="L50" s="11">
        <v>0</v>
      </c>
      <c r="M50" s="15">
        <v>0</v>
      </c>
      <c r="N50" s="57"/>
      <c r="O50" s="56"/>
      <c r="P50" s="57"/>
      <c r="Q50" s="9"/>
      <c r="R50" s="10">
        <v>0</v>
      </c>
      <c r="S50" s="15">
        <v>0</v>
      </c>
      <c r="T50" s="11">
        <v>0</v>
      </c>
      <c r="U50" s="15">
        <v>0</v>
      </c>
      <c r="V50" s="57"/>
      <c r="W50" s="56"/>
      <c r="X50" s="57"/>
      <c r="Y50" s="9"/>
      <c r="Z50" s="10">
        <v>0</v>
      </c>
      <c r="AA50" s="15">
        <v>0</v>
      </c>
      <c r="AB50" s="11">
        <v>0</v>
      </c>
      <c r="AC50" s="15">
        <v>0</v>
      </c>
      <c r="AD50" s="57"/>
      <c r="AE50" s="56"/>
      <c r="AF50" s="57"/>
      <c r="AG50" s="9"/>
      <c r="AH50" s="10">
        <v>0</v>
      </c>
      <c r="AI50" s="15">
        <f t="shared" si="0"/>
        <v>0</v>
      </c>
      <c r="AJ50" s="11">
        <v>0</v>
      </c>
      <c r="AK50" s="15">
        <f t="shared" si="1"/>
        <v>0</v>
      </c>
      <c r="AL50" s="57"/>
      <c r="AM50" s="56"/>
      <c r="AN50" s="57"/>
      <c r="AO50" s="10">
        <v>0</v>
      </c>
      <c r="AP50" s="15">
        <v>0</v>
      </c>
      <c r="AQ50" s="11">
        <v>0</v>
      </c>
      <c r="AR50" s="15">
        <v>0</v>
      </c>
      <c r="AS50" s="57"/>
      <c r="AT50" s="56"/>
      <c r="AU50" s="57"/>
      <c r="AV50" s="10">
        <v>0</v>
      </c>
      <c r="AW50" s="15">
        <v>0</v>
      </c>
      <c r="AX50" s="11">
        <v>0</v>
      </c>
      <c r="AY50" s="15">
        <v>0</v>
      </c>
      <c r="AZ50" s="57"/>
      <c r="BA50" s="56"/>
      <c r="BB50" s="57"/>
      <c r="BC50" s="10">
        <v>0</v>
      </c>
      <c r="BD50" s="15">
        <v>0</v>
      </c>
      <c r="BE50" s="11">
        <v>0</v>
      </c>
      <c r="BF50" s="15">
        <v>0</v>
      </c>
      <c r="BG50" s="57"/>
      <c r="BH50" s="56"/>
      <c r="BI50" s="57"/>
      <c r="BJ50" s="10">
        <v>0</v>
      </c>
      <c r="BK50" s="15">
        <v>0</v>
      </c>
      <c r="BL50" s="11">
        <v>0</v>
      </c>
      <c r="BM50" s="15">
        <v>0</v>
      </c>
      <c r="BN50" s="57"/>
      <c r="BO50" s="56"/>
      <c r="BP50" s="57"/>
      <c r="BQ50" s="10">
        <v>0</v>
      </c>
      <c r="BR50" s="15">
        <v>0</v>
      </c>
      <c r="BS50" s="11">
        <v>0</v>
      </c>
      <c r="BT50" s="15">
        <v>0</v>
      </c>
      <c r="BU50" s="57"/>
      <c r="BV50" s="56"/>
      <c r="BW50" s="57"/>
      <c r="BX50" s="10">
        <v>0</v>
      </c>
      <c r="BY50" s="15">
        <v>0</v>
      </c>
      <c r="BZ50" s="11">
        <v>0</v>
      </c>
      <c r="CA50" s="15">
        <v>0</v>
      </c>
      <c r="CB50" s="57"/>
      <c r="CC50" s="56"/>
      <c r="CD50" s="57"/>
      <c r="CE50" s="10">
        <v>0</v>
      </c>
      <c r="CF50" s="15">
        <v>0</v>
      </c>
      <c r="CG50" s="11">
        <v>0</v>
      </c>
      <c r="CH50" s="15">
        <v>0</v>
      </c>
      <c r="CI50" s="57"/>
      <c r="CJ50" s="56"/>
      <c r="CK50" s="57"/>
      <c r="CL50" s="10">
        <v>0</v>
      </c>
      <c r="CM50" s="15">
        <v>0</v>
      </c>
      <c r="CN50" s="11">
        <v>0</v>
      </c>
      <c r="CO50" s="15">
        <v>0</v>
      </c>
      <c r="CP50" s="57"/>
      <c r="CQ50" s="56"/>
      <c r="CR50" s="57"/>
    </row>
    <row r="51" spans="1:96" ht="12.75">
      <c r="A51" s="9" t="s">
        <v>101</v>
      </c>
      <c r="B51" s="9"/>
      <c r="C51" s="9"/>
      <c r="D51" s="10">
        <v>4950067.430000006</v>
      </c>
      <c r="E51" s="15">
        <v>0.025717598062098244</v>
      </c>
      <c r="F51" s="11">
        <v>763</v>
      </c>
      <c r="G51" s="15">
        <v>0.025475792988313855</v>
      </c>
      <c r="H51" s="9"/>
      <c r="I51" s="9"/>
      <c r="J51" s="10">
        <v>4661715.93</v>
      </c>
      <c r="K51" s="15">
        <v>0.026052818123982992</v>
      </c>
      <c r="L51" s="11">
        <v>650</v>
      </c>
      <c r="M51" s="15">
        <v>0.02403846153846154</v>
      </c>
      <c r="N51" s="57"/>
      <c r="O51" s="56"/>
      <c r="P51" s="57"/>
      <c r="Q51" s="9"/>
      <c r="R51" s="10">
        <v>4380588.89</v>
      </c>
      <c r="S51" s="15">
        <v>0.026225930437832848</v>
      </c>
      <c r="T51" s="11">
        <v>641</v>
      </c>
      <c r="U51" s="15">
        <v>0.025005851603339315</v>
      </c>
      <c r="V51" s="57"/>
      <c r="W51" s="56"/>
      <c r="X51" s="57"/>
      <c r="Y51" s="9"/>
      <c r="Z51" s="10">
        <v>4165801.02</v>
      </c>
      <c r="AA51" s="15">
        <v>0.02677195553603043</v>
      </c>
      <c r="AB51" s="11">
        <v>640</v>
      </c>
      <c r="AC51" s="15">
        <v>0.02640372952679566</v>
      </c>
      <c r="AD51" s="57"/>
      <c r="AE51" s="56"/>
      <c r="AF51" s="57"/>
      <c r="AG51" s="9"/>
      <c r="AH51" s="10">
        <f>3567878.88+327493</f>
        <v>3895371.88</v>
      </c>
      <c r="AI51" s="15">
        <f t="shared" si="0"/>
        <v>0.02702650169991852</v>
      </c>
      <c r="AJ51" s="11">
        <v>605</v>
      </c>
      <c r="AK51" s="15">
        <f t="shared" si="1"/>
        <v>0.026446931281692603</v>
      </c>
      <c r="AL51" s="57"/>
      <c r="AM51" s="56"/>
      <c r="AN51" s="57"/>
      <c r="AO51" s="10">
        <v>3674791.1</v>
      </c>
      <c r="AP51" s="15">
        <v>0.027534693203652403</v>
      </c>
      <c r="AQ51" s="11">
        <v>506</v>
      </c>
      <c r="AR51" s="15">
        <v>0.024080331223528293</v>
      </c>
      <c r="AS51" s="57"/>
      <c r="AT51" s="56"/>
      <c r="AU51" s="57"/>
      <c r="AV51" s="10">
        <v>3121408.3</v>
      </c>
      <c r="AW51" s="15">
        <v>0.025224825371969774</v>
      </c>
      <c r="AX51" s="11">
        <v>427</v>
      </c>
      <c r="AY51" s="15">
        <v>0.021688338073953678</v>
      </c>
      <c r="AZ51" s="57"/>
      <c r="BA51" s="56"/>
      <c r="BB51" s="57"/>
      <c r="BC51" s="10">
        <v>3079297.59</v>
      </c>
      <c r="BD51" s="15">
        <v>0.02754215293066446</v>
      </c>
      <c r="BE51" s="11">
        <v>431</v>
      </c>
      <c r="BF51" s="15">
        <v>0.024062081286288523</v>
      </c>
      <c r="BG51" s="57"/>
      <c r="BH51" s="56"/>
      <c r="BI51" s="57"/>
      <c r="BJ51" s="10">
        <v>2973551.99</v>
      </c>
      <c r="BK51" s="15">
        <v>0.028527147474697864</v>
      </c>
      <c r="BL51" s="11">
        <v>417</v>
      </c>
      <c r="BM51" s="15">
        <v>0.024758059728076945</v>
      </c>
      <c r="BN51" s="57"/>
      <c r="BO51" s="56"/>
      <c r="BP51" s="57"/>
      <c r="BQ51" s="10">
        <v>2718678.92</v>
      </c>
      <c r="BR51" s="15">
        <v>0.02821341480171829</v>
      </c>
      <c r="BS51" s="11">
        <v>387</v>
      </c>
      <c r="BT51" s="15">
        <v>0.024541822563257022</v>
      </c>
      <c r="BU51" s="57"/>
      <c r="BV51" s="56"/>
      <c r="BW51" s="57"/>
      <c r="BX51" s="10">
        <v>2612499.41</v>
      </c>
      <c r="BY51" s="15">
        <v>0.029036899045642616</v>
      </c>
      <c r="BZ51" s="11">
        <v>372</v>
      </c>
      <c r="CA51" s="15">
        <v>0.025157232704402517</v>
      </c>
      <c r="CB51" s="57"/>
      <c r="CC51" s="56"/>
      <c r="CD51" s="57"/>
      <c r="CE51" s="10">
        <v>2445645.98</v>
      </c>
      <c r="CF51" s="15">
        <v>0.0291964195282587</v>
      </c>
      <c r="CG51" s="11">
        <v>356</v>
      </c>
      <c r="CH51" s="15">
        <v>0.025683572613808527</v>
      </c>
      <c r="CI51" s="57"/>
      <c r="CJ51" s="56"/>
      <c r="CK51" s="57"/>
      <c r="CL51" s="10">
        <v>2304855.34</v>
      </c>
      <c r="CM51" s="15">
        <v>0.029363970179398683</v>
      </c>
      <c r="CN51" s="11">
        <v>335</v>
      </c>
      <c r="CO51" s="15">
        <v>0.02572174447174447</v>
      </c>
      <c r="CP51" s="57"/>
      <c r="CQ51" s="56"/>
      <c r="CR51" s="57"/>
    </row>
    <row r="52" spans="1:96" ht="12.75">
      <c r="A52" s="9"/>
      <c r="B52" s="9"/>
      <c r="C52" s="9"/>
      <c r="D52" s="10"/>
      <c r="E52" s="9"/>
      <c r="F52" s="11"/>
      <c r="G52" s="9"/>
      <c r="H52" s="9"/>
      <c r="I52" s="9"/>
      <c r="J52" s="10"/>
      <c r="K52" s="9"/>
      <c r="L52" s="11"/>
      <c r="M52" s="9"/>
      <c r="N52" s="55"/>
      <c r="O52" s="56"/>
      <c r="P52" s="55"/>
      <c r="Q52" s="9"/>
      <c r="R52" s="10"/>
      <c r="S52" s="9"/>
      <c r="T52" s="11"/>
      <c r="U52" s="9"/>
      <c r="V52" s="55"/>
      <c r="W52" s="56"/>
      <c r="X52" s="55"/>
      <c r="Y52" s="9"/>
      <c r="Z52" s="10"/>
      <c r="AA52" s="9"/>
      <c r="AB52" s="11"/>
      <c r="AC52" s="9"/>
      <c r="AD52" s="55"/>
      <c r="AE52" s="56"/>
      <c r="AF52" s="55"/>
      <c r="AG52" s="9"/>
      <c r="AH52" s="10"/>
      <c r="AI52" s="9"/>
      <c r="AJ52" s="11"/>
      <c r="AK52" s="9"/>
      <c r="AL52" s="55"/>
      <c r="AM52" s="56"/>
      <c r="AN52" s="55"/>
      <c r="AO52" s="10"/>
      <c r="AP52" s="9"/>
      <c r="AQ52" s="11"/>
      <c r="AR52" s="9"/>
      <c r="AS52" s="55"/>
      <c r="AT52" s="56"/>
      <c r="AU52" s="55"/>
      <c r="AV52" s="10"/>
      <c r="AW52" s="9"/>
      <c r="AX52" s="11"/>
      <c r="AY52" s="9"/>
      <c r="AZ52" s="55"/>
      <c r="BA52" s="56"/>
      <c r="BB52" s="55"/>
      <c r="BC52" s="10"/>
      <c r="BD52" s="9"/>
      <c r="BE52" s="11"/>
      <c r="BF52" s="9"/>
      <c r="BG52" s="55"/>
      <c r="BH52" s="56"/>
      <c r="BI52" s="55"/>
      <c r="BJ52" s="10"/>
      <c r="BK52" s="9"/>
      <c r="BL52" s="11"/>
      <c r="BM52" s="9"/>
      <c r="BN52" s="55"/>
      <c r="BO52" s="56"/>
      <c r="BP52" s="55"/>
      <c r="BQ52" s="10"/>
      <c r="BR52" s="9"/>
      <c r="BS52" s="11"/>
      <c r="BT52" s="9"/>
      <c r="BU52" s="55"/>
      <c r="BV52" s="56"/>
      <c r="BW52" s="55"/>
      <c r="BX52" s="10"/>
      <c r="BY52" s="9"/>
      <c r="BZ52" s="11"/>
      <c r="CA52" s="9"/>
      <c r="CB52" s="55"/>
      <c r="CC52" s="56"/>
      <c r="CD52" s="55"/>
      <c r="CE52" s="10"/>
      <c r="CF52" s="9"/>
      <c r="CG52" s="11"/>
      <c r="CH52" s="9"/>
      <c r="CI52" s="55"/>
      <c r="CJ52" s="56"/>
      <c r="CK52" s="55"/>
      <c r="CL52" s="10"/>
      <c r="CM52" s="9"/>
      <c r="CN52" s="11"/>
      <c r="CO52" s="9"/>
      <c r="CP52" s="55"/>
      <c r="CQ52" s="56"/>
      <c r="CR52" s="55"/>
    </row>
    <row r="53" spans="1:96" ht="13.5" thickBot="1">
      <c r="A53" s="9"/>
      <c r="B53" s="13"/>
      <c r="C53" s="13"/>
      <c r="D53" s="22">
        <f>SUM(D39:D51)</f>
        <v>192477828.53</v>
      </c>
      <c r="E53" s="24"/>
      <c r="F53" s="23">
        <f>SUM(F39:F51)</f>
        <v>29950</v>
      </c>
      <c r="G53" s="24"/>
      <c r="H53" s="9"/>
      <c r="I53" s="9"/>
      <c r="J53" s="22">
        <f>SUM(J39:J51)</f>
        <v>178933269.6299999</v>
      </c>
      <c r="K53" s="24"/>
      <c r="L53" s="23">
        <f>SUM(L39:L51)</f>
        <v>27040</v>
      </c>
      <c r="M53" s="24"/>
      <c r="N53" s="58"/>
      <c r="O53" s="32"/>
      <c r="P53" s="58"/>
      <c r="Q53" s="9"/>
      <c r="R53" s="22">
        <f>SUM(R39:R51)</f>
        <v>167032735.03999993</v>
      </c>
      <c r="S53" s="24"/>
      <c r="T53" s="23">
        <f>SUM(T39:T51)</f>
        <v>25634</v>
      </c>
      <c r="U53" s="24"/>
      <c r="V53" s="58"/>
      <c r="W53" s="32"/>
      <c r="X53" s="58"/>
      <c r="Y53" s="9"/>
      <c r="Z53" s="22">
        <f>SUM(Z39:Z51)</f>
        <v>155603165.2</v>
      </c>
      <c r="AA53" s="24"/>
      <c r="AB53" s="23">
        <f>SUM(AB39:AB51)</f>
        <v>24239</v>
      </c>
      <c r="AC53" s="24"/>
      <c r="AD53" s="58"/>
      <c r="AE53" s="32"/>
      <c r="AF53" s="58"/>
      <c r="AG53" s="9"/>
      <c r="AH53" s="22">
        <f>SUM(AH39:AH51)</f>
        <v>144131561.06</v>
      </c>
      <c r="AI53" s="24"/>
      <c r="AJ53" s="23">
        <f>SUM(AJ39:AJ51)</f>
        <v>22876</v>
      </c>
      <c r="AK53" s="24"/>
      <c r="AL53" s="58"/>
      <c r="AM53" s="32"/>
      <c r="AN53" s="58"/>
      <c r="AO53" s="22">
        <f>SUM(AO39:AO51)</f>
        <v>133460397.50000006</v>
      </c>
      <c r="AP53" s="24"/>
      <c r="AQ53" s="23">
        <f>SUM(AQ39:AQ51)</f>
        <v>21013</v>
      </c>
      <c r="AR53" s="24"/>
      <c r="AS53" s="58"/>
      <c r="AT53" s="32"/>
      <c r="AU53" s="58"/>
      <c r="AV53" s="22">
        <f>SUM(AV39:AV51)</f>
        <v>123743504.82000005</v>
      </c>
      <c r="AW53" s="24"/>
      <c r="AX53" s="23">
        <f>SUM(AX39:AX51)</f>
        <v>19688</v>
      </c>
      <c r="AY53" s="24"/>
      <c r="AZ53" s="58"/>
      <c r="BA53" s="32"/>
      <c r="BB53" s="58"/>
      <c r="BC53" s="22">
        <f>SUM(BC39:BC51)</f>
        <v>111803082.27000003</v>
      </c>
      <c r="BD53" s="24"/>
      <c r="BE53" s="23">
        <f>SUM(BE39:BE51)</f>
        <v>17912</v>
      </c>
      <c r="BF53" s="24"/>
      <c r="BG53" s="58"/>
      <c r="BH53" s="32"/>
      <c r="BI53" s="58"/>
      <c r="BJ53" s="22">
        <f>SUM(BJ39:BJ51)</f>
        <v>104235868.40000005</v>
      </c>
      <c r="BK53" s="24"/>
      <c r="BL53" s="23">
        <f>SUM(BL39:BL51)</f>
        <v>16843</v>
      </c>
      <c r="BM53" s="24"/>
      <c r="BN53" s="58"/>
      <c r="BO53" s="32"/>
      <c r="BP53" s="58"/>
      <c r="BQ53" s="22">
        <f>SUM(BQ39:BQ51)</f>
        <v>96361214.6600001</v>
      </c>
      <c r="BR53" s="24"/>
      <c r="BS53" s="23">
        <f>SUM(BS39:BS51)</f>
        <v>15769</v>
      </c>
      <c r="BT53" s="24"/>
      <c r="BU53" s="58"/>
      <c r="BV53" s="32"/>
      <c r="BW53" s="58"/>
      <c r="BX53" s="22">
        <f>SUM(BX39:BX51)</f>
        <v>89971708.27000003</v>
      </c>
      <c r="BY53" s="24"/>
      <c r="BZ53" s="23">
        <f>SUM(BZ39:BZ51)</f>
        <v>14787</v>
      </c>
      <c r="CA53" s="24"/>
      <c r="CB53" s="58"/>
      <c r="CC53" s="32"/>
      <c r="CD53" s="58"/>
      <c r="CE53" s="22">
        <f>SUM(CE39:CE51)</f>
        <v>83765270.52000003</v>
      </c>
      <c r="CF53" s="24"/>
      <c r="CG53" s="23">
        <f>SUM(CG39:CG51)</f>
        <v>13861</v>
      </c>
      <c r="CH53" s="24"/>
      <c r="CI53" s="58"/>
      <c r="CJ53" s="32"/>
      <c r="CK53" s="58"/>
      <c r="CL53" s="22">
        <f>SUM(CL39:CL51)</f>
        <v>78492633.17999999</v>
      </c>
      <c r="CM53" s="24"/>
      <c r="CN53" s="23">
        <f>SUM(CN39:CN51)</f>
        <v>13024</v>
      </c>
      <c r="CO53" s="24"/>
      <c r="CP53" s="58"/>
      <c r="CQ53" s="32"/>
      <c r="CR53" s="58"/>
    </row>
    <row r="54" spans="1:96" ht="13.5" thickTop="1">
      <c r="A54" s="9"/>
      <c r="B54" s="9"/>
      <c r="C54" s="9"/>
      <c r="D54" s="10"/>
      <c r="E54" s="9"/>
      <c r="F54" s="11"/>
      <c r="G54" s="9"/>
      <c r="H54" s="9"/>
      <c r="I54" s="9"/>
      <c r="J54" s="10"/>
      <c r="K54" s="9"/>
      <c r="L54" s="11"/>
      <c r="M54" s="9"/>
      <c r="N54" s="55"/>
      <c r="O54" s="56"/>
      <c r="P54" s="55"/>
      <c r="Q54" s="9"/>
      <c r="R54" s="10"/>
      <c r="S54" s="9"/>
      <c r="T54" s="11"/>
      <c r="U54" s="9"/>
      <c r="V54" s="55"/>
      <c r="W54" s="56"/>
      <c r="X54" s="55"/>
      <c r="Y54" s="9"/>
      <c r="Z54" s="10"/>
      <c r="AA54" s="9"/>
      <c r="AB54" s="11"/>
      <c r="AC54" s="9"/>
      <c r="AD54" s="55"/>
      <c r="AE54" s="56"/>
      <c r="AF54" s="55"/>
      <c r="AG54" s="9"/>
      <c r="AH54" s="10"/>
      <c r="AI54" s="9"/>
      <c r="AJ54" s="11"/>
      <c r="AK54" s="9"/>
      <c r="AL54" s="55"/>
      <c r="AM54" s="56"/>
      <c r="AN54" s="55"/>
      <c r="AO54" s="10"/>
      <c r="AP54" s="9"/>
      <c r="AQ54" s="11"/>
      <c r="AR54" s="9"/>
      <c r="AS54" s="55"/>
      <c r="AT54" s="56"/>
      <c r="AU54" s="55"/>
      <c r="AV54" s="10"/>
      <c r="AW54" s="9"/>
      <c r="AX54" s="11"/>
      <c r="AY54" s="9"/>
      <c r="AZ54" s="55"/>
      <c r="BA54" s="56"/>
      <c r="BB54" s="55"/>
      <c r="BC54" s="10"/>
      <c r="BD54" s="9"/>
      <c r="BE54" s="11"/>
      <c r="BF54" s="9"/>
      <c r="BG54" s="55"/>
      <c r="BH54" s="56"/>
      <c r="BI54" s="55"/>
      <c r="BJ54" s="10"/>
      <c r="BK54" s="9"/>
      <c r="BL54" s="11"/>
      <c r="BM54" s="9"/>
      <c r="BN54" s="55"/>
      <c r="BO54" s="56"/>
      <c r="BP54" s="55"/>
      <c r="BQ54" s="10"/>
      <c r="BR54" s="9"/>
      <c r="BS54" s="11"/>
      <c r="BT54" s="9"/>
      <c r="BU54" s="55"/>
      <c r="BV54" s="56"/>
      <c r="BW54" s="55"/>
      <c r="BX54" s="10"/>
      <c r="BY54" s="9"/>
      <c r="BZ54" s="11"/>
      <c r="CA54" s="9"/>
      <c r="CB54" s="55"/>
      <c r="CC54" s="56"/>
      <c r="CD54" s="55"/>
      <c r="CE54" s="10"/>
      <c r="CF54" s="9"/>
      <c r="CG54" s="11"/>
      <c r="CH54" s="9"/>
      <c r="CI54" s="55"/>
      <c r="CJ54" s="56"/>
      <c r="CK54" s="55"/>
      <c r="CL54" s="10"/>
      <c r="CM54" s="9"/>
      <c r="CN54" s="11"/>
      <c r="CO54" s="9"/>
      <c r="CP54" s="55"/>
      <c r="CQ54" s="56"/>
      <c r="CR54" s="55"/>
    </row>
    <row r="55" spans="1:96" ht="12.75">
      <c r="A55" s="9"/>
      <c r="B55" s="9"/>
      <c r="C55" s="9"/>
      <c r="D55" s="10"/>
      <c r="E55" s="9"/>
      <c r="F55" s="11"/>
      <c r="G55" s="9"/>
      <c r="H55" s="9"/>
      <c r="I55" s="9"/>
      <c r="J55" s="9"/>
      <c r="K55" s="9"/>
      <c r="L55" s="9"/>
      <c r="M55" s="10"/>
      <c r="N55" s="55"/>
      <c r="O55" s="56"/>
      <c r="P55" s="55"/>
      <c r="Q55" s="9"/>
      <c r="R55" s="9"/>
      <c r="S55" s="9"/>
      <c r="T55" s="9"/>
      <c r="U55" s="10"/>
      <c r="V55" s="55"/>
      <c r="W55" s="56"/>
      <c r="X55" s="55"/>
      <c r="Y55" s="9"/>
      <c r="Z55" s="9"/>
      <c r="AA55" s="9"/>
      <c r="AB55" s="9"/>
      <c r="AC55" s="10"/>
      <c r="AD55" s="55"/>
      <c r="AE55" s="56"/>
      <c r="AF55" s="55"/>
      <c r="AG55" s="9"/>
      <c r="AH55" s="9"/>
      <c r="AI55" s="9"/>
      <c r="AJ55" s="9"/>
      <c r="AK55" s="10"/>
      <c r="AL55" s="55"/>
      <c r="AM55" s="56"/>
      <c r="AN55" s="55"/>
      <c r="AO55" s="9"/>
      <c r="AP55" s="9"/>
      <c r="AQ55" s="9"/>
      <c r="AR55" s="10"/>
      <c r="AS55" s="55"/>
      <c r="AT55" s="56"/>
      <c r="AU55" s="55"/>
      <c r="AV55" s="9"/>
      <c r="AW55" s="9"/>
      <c r="AX55" s="9"/>
      <c r="AY55" s="10"/>
      <c r="AZ55" s="55"/>
      <c r="BA55" s="56"/>
      <c r="BB55" s="55"/>
      <c r="BC55" s="9"/>
      <c r="BD55" s="9"/>
      <c r="BE55" s="9"/>
      <c r="BF55" s="10"/>
      <c r="BG55" s="55"/>
      <c r="BH55" s="56"/>
      <c r="BI55" s="55"/>
      <c r="BJ55" s="9"/>
      <c r="BK55" s="9"/>
      <c r="BL55" s="9"/>
      <c r="BM55" s="10"/>
      <c r="BN55" s="55"/>
      <c r="BO55" s="56"/>
      <c r="BP55" s="55"/>
      <c r="BQ55" s="9"/>
      <c r="BR55" s="9"/>
      <c r="BS55" s="9"/>
      <c r="BT55" s="10"/>
      <c r="BU55" s="55"/>
      <c r="BV55" s="56"/>
      <c r="BW55" s="55"/>
      <c r="BX55" s="9"/>
      <c r="BY55" s="9"/>
      <c r="BZ55" s="9"/>
      <c r="CA55" s="10"/>
      <c r="CB55" s="55"/>
      <c r="CC55" s="56"/>
      <c r="CD55" s="55"/>
      <c r="CE55" s="9"/>
      <c r="CF55" s="9"/>
      <c r="CG55" s="9"/>
      <c r="CH55" s="10"/>
      <c r="CI55" s="55"/>
      <c r="CJ55" s="56"/>
      <c r="CK55" s="55"/>
      <c r="CL55" s="9"/>
      <c r="CM55" s="9"/>
      <c r="CN55" s="9"/>
      <c r="CO55" s="10"/>
      <c r="CP55" s="55"/>
      <c r="CQ55" s="56"/>
      <c r="CR55" s="55"/>
    </row>
    <row r="56" spans="1:96" ht="12.75">
      <c r="A56" s="20" t="s">
        <v>115</v>
      </c>
      <c r="B56" s="9"/>
      <c r="C56" s="9"/>
      <c r="D56" s="10"/>
      <c r="E56" s="9"/>
      <c r="F56" s="11"/>
      <c r="G56" s="9"/>
      <c r="H56" s="9"/>
      <c r="I56" s="9"/>
      <c r="J56" s="20" t="s">
        <v>115</v>
      </c>
      <c r="K56" s="9"/>
      <c r="L56" s="9"/>
      <c r="M56" s="10"/>
      <c r="N56" s="9"/>
      <c r="O56" s="11"/>
      <c r="P56" s="9"/>
      <c r="Q56" s="9"/>
      <c r="R56" s="20" t="s">
        <v>115</v>
      </c>
      <c r="S56" s="9"/>
      <c r="T56" s="9"/>
      <c r="U56" s="10"/>
      <c r="V56" s="9"/>
      <c r="W56" s="11"/>
      <c r="X56" s="9"/>
      <c r="Y56" s="9"/>
      <c r="Z56" s="20" t="s">
        <v>115</v>
      </c>
      <c r="AA56" s="9"/>
      <c r="AB56" s="9"/>
      <c r="AC56" s="10"/>
      <c r="AD56" s="9"/>
      <c r="AE56" s="11"/>
      <c r="AF56" s="9"/>
      <c r="AG56" s="9"/>
      <c r="AH56" s="20" t="s">
        <v>115</v>
      </c>
      <c r="AI56" s="9"/>
      <c r="AJ56" s="9"/>
      <c r="AK56" s="10"/>
      <c r="AL56" s="9"/>
      <c r="AM56" s="11"/>
      <c r="AN56" s="9"/>
      <c r="AO56" s="20" t="s">
        <v>115</v>
      </c>
      <c r="AP56" s="9"/>
      <c r="AQ56" s="9"/>
      <c r="AR56" s="10"/>
      <c r="AS56" s="9"/>
      <c r="AT56" s="11"/>
      <c r="AU56" s="9"/>
      <c r="AV56" s="20" t="s">
        <v>115</v>
      </c>
      <c r="AW56" s="9"/>
      <c r="AX56" s="9"/>
      <c r="AY56" s="10"/>
      <c r="AZ56" s="9"/>
      <c r="BA56" s="11"/>
      <c r="BB56" s="9"/>
      <c r="BC56" s="20" t="s">
        <v>115</v>
      </c>
      <c r="BD56" s="9"/>
      <c r="BE56" s="9"/>
      <c r="BF56" s="10"/>
      <c r="BG56" s="9"/>
      <c r="BH56" s="11"/>
      <c r="BI56" s="9"/>
      <c r="BJ56" s="20" t="s">
        <v>115</v>
      </c>
      <c r="BK56" s="9"/>
      <c r="BL56" s="9"/>
      <c r="BM56" s="10"/>
      <c r="BN56" s="9"/>
      <c r="BO56" s="11"/>
      <c r="BP56" s="9"/>
      <c r="BQ56" s="20" t="s">
        <v>115</v>
      </c>
      <c r="BR56" s="9"/>
      <c r="BS56" s="9"/>
      <c r="BT56" s="10"/>
      <c r="BU56" s="9"/>
      <c r="BV56" s="11"/>
      <c r="BW56" s="9"/>
      <c r="BX56" s="20" t="s">
        <v>115</v>
      </c>
      <c r="BY56" s="9"/>
      <c r="BZ56" s="9"/>
      <c r="CA56" s="10"/>
      <c r="CB56" s="9"/>
      <c r="CC56" s="11"/>
      <c r="CD56" s="9"/>
      <c r="CE56" s="20" t="s">
        <v>115</v>
      </c>
      <c r="CF56" s="9"/>
      <c r="CG56" s="9"/>
      <c r="CH56" s="10"/>
      <c r="CI56" s="9"/>
      <c r="CJ56" s="11"/>
      <c r="CK56" s="9"/>
      <c r="CL56" s="20" t="s">
        <v>115</v>
      </c>
      <c r="CM56" s="9"/>
      <c r="CN56" s="9"/>
      <c r="CO56" s="10"/>
      <c r="CP56" s="9"/>
      <c r="CQ56" s="11"/>
      <c r="CR56" s="9"/>
    </row>
    <row r="57" spans="1:96" ht="12.75">
      <c r="A57" s="20"/>
      <c r="B57" s="9"/>
      <c r="C57" s="9"/>
      <c r="D57" s="10"/>
      <c r="E57" s="9"/>
      <c r="F57" s="11"/>
      <c r="G57" s="9"/>
      <c r="H57" s="9"/>
      <c r="I57" s="9"/>
      <c r="J57" s="20"/>
      <c r="K57" s="9"/>
      <c r="L57" s="9"/>
      <c r="M57" s="10"/>
      <c r="N57" s="9"/>
      <c r="O57" s="11"/>
      <c r="P57" s="9"/>
      <c r="Q57" s="9"/>
      <c r="R57" s="20"/>
      <c r="S57" s="9"/>
      <c r="T57" s="9"/>
      <c r="U57" s="10"/>
      <c r="V57" s="9"/>
      <c r="W57" s="11"/>
      <c r="X57" s="9"/>
      <c r="Y57" s="9"/>
      <c r="Z57" s="20"/>
      <c r="AA57" s="9"/>
      <c r="AB57" s="9"/>
      <c r="AC57" s="10"/>
      <c r="AD57" s="9"/>
      <c r="AE57" s="11"/>
      <c r="AF57" s="9"/>
      <c r="AG57" s="9"/>
      <c r="AH57" s="20"/>
      <c r="AI57" s="9"/>
      <c r="AJ57" s="9"/>
      <c r="AK57" s="10"/>
      <c r="AL57" s="9"/>
      <c r="AM57" s="11"/>
      <c r="AN57" s="9"/>
      <c r="AO57" s="20"/>
      <c r="AP57" s="9"/>
      <c r="AQ57" s="9"/>
      <c r="AR57" s="10"/>
      <c r="AS57" s="9"/>
      <c r="AT57" s="11"/>
      <c r="AU57" s="9"/>
      <c r="AV57" s="20"/>
      <c r="AW57" s="9"/>
      <c r="AX57" s="9"/>
      <c r="AY57" s="10"/>
      <c r="AZ57" s="9"/>
      <c r="BA57" s="11"/>
      <c r="BB57" s="9"/>
      <c r="BC57" s="20"/>
      <c r="BD57" s="9"/>
      <c r="BE57" s="9"/>
      <c r="BF57" s="10"/>
      <c r="BG57" s="9"/>
      <c r="BH57" s="11"/>
      <c r="BI57" s="9"/>
      <c r="BJ57" s="20"/>
      <c r="BK57" s="9"/>
      <c r="BL57" s="9"/>
      <c r="BM57" s="10"/>
      <c r="BN57" s="9"/>
      <c r="BO57" s="11"/>
      <c r="BP57" s="9"/>
      <c r="BQ57" s="20"/>
      <c r="BR57" s="9"/>
      <c r="BS57" s="9"/>
      <c r="BT57" s="10"/>
      <c r="BU57" s="9"/>
      <c r="BV57" s="11"/>
      <c r="BW57" s="9"/>
      <c r="BX57" s="20"/>
      <c r="BY57" s="9"/>
      <c r="BZ57" s="9"/>
      <c r="CA57" s="10"/>
      <c r="CB57" s="9"/>
      <c r="CC57" s="11"/>
      <c r="CD57" s="9"/>
      <c r="CE57" s="20"/>
      <c r="CF57" s="9"/>
      <c r="CG57" s="9"/>
      <c r="CH57" s="10"/>
      <c r="CI57" s="9"/>
      <c r="CJ57" s="11"/>
      <c r="CK57" s="9"/>
      <c r="CL57" s="20"/>
      <c r="CM57" s="9"/>
      <c r="CN57" s="9"/>
      <c r="CO57" s="10"/>
      <c r="CP57" s="9"/>
      <c r="CQ57" s="11"/>
      <c r="CR57" s="9"/>
    </row>
    <row r="58" spans="1:96" s="30" customFormat="1" ht="12.75">
      <c r="A58" s="26"/>
      <c r="B58" s="27"/>
      <c r="C58" s="27"/>
      <c r="D58" s="28" t="s">
        <v>143</v>
      </c>
      <c r="E58" s="27" t="s">
        <v>96</v>
      </c>
      <c r="F58" s="29" t="s">
        <v>97</v>
      </c>
      <c r="G58" s="27" t="s">
        <v>96</v>
      </c>
      <c r="H58" s="26"/>
      <c r="I58" s="26"/>
      <c r="J58" s="28" t="s">
        <v>143</v>
      </c>
      <c r="K58" s="27" t="s">
        <v>96</v>
      </c>
      <c r="L58" s="29" t="s">
        <v>97</v>
      </c>
      <c r="M58" s="27" t="s">
        <v>96</v>
      </c>
      <c r="N58" s="65"/>
      <c r="O58" s="66"/>
      <c r="P58" s="65"/>
      <c r="Q58" s="26"/>
      <c r="R58" s="28" t="s">
        <v>143</v>
      </c>
      <c r="S58" s="27" t="s">
        <v>96</v>
      </c>
      <c r="T58" s="29" t="s">
        <v>97</v>
      </c>
      <c r="U58" s="27" t="s">
        <v>96</v>
      </c>
      <c r="V58" s="65"/>
      <c r="W58" s="66"/>
      <c r="X58" s="65"/>
      <c r="Y58" s="26"/>
      <c r="Z58" s="28" t="s">
        <v>143</v>
      </c>
      <c r="AA58" s="27" t="s">
        <v>96</v>
      </c>
      <c r="AB58" s="29" t="s">
        <v>97</v>
      </c>
      <c r="AC58" s="27" t="s">
        <v>96</v>
      </c>
      <c r="AD58" s="65"/>
      <c r="AE58" s="66"/>
      <c r="AF58" s="65"/>
      <c r="AG58" s="26"/>
      <c r="AH58" s="28" t="s">
        <v>143</v>
      </c>
      <c r="AI58" s="27" t="s">
        <v>96</v>
      </c>
      <c r="AJ58" s="29" t="s">
        <v>97</v>
      </c>
      <c r="AK58" s="27" t="s">
        <v>96</v>
      </c>
      <c r="AL58" s="65"/>
      <c r="AM58" s="66"/>
      <c r="AN58" s="65"/>
      <c r="AO58" s="28" t="s">
        <v>143</v>
      </c>
      <c r="AP58" s="27" t="s">
        <v>96</v>
      </c>
      <c r="AQ58" s="29" t="s">
        <v>97</v>
      </c>
      <c r="AR58" s="27" t="s">
        <v>96</v>
      </c>
      <c r="AS58" s="65"/>
      <c r="AT58" s="66"/>
      <c r="AU58" s="65"/>
      <c r="AV58" s="94" t="s">
        <v>143</v>
      </c>
      <c r="AW58" s="45" t="s">
        <v>96</v>
      </c>
      <c r="AX58" s="93" t="s">
        <v>97</v>
      </c>
      <c r="AY58" s="27" t="s">
        <v>96</v>
      </c>
      <c r="AZ58" s="65"/>
      <c r="BA58" s="66"/>
      <c r="BB58" s="65"/>
      <c r="BC58" s="94" t="s">
        <v>143</v>
      </c>
      <c r="BD58" s="45" t="s">
        <v>96</v>
      </c>
      <c r="BE58" s="93" t="s">
        <v>97</v>
      </c>
      <c r="BF58" s="27" t="s">
        <v>96</v>
      </c>
      <c r="BG58" s="65"/>
      <c r="BH58" s="66"/>
      <c r="BI58" s="65"/>
      <c r="BJ58" s="94" t="s">
        <v>143</v>
      </c>
      <c r="BK58" s="45" t="s">
        <v>96</v>
      </c>
      <c r="BL58" s="93" t="s">
        <v>97</v>
      </c>
      <c r="BM58" s="27" t="s">
        <v>96</v>
      </c>
      <c r="BN58" s="65"/>
      <c r="BO58" s="66"/>
      <c r="BP58" s="65"/>
      <c r="BQ58" s="94" t="s">
        <v>143</v>
      </c>
      <c r="BR58" s="45" t="s">
        <v>96</v>
      </c>
      <c r="BS58" s="93" t="s">
        <v>97</v>
      </c>
      <c r="BT58" s="27" t="s">
        <v>96</v>
      </c>
      <c r="BU58" s="65"/>
      <c r="BV58" s="66"/>
      <c r="BW58" s="65"/>
      <c r="BX58" s="94" t="s">
        <v>143</v>
      </c>
      <c r="BY58" s="45" t="s">
        <v>96</v>
      </c>
      <c r="BZ58" s="93" t="s">
        <v>97</v>
      </c>
      <c r="CA58" s="27" t="s">
        <v>96</v>
      </c>
      <c r="CB58" s="65"/>
      <c r="CC58" s="66"/>
      <c r="CD58" s="65"/>
      <c r="CE58" s="94" t="s">
        <v>143</v>
      </c>
      <c r="CF58" s="45" t="s">
        <v>96</v>
      </c>
      <c r="CG58" s="93" t="s">
        <v>97</v>
      </c>
      <c r="CH58" s="27" t="s">
        <v>96</v>
      </c>
      <c r="CI58" s="65"/>
      <c r="CJ58" s="66"/>
      <c r="CK58" s="65"/>
      <c r="CL58" s="94" t="s">
        <v>143</v>
      </c>
      <c r="CM58" s="45" t="s">
        <v>96</v>
      </c>
      <c r="CN58" s="93" t="s">
        <v>97</v>
      </c>
      <c r="CO58" s="27" t="s">
        <v>96</v>
      </c>
      <c r="CP58" s="65"/>
      <c r="CQ58" s="66"/>
      <c r="CR58" s="65"/>
    </row>
    <row r="59" spans="1:96" ht="12.75">
      <c r="A59" s="13"/>
      <c r="B59" s="9"/>
      <c r="C59" s="9"/>
      <c r="D59" s="10"/>
      <c r="E59" s="9"/>
      <c r="F59" s="11"/>
      <c r="G59" s="9"/>
      <c r="H59" s="9"/>
      <c r="I59" s="9"/>
      <c r="J59" s="10"/>
      <c r="K59" s="9"/>
      <c r="L59" s="11"/>
      <c r="M59" s="9"/>
      <c r="N59" s="55"/>
      <c r="O59" s="56"/>
      <c r="P59" s="55"/>
      <c r="Q59" s="9"/>
      <c r="R59" s="10"/>
      <c r="S59" s="9"/>
      <c r="T59" s="11"/>
      <c r="U59" s="9"/>
      <c r="V59" s="55"/>
      <c r="W59" s="56"/>
      <c r="X59" s="55"/>
      <c r="Y59" s="9"/>
      <c r="Z59" s="10"/>
      <c r="AA59" s="9"/>
      <c r="AB59" s="11"/>
      <c r="AC59" s="9"/>
      <c r="AD59" s="55"/>
      <c r="AE59" s="56"/>
      <c r="AF59" s="55"/>
      <c r="AG59" s="9"/>
      <c r="AH59" s="10"/>
      <c r="AI59" s="9"/>
      <c r="AJ59" s="11"/>
      <c r="AK59" s="9"/>
      <c r="AL59" s="55"/>
      <c r="AM59" s="56"/>
      <c r="AN59" s="55"/>
      <c r="AO59" s="10"/>
      <c r="AP59" s="9"/>
      <c r="AQ59" s="11"/>
      <c r="AR59" s="9"/>
      <c r="AS59" s="55"/>
      <c r="AT59" s="56"/>
      <c r="AU59" s="55"/>
      <c r="AV59" s="10"/>
      <c r="AW59" s="9"/>
      <c r="AX59" s="11"/>
      <c r="AY59" s="9"/>
      <c r="AZ59" s="55"/>
      <c r="BA59" s="56"/>
      <c r="BB59" s="55"/>
      <c r="BC59" s="10"/>
      <c r="BD59" s="9"/>
      <c r="BE59" s="11"/>
      <c r="BF59" s="9"/>
      <c r="BG59" s="55"/>
      <c r="BH59" s="56"/>
      <c r="BI59" s="55"/>
      <c r="BJ59" s="10"/>
      <c r="BK59" s="9"/>
      <c r="BL59" s="11"/>
      <c r="BM59" s="9"/>
      <c r="BN59" s="55"/>
      <c r="BO59" s="56"/>
      <c r="BP59" s="55"/>
      <c r="BQ59" s="10"/>
      <c r="BR59" s="9"/>
      <c r="BS59" s="11"/>
      <c r="BT59" s="9"/>
      <c r="BU59" s="55"/>
      <c r="BV59" s="56"/>
      <c r="BW59" s="55"/>
      <c r="BX59" s="10"/>
      <c r="BY59" s="9"/>
      <c r="BZ59" s="11"/>
      <c r="CA59" s="9"/>
      <c r="CB59" s="55"/>
      <c r="CC59" s="56"/>
      <c r="CD59" s="55"/>
      <c r="CE59" s="10"/>
      <c r="CF59" s="9"/>
      <c r="CG59" s="11"/>
      <c r="CH59" s="9"/>
      <c r="CI59" s="55"/>
      <c r="CJ59" s="56"/>
      <c r="CK59" s="55"/>
      <c r="CL59" s="10"/>
      <c r="CM59" s="9"/>
      <c r="CN59" s="11"/>
      <c r="CO59" s="9"/>
      <c r="CP59" s="55"/>
      <c r="CQ59" s="56"/>
      <c r="CR59" s="55"/>
    </row>
    <row r="60" spans="1:96" ht="12.75">
      <c r="A60" s="9" t="s">
        <v>15</v>
      </c>
      <c r="B60" s="9"/>
      <c r="C60" s="9"/>
      <c r="D60" s="10">
        <v>4106710.5299999914</v>
      </c>
      <c r="E60" s="15">
        <v>0.021336018602058932</v>
      </c>
      <c r="F60" s="11">
        <v>5342</v>
      </c>
      <c r="G60" s="15">
        <v>0.17836393989983307</v>
      </c>
      <c r="H60" s="9"/>
      <c r="I60" s="9"/>
      <c r="J60" s="10">
        <v>4109389.18</v>
      </c>
      <c r="K60" s="15">
        <v>0.022966043086886163</v>
      </c>
      <c r="L60" s="11">
        <v>4023</v>
      </c>
      <c r="M60" s="15">
        <v>0.14877958579881656</v>
      </c>
      <c r="N60" s="57"/>
      <c r="O60" s="56"/>
      <c r="P60" s="57"/>
      <c r="Q60" s="9"/>
      <c r="R60" s="10">
        <v>3974748.5699999942</v>
      </c>
      <c r="S60" s="15">
        <v>0.023796225147412843</v>
      </c>
      <c r="T60" s="11">
        <v>4032</v>
      </c>
      <c r="U60" s="15">
        <v>0.15729109776078645</v>
      </c>
      <c r="V60" s="57"/>
      <c r="W60" s="56"/>
      <c r="X60" s="57"/>
      <c r="Y60" s="9"/>
      <c r="Z60" s="10">
        <v>3944274.51</v>
      </c>
      <c r="AA60" s="15">
        <v>0.025348292272399063</v>
      </c>
      <c r="AB60" s="11">
        <v>4029</v>
      </c>
      <c r="AC60" s="15">
        <v>0.16621972853665581</v>
      </c>
      <c r="AD60" s="57"/>
      <c r="AE60" s="56"/>
      <c r="AF60" s="57"/>
      <c r="AG60" s="9"/>
      <c r="AH60" s="10">
        <v>3791045.28</v>
      </c>
      <c r="AI60" s="15">
        <v>0.026302672725662342</v>
      </c>
      <c r="AJ60" s="11">
        <v>4005</v>
      </c>
      <c r="AK60" s="15">
        <v>0.17507431369120477</v>
      </c>
      <c r="AL60" s="57"/>
      <c r="AM60" s="56"/>
      <c r="AN60" s="57"/>
      <c r="AO60" s="10">
        <v>3569515.8799999924</v>
      </c>
      <c r="AP60" s="15">
        <v>0.026745880777104623</v>
      </c>
      <c r="AQ60" s="11">
        <v>3443</v>
      </c>
      <c r="AR60" s="15">
        <v>0.1638509494122686</v>
      </c>
      <c r="AS60" s="57"/>
      <c r="AT60" s="56"/>
      <c r="AU60" s="57"/>
      <c r="AV60" s="10">
        <v>3376315.64</v>
      </c>
      <c r="AW60" s="15">
        <v>0.027284790784867938</v>
      </c>
      <c r="AX60" s="11">
        <v>3314</v>
      </c>
      <c r="AY60" s="15">
        <v>0.1683258837870784</v>
      </c>
      <c r="AZ60" s="57"/>
      <c r="BA60" s="56"/>
      <c r="BB60" s="57"/>
      <c r="BC60" s="10">
        <v>3022264.94</v>
      </c>
      <c r="BD60" s="15">
        <v>0.027032035956766797</v>
      </c>
      <c r="BE60" s="11">
        <v>2990</v>
      </c>
      <c r="BF60" s="15">
        <v>0.16692719964269764</v>
      </c>
      <c r="BG60" s="57"/>
      <c r="BH60" s="56"/>
      <c r="BI60" s="57"/>
      <c r="BJ60" s="10">
        <v>2807941.800000008</v>
      </c>
      <c r="BK60" s="15">
        <v>0.026938345150295764</v>
      </c>
      <c r="BL60" s="11">
        <v>2805</v>
      </c>
      <c r="BM60" s="15">
        <v>0.16653802766728018</v>
      </c>
      <c r="BN60" s="57"/>
      <c r="BO60" s="56"/>
      <c r="BP60" s="57"/>
      <c r="BQ60" s="10">
        <v>2616037.37</v>
      </c>
      <c r="BR60" s="15">
        <v>0.0271482398725504</v>
      </c>
      <c r="BS60" s="11">
        <v>2672</v>
      </c>
      <c r="BT60" s="15">
        <v>0.1694463821421777</v>
      </c>
      <c r="BU60" s="57"/>
      <c r="BV60" s="56"/>
      <c r="BW60" s="57"/>
      <c r="BX60" s="10">
        <v>2442384.4</v>
      </c>
      <c r="BY60" s="15">
        <v>0.027146137902267466</v>
      </c>
      <c r="BZ60" s="11">
        <v>2457</v>
      </c>
      <c r="CA60" s="15">
        <v>0.1661594643944005</v>
      </c>
      <c r="CB60" s="57"/>
      <c r="CC60" s="56"/>
      <c r="CD60" s="57"/>
      <c r="CE60" s="10">
        <v>2310527.2</v>
      </c>
      <c r="CF60" s="15">
        <v>0.027583355078502753</v>
      </c>
      <c r="CG60" s="11">
        <v>2297</v>
      </c>
      <c r="CH60" s="15">
        <v>0.16571675925257917</v>
      </c>
      <c r="CI60" s="57"/>
      <c r="CJ60" s="56"/>
      <c r="CK60" s="57"/>
      <c r="CL60" s="10">
        <v>2171468.59</v>
      </c>
      <c r="CM60" s="15">
        <v>0.027664616436301283</v>
      </c>
      <c r="CN60" s="11">
        <v>2098</v>
      </c>
      <c r="CO60" s="15">
        <v>0.16108722358722358</v>
      </c>
      <c r="CP60" s="57"/>
      <c r="CQ60" s="56"/>
      <c r="CR60" s="57"/>
    </row>
    <row r="61" spans="1:96" ht="12.75">
      <c r="A61" s="9" t="s">
        <v>16</v>
      </c>
      <c r="B61" s="9"/>
      <c r="C61" s="9"/>
      <c r="D61" s="10">
        <v>15554521.620000018</v>
      </c>
      <c r="E61" s="15">
        <v>0.08081201735697911</v>
      </c>
      <c r="F61" s="11">
        <v>5146</v>
      </c>
      <c r="G61" s="15">
        <v>0.17181969949916528</v>
      </c>
      <c r="H61" s="9"/>
      <c r="I61" s="9"/>
      <c r="J61" s="10">
        <v>14742253.989999985</v>
      </c>
      <c r="K61" s="15">
        <v>0.0823896753269203</v>
      </c>
      <c r="L61" s="11">
        <v>4898</v>
      </c>
      <c r="M61" s="15">
        <v>0.18113905325443788</v>
      </c>
      <c r="N61" s="57"/>
      <c r="O61" s="56"/>
      <c r="P61" s="57"/>
      <c r="Q61" s="9"/>
      <c r="R61" s="10">
        <v>13916743.410000008</v>
      </c>
      <c r="S61" s="15">
        <v>0.08331746113519191</v>
      </c>
      <c r="T61" s="11">
        <v>4642</v>
      </c>
      <c r="U61" s="15">
        <v>0.181087618007334</v>
      </c>
      <c r="V61" s="57"/>
      <c r="W61" s="56"/>
      <c r="X61" s="57"/>
      <c r="Y61" s="9"/>
      <c r="Z61" s="10">
        <v>13127116.529999968</v>
      </c>
      <c r="AA61" s="15">
        <v>0.08436278602127024</v>
      </c>
      <c r="AB61" s="11">
        <v>4365</v>
      </c>
      <c r="AC61" s="15">
        <v>0.1800816865382235</v>
      </c>
      <c r="AD61" s="57"/>
      <c r="AE61" s="56"/>
      <c r="AF61" s="57"/>
      <c r="AG61" s="9"/>
      <c r="AH61" s="10">
        <v>12486056.790000021</v>
      </c>
      <c r="AI61" s="15">
        <v>0.08662958132259627</v>
      </c>
      <c r="AJ61" s="11">
        <v>4150</v>
      </c>
      <c r="AK61" s="15">
        <v>0.18141283441161044</v>
      </c>
      <c r="AL61" s="57"/>
      <c r="AM61" s="56"/>
      <c r="AN61" s="57"/>
      <c r="AO61" s="10">
        <v>11982534.740000037</v>
      </c>
      <c r="AP61" s="15">
        <v>0.08978344860691755</v>
      </c>
      <c r="AQ61" s="11">
        <v>3955</v>
      </c>
      <c r="AR61" s="15">
        <v>0.18821681816018654</v>
      </c>
      <c r="AS61" s="57"/>
      <c r="AT61" s="56"/>
      <c r="AU61" s="57"/>
      <c r="AV61" s="10">
        <v>11423054.639999986</v>
      </c>
      <c r="AW61" s="15">
        <v>0.09231235737678684</v>
      </c>
      <c r="AX61" s="11">
        <v>3752</v>
      </c>
      <c r="AY61" s="15">
        <v>0.19057293783015034</v>
      </c>
      <c r="AZ61" s="57"/>
      <c r="BA61" s="56"/>
      <c r="BB61" s="57"/>
      <c r="BC61" s="10">
        <v>10727936.810000002</v>
      </c>
      <c r="BD61" s="15">
        <v>0.09595385558416414</v>
      </c>
      <c r="BE61" s="11">
        <v>3528</v>
      </c>
      <c r="BF61" s="15">
        <v>0.19696292987941044</v>
      </c>
      <c r="BG61" s="57"/>
      <c r="BH61" s="56"/>
      <c r="BI61" s="57"/>
      <c r="BJ61" s="10">
        <v>10303552.469999997</v>
      </c>
      <c r="BK61" s="15">
        <v>0.09884843507477312</v>
      </c>
      <c r="BL61" s="11">
        <v>3392</v>
      </c>
      <c r="BM61" s="15">
        <v>0.20138930119337412</v>
      </c>
      <c r="BN61" s="57"/>
      <c r="BO61" s="56"/>
      <c r="BP61" s="57"/>
      <c r="BQ61" s="10">
        <v>9907915.700000012</v>
      </c>
      <c r="BR61" s="15">
        <v>0.10282057708549032</v>
      </c>
      <c r="BS61" s="11">
        <v>3259</v>
      </c>
      <c r="BT61" s="15">
        <v>0.20667131714122647</v>
      </c>
      <c r="BU61" s="57"/>
      <c r="BV61" s="56"/>
      <c r="BW61" s="57"/>
      <c r="BX61" s="10">
        <v>9684815.239999978</v>
      </c>
      <c r="BY61" s="15">
        <v>0.10764289604168006</v>
      </c>
      <c r="BZ61" s="11">
        <v>3180</v>
      </c>
      <c r="CA61" s="15">
        <v>0.21505376344086022</v>
      </c>
      <c r="CB61" s="57"/>
      <c r="CC61" s="56"/>
      <c r="CD61" s="57"/>
      <c r="CE61" s="10">
        <v>9355925.840000004</v>
      </c>
      <c r="CF61" s="15">
        <v>0.11169218199762346</v>
      </c>
      <c r="CG61" s="11">
        <v>3074</v>
      </c>
      <c r="CH61" s="15">
        <v>0.22177332082822307</v>
      </c>
      <c r="CI61" s="57"/>
      <c r="CJ61" s="56"/>
      <c r="CK61" s="57"/>
      <c r="CL61" s="10">
        <v>9207202.57000001</v>
      </c>
      <c r="CM61" s="15">
        <v>0.11730021273316145</v>
      </c>
      <c r="CN61" s="11">
        <v>3023</v>
      </c>
      <c r="CO61" s="15">
        <v>0.23210995085995087</v>
      </c>
      <c r="CP61" s="57"/>
      <c r="CQ61" s="56"/>
      <c r="CR61" s="57"/>
    </row>
    <row r="62" spans="1:96" ht="12.75">
      <c r="A62" s="9" t="s">
        <v>17</v>
      </c>
      <c r="B62" s="9"/>
      <c r="C62" s="9"/>
      <c r="D62" s="10">
        <v>28129492.009999964</v>
      </c>
      <c r="E62" s="15">
        <v>0.14614406357777268</v>
      </c>
      <c r="F62" s="11">
        <v>5632</v>
      </c>
      <c r="G62" s="15">
        <v>0.1880467445742905</v>
      </c>
      <c r="H62" s="9"/>
      <c r="I62" s="9"/>
      <c r="J62" s="10">
        <v>26363647.209999915</v>
      </c>
      <c r="K62" s="15">
        <v>0.14733787218282512</v>
      </c>
      <c r="L62" s="11">
        <v>5296</v>
      </c>
      <c r="M62" s="15">
        <v>0.19585798816568048</v>
      </c>
      <c r="N62" s="57"/>
      <c r="O62" s="56"/>
      <c r="P62" s="57"/>
      <c r="Q62" s="9"/>
      <c r="R62" s="10">
        <v>25090550.50999995</v>
      </c>
      <c r="S62" s="15">
        <v>0.15021337286964387</v>
      </c>
      <c r="T62" s="11">
        <v>5045</v>
      </c>
      <c r="U62" s="15">
        <v>0.1968089256456269</v>
      </c>
      <c r="V62" s="57"/>
      <c r="W62" s="56"/>
      <c r="X62" s="57"/>
      <c r="Y62" s="9"/>
      <c r="Z62" s="10">
        <v>23812014.749999914</v>
      </c>
      <c r="AA62" s="15">
        <v>0.15303040088801426</v>
      </c>
      <c r="AB62" s="11">
        <v>4796</v>
      </c>
      <c r="AC62" s="15">
        <v>0.19786294814142497</v>
      </c>
      <c r="AD62" s="57"/>
      <c r="AE62" s="56"/>
      <c r="AF62" s="57"/>
      <c r="AG62" s="9"/>
      <c r="AH62" s="10">
        <v>22700592.69000003</v>
      </c>
      <c r="AI62" s="15">
        <v>0.15749911069477754</v>
      </c>
      <c r="AJ62" s="11">
        <v>4574</v>
      </c>
      <c r="AK62" s="15">
        <v>0.19994754327679665</v>
      </c>
      <c r="AL62" s="57"/>
      <c r="AM62" s="56"/>
      <c r="AN62" s="57"/>
      <c r="AO62" s="10">
        <v>21152822.03999997</v>
      </c>
      <c r="AP62" s="15">
        <v>0.15849512242011693</v>
      </c>
      <c r="AQ62" s="11">
        <v>4264</v>
      </c>
      <c r="AR62" s="15">
        <v>0.2029220006662542</v>
      </c>
      <c r="AS62" s="57"/>
      <c r="AT62" s="56"/>
      <c r="AU62" s="57"/>
      <c r="AV62" s="10">
        <v>19692176.81000002</v>
      </c>
      <c r="AW62" s="15">
        <v>0.15913705401058978</v>
      </c>
      <c r="AX62" s="11">
        <v>3969</v>
      </c>
      <c r="AY62" s="15">
        <v>0.20159488013002844</v>
      </c>
      <c r="AZ62" s="57"/>
      <c r="BA62" s="56"/>
      <c r="BB62" s="57"/>
      <c r="BC62" s="10">
        <v>18104402.9</v>
      </c>
      <c r="BD62" s="15">
        <v>0.161931160862619</v>
      </c>
      <c r="BE62" s="11">
        <v>3646</v>
      </c>
      <c r="BF62" s="15">
        <v>0.2035506922733363</v>
      </c>
      <c r="BG62" s="57"/>
      <c r="BH62" s="56"/>
      <c r="BI62" s="57"/>
      <c r="BJ62" s="10">
        <v>17080081.429999992</v>
      </c>
      <c r="BK62" s="15">
        <v>0.16385992357694013</v>
      </c>
      <c r="BL62" s="11">
        <v>3454</v>
      </c>
      <c r="BM62" s="15">
        <v>0.20507035563735676</v>
      </c>
      <c r="BN62" s="57"/>
      <c r="BO62" s="56"/>
      <c r="BP62" s="57"/>
      <c r="BQ62" s="10">
        <v>15714284.700000044</v>
      </c>
      <c r="BR62" s="15">
        <v>0.16307686402092558</v>
      </c>
      <c r="BS62" s="11">
        <v>3189</v>
      </c>
      <c r="BT62" s="15">
        <v>0.20223222778869934</v>
      </c>
      <c r="BU62" s="57"/>
      <c r="BV62" s="56"/>
      <c r="BW62" s="57"/>
      <c r="BX62" s="10">
        <v>14648466.640000008</v>
      </c>
      <c r="BY62" s="15">
        <v>0.1628119207878191</v>
      </c>
      <c r="BZ62" s="11">
        <v>2972</v>
      </c>
      <c r="CA62" s="15">
        <v>0.20098735375667817</v>
      </c>
      <c r="CB62" s="57"/>
      <c r="CC62" s="56"/>
      <c r="CD62" s="57"/>
      <c r="CE62" s="10">
        <v>13601473.92000002</v>
      </c>
      <c r="CF62" s="15">
        <v>0.16237605197911345</v>
      </c>
      <c r="CG62" s="11">
        <v>2764</v>
      </c>
      <c r="CH62" s="15">
        <v>0.1994084120914797</v>
      </c>
      <c r="CI62" s="57"/>
      <c r="CJ62" s="56"/>
      <c r="CK62" s="57"/>
      <c r="CL62" s="10">
        <v>12618028.780000016</v>
      </c>
      <c r="CM62" s="15">
        <v>0.16075430608964586</v>
      </c>
      <c r="CN62" s="11">
        <v>2562</v>
      </c>
      <c r="CO62" s="15">
        <v>0.19671375921375922</v>
      </c>
      <c r="CP62" s="57"/>
      <c r="CQ62" s="56"/>
      <c r="CR62" s="57"/>
    </row>
    <row r="63" spans="1:96" ht="12.75">
      <c r="A63" s="9" t="s">
        <v>18</v>
      </c>
      <c r="B63" s="9"/>
      <c r="C63" s="9"/>
      <c r="D63" s="10">
        <v>28787719.560000107</v>
      </c>
      <c r="E63" s="15">
        <v>0.1495638213494973</v>
      </c>
      <c r="F63" s="11">
        <v>4167</v>
      </c>
      <c r="G63" s="15">
        <v>0.13913188647746244</v>
      </c>
      <c r="H63" s="9"/>
      <c r="I63" s="9"/>
      <c r="J63" s="10">
        <v>26474199.709999945</v>
      </c>
      <c r="K63" s="15">
        <v>0.14795571424332415</v>
      </c>
      <c r="L63" s="11">
        <v>3836</v>
      </c>
      <c r="M63" s="15">
        <v>0.1418639053254438</v>
      </c>
      <c r="N63" s="57"/>
      <c r="O63" s="56"/>
      <c r="P63" s="57"/>
      <c r="Q63" s="9"/>
      <c r="R63" s="10">
        <v>24138407.279999923</v>
      </c>
      <c r="S63" s="15">
        <v>0.1445130337728075</v>
      </c>
      <c r="T63" s="11">
        <v>3498</v>
      </c>
      <c r="U63" s="15">
        <v>0.13645938987282516</v>
      </c>
      <c r="V63" s="57"/>
      <c r="W63" s="56"/>
      <c r="X63" s="57"/>
      <c r="Y63" s="9"/>
      <c r="Z63" s="10">
        <v>22358827.959999993</v>
      </c>
      <c r="AA63" s="15">
        <v>0.14369134413982979</v>
      </c>
      <c r="AB63" s="11">
        <v>3237</v>
      </c>
      <c r="AC63" s="15">
        <v>0.13354511324724616</v>
      </c>
      <c r="AD63" s="57"/>
      <c r="AE63" s="56"/>
      <c r="AF63" s="57"/>
      <c r="AG63" s="9"/>
      <c r="AH63" s="10">
        <v>20604049.759999976</v>
      </c>
      <c r="AI63" s="15">
        <v>0.14295307431952942</v>
      </c>
      <c r="AJ63" s="11">
        <v>2975</v>
      </c>
      <c r="AK63" s="15">
        <v>0.13004895960832313</v>
      </c>
      <c r="AL63" s="57"/>
      <c r="AM63" s="56"/>
      <c r="AN63" s="57"/>
      <c r="AO63" s="10">
        <v>19346220.199999988</v>
      </c>
      <c r="AP63" s="15">
        <v>0.1449585087591245</v>
      </c>
      <c r="AQ63" s="11">
        <v>2786</v>
      </c>
      <c r="AR63" s="15">
        <v>0.13258459049160043</v>
      </c>
      <c r="AS63" s="57"/>
      <c r="AT63" s="56"/>
      <c r="AU63" s="57"/>
      <c r="AV63" s="10">
        <v>17777136.499999978</v>
      </c>
      <c r="AW63" s="15">
        <v>0.14366116852645305</v>
      </c>
      <c r="AX63" s="11">
        <v>2563</v>
      </c>
      <c r="AY63" s="15">
        <v>0.13018082080455098</v>
      </c>
      <c r="AZ63" s="57"/>
      <c r="BA63" s="56"/>
      <c r="BB63" s="57"/>
      <c r="BC63" s="10">
        <v>15909035.190000018</v>
      </c>
      <c r="BD63" s="15">
        <v>0.14229513951663988</v>
      </c>
      <c r="BE63" s="11">
        <v>2286</v>
      </c>
      <c r="BF63" s="15">
        <v>0.12762393925859758</v>
      </c>
      <c r="BG63" s="57"/>
      <c r="BH63" s="56"/>
      <c r="BI63" s="57"/>
      <c r="BJ63" s="10">
        <v>14823034.470000032</v>
      </c>
      <c r="BK63" s="15">
        <v>0.14220665781875932</v>
      </c>
      <c r="BL63" s="11">
        <v>2134</v>
      </c>
      <c r="BM63" s="15">
        <v>0.12669951908804844</v>
      </c>
      <c r="BN63" s="57"/>
      <c r="BO63" s="56"/>
      <c r="BP63" s="57"/>
      <c r="BQ63" s="10">
        <v>13723419.049999978</v>
      </c>
      <c r="BR63" s="15">
        <v>0.14241641824899734</v>
      </c>
      <c r="BS63" s="11">
        <v>1984</v>
      </c>
      <c r="BT63" s="15">
        <v>0.1258164753630541</v>
      </c>
      <c r="BU63" s="57"/>
      <c r="BV63" s="56"/>
      <c r="BW63" s="57"/>
      <c r="BX63" s="10">
        <v>12760473.750000013</v>
      </c>
      <c r="BY63" s="15">
        <v>0.1418276255432047</v>
      </c>
      <c r="BZ63" s="11">
        <v>1844</v>
      </c>
      <c r="CA63" s="15">
        <v>0.12470413200784473</v>
      </c>
      <c r="CB63" s="57"/>
      <c r="CC63" s="56"/>
      <c r="CD63" s="57"/>
      <c r="CE63" s="10">
        <v>11656566.869999992</v>
      </c>
      <c r="CF63" s="15">
        <v>0.13915751477477578</v>
      </c>
      <c r="CG63" s="11">
        <v>1688</v>
      </c>
      <c r="CH63" s="15">
        <v>0.12178053531491234</v>
      </c>
      <c r="CI63" s="57"/>
      <c r="CJ63" s="56"/>
      <c r="CK63" s="57"/>
      <c r="CL63" s="10">
        <v>10719932.339999996</v>
      </c>
      <c r="CM63" s="15">
        <v>0.1365724642644737</v>
      </c>
      <c r="CN63" s="11">
        <v>1554</v>
      </c>
      <c r="CO63" s="15">
        <v>0.11931818181818182</v>
      </c>
      <c r="CP63" s="57"/>
      <c r="CQ63" s="56"/>
      <c r="CR63" s="57"/>
    </row>
    <row r="64" spans="1:96" ht="12.75">
      <c r="A64" s="9" t="s">
        <v>19</v>
      </c>
      <c r="B64" s="9"/>
      <c r="C64" s="9"/>
      <c r="D64" s="10">
        <v>25090482.040000003</v>
      </c>
      <c r="E64" s="15">
        <v>0.13035518029074883</v>
      </c>
      <c r="F64" s="11">
        <v>2801</v>
      </c>
      <c r="G64" s="15">
        <v>0.09352253756260434</v>
      </c>
      <c r="H64" s="9"/>
      <c r="I64" s="9"/>
      <c r="J64" s="10">
        <v>23048324.170000017</v>
      </c>
      <c r="K64" s="15">
        <v>0.12880960716617754</v>
      </c>
      <c r="L64" s="11">
        <v>2578</v>
      </c>
      <c r="M64" s="15">
        <v>0.09534023668639054</v>
      </c>
      <c r="N64" s="57"/>
      <c r="O64" s="56"/>
      <c r="P64" s="57"/>
      <c r="Q64" s="9"/>
      <c r="R64" s="10">
        <v>21644595.74000004</v>
      </c>
      <c r="S64" s="15">
        <v>0.12958295710608297</v>
      </c>
      <c r="T64" s="11">
        <v>2426</v>
      </c>
      <c r="U64" s="15">
        <v>0.09463993134118749</v>
      </c>
      <c r="V64" s="57"/>
      <c r="W64" s="56"/>
      <c r="X64" s="57"/>
      <c r="Y64" s="9"/>
      <c r="Z64" s="10">
        <v>19984554.510000043</v>
      </c>
      <c r="AA64" s="15">
        <v>0.12843282772759457</v>
      </c>
      <c r="AB64" s="11">
        <v>2242</v>
      </c>
      <c r="AC64" s="15">
        <v>0.09249556499855605</v>
      </c>
      <c r="AD64" s="57"/>
      <c r="AE64" s="56"/>
      <c r="AF64" s="57"/>
      <c r="AG64" s="9"/>
      <c r="AH64" s="10">
        <v>18104715.430000003</v>
      </c>
      <c r="AI64" s="15">
        <v>0.1256124286509549</v>
      </c>
      <c r="AJ64" s="11">
        <v>2032</v>
      </c>
      <c r="AK64" s="15">
        <v>0.0888267179576849</v>
      </c>
      <c r="AL64" s="57"/>
      <c r="AM64" s="56"/>
      <c r="AN64" s="57"/>
      <c r="AO64" s="10">
        <v>15992180.449999986</v>
      </c>
      <c r="AP64" s="15">
        <v>0.11982716033795707</v>
      </c>
      <c r="AQ64" s="11">
        <v>1792</v>
      </c>
      <c r="AR64" s="15">
        <v>0.08528054061771284</v>
      </c>
      <c r="AS64" s="57"/>
      <c r="AT64" s="56"/>
      <c r="AU64" s="57"/>
      <c r="AV64" s="10">
        <v>15175600.590000015</v>
      </c>
      <c r="AW64" s="15">
        <v>0.12263755267054034</v>
      </c>
      <c r="AX64" s="11">
        <v>1701</v>
      </c>
      <c r="AY64" s="15">
        <v>0.08639780577001219</v>
      </c>
      <c r="AZ64" s="57"/>
      <c r="BA64" s="56"/>
      <c r="BB64" s="57"/>
      <c r="BC64" s="10">
        <v>13459292.440000014</v>
      </c>
      <c r="BD64" s="15">
        <v>0.12038391220285284</v>
      </c>
      <c r="BE64" s="11">
        <v>1504</v>
      </c>
      <c r="BF64" s="15">
        <v>0.08396605627512282</v>
      </c>
      <c r="BG64" s="57"/>
      <c r="BH64" s="56"/>
      <c r="BI64" s="57"/>
      <c r="BJ64" s="10">
        <v>12601744.669999992</v>
      </c>
      <c r="BK64" s="15">
        <v>0.12089643290197782</v>
      </c>
      <c r="BL64" s="11">
        <v>1403</v>
      </c>
      <c r="BM64" s="15">
        <v>0.08329869975657543</v>
      </c>
      <c r="BN64" s="57"/>
      <c r="BO64" s="56"/>
      <c r="BP64" s="57"/>
      <c r="BQ64" s="10">
        <v>12066558.50000001</v>
      </c>
      <c r="BR64" s="15">
        <v>0.1252221502455686</v>
      </c>
      <c r="BS64" s="11">
        <v>1339</v>
      </c>
      <c r="BT64" s="15">
        <v>0.08491343775762572</v>
      </c>
      <c r="BU64" s="57"/>
      <c r="BV64" s="56"/>
      <c r="BW64" s="57"/>
      <c r="BX64" s="10">
        <v>11592241.160000026</v>
      </c>
      <c r="BY64" s="15">
        <v>0.1288431817390014</v>
      </c>
      <c r="BZ64" s="11">
        <v>1282</v>
      </c>
      <c r="CA64" s="15">
        <v>0.08669777507269899</v>
      </c>
      <c r="CB64" s="57"/>
      <c r="CC64" s="56"/>
      <c r="CD64" s="57"/>
      <c r="CE64" s="10">
        <v>11289906.850000015</v>
      </c>
      <c r="CF64" s="15">
        <v>0.13478028280592022</v>
      </c>
      <c r="CG64" s="11">
        <v>1248</v>
      </c>
      <c r="CH64" s="15">
        <v>0.09003679388211529</v>
      </c>
      <c r="CI64" s="57"/>
      <c r="CJ64" s="56"/>
      <c r="CK64" s="57"/>
      <c r="CL64" s="10">
        <v>10925887.600000009</v>
      </c>
      <c r="CM64" s="15">
        <v>0.1391963443874365</v>
      </c>
      <c r="CN64" s="11">
        <v>1211</v>
      </c>
      <c r="CO64" s="15">
        <v>0.09298218673218674</v>
      </c>
      <c r="CP64" s="57"/>
      <c r="CQ64" s="56"/>
      <c r="CR64" s="57"/>
    </row>
    <row r="65" spans="1:96" ht="12.75">
      <c r="A65" s="9" t="s">
        <v>20</v>
      </c>
      <c r="B65" s="9"/>
      <c r="C65" s="9"/>
      <c r="D65" s="10">
        <v>21819138.67999999</v>
      </c>
      <c r="E65" s="15">
        <v>0.11335923127685951</v>
      </c>
      <c r="F65" s="11">
        <v>1984</v>
      </c>
      <c r="G65" s="15">
        <v>0.06624373956594323</v>
      </c>
      <c r="H65" s="9"/>
      <c r="I65" s="9"/>
      <c r="J65" s="10">
        <v>20902224.55000002</v>
      </c>
      <c r="K65" s="15">
        <v>0.11681575256083933</v>
      </c>
      <c r="L65" s="11">
        <v>1903</v>
      </c>
      <c r="M65" s="15">
        <v>0.07037721893491124</v>
      </c>
      <c r="N65" s="57"/>
      <c r="O65" s="56"/>
      <c r="P65" s="57"/>
      <c r="Q65" s="9"/>
      <c r="R65" s="10">
        <v>19798225.57000002</v>
      </c>
      <c r="S65" s="15">
        <v>0.11852901507754668</v>
      </c>
      <c r="T65" s="11">
        <v>1804</v>
      </c>
      <c r="U65" s="15">
        <v>0.07037528282749474</v>
      </c>
      <c r="V65" s="57"/>
      <c r="W65" s="56"/>
      <c r="X65" s="57"/>
      <c r="Y65" s="9"/>
      <c r="Z65" s="10">
        <v>19459026.12000001</v>
      </c>
      <c r="AA65" s="15">
        <v>0.12505546461724548</v>
      </c>
      <c r="AB65" s="11">
        <v>1769</v>
      </c>
      <c r="AC65" s="15">
        <v>0.07298155864515862</v>
      </c>
      <c r="AD65" s="57"/>
      <c r="AE65" s="56"/>
      <c r="AF65" s="57"/>
      <c r="AG65" s="9"/>
      <c r="AH65" s="10">
        <v>19428073.129999973</v>
      </c>
      <c r="AI65" s="15">
        <v>0.13479402420343126</v>
      </c>
      <c r="AJ65" s="11">
        <v>1761</v>
      </c>
      <c r="AK65" s="15">
        <v>0.07698024130092673</v>
      </c>
      <c r="AL65" s="57"/>
      <c r="AM65" s="56"/>
      <c r="AN65" s="57"/>
      <c r="AO65" s="10">
        <v>19221104.000000004</v>
      </c>
      <c r="AP65" s="15">
        <v>0.1440210306581771</v>
      </c>
      <c r="AQ65" s="11">
        <v>1742</v>
      </c>
      <c r="AR65" s="15">
        <v>0.08290106124779899</v>
      </c>
      <c r="AS65" s="57"/>
      <c r="AT65" s="56"/>
      <c r="AU65" s="57"/>
      <c r="AV65" s="10">
        <v>18000744.299999982</v>
      </c>
      <c r="AW65" s="15">
        <v>0.14546819508776848</v>
      </c>
      <c r="AX65" s="11">
        <v>1634</v>
      </c>
      <c r="AY65" s="15">
        <v>0.08299471759447379</v>
      </c>
      <c r="AZ65" s="57"/>
      <c r="BA65" s="56"/>
      <c r="BB65" s="57"/>
      <c r="BC65" s="10">
        <v>16838858.430000037</v>
      </c>
      <c r="BD65" s="15">
        <v>0.15061175495443732</v>
      </c>
      <c r="BE65" s="11">
        <v>1531</v>
      </c>
      <c r="BF65" s="15">
        <v>0.08547342563644485</v>
      </c>
      <c r="BG65" s="57"/>
      <c r="BH65" s="56"/>
      <c r="BI65" s="57"/>
      <c r="BJ65" s="10">
        <v>16248577.460000021</v>
      </c>
      <c r="BK65" s="15">
        <v>0.1558827849703991</v>
      </c>
      <c r="BL65" s="11">
        <v>1477</v>
      </c>
      <c r="BM65" s="15">
        <v>0.08769221635100635</v>
      </c>
      <c r="BN65" s="57"/>
      <c r="BO65" s="56"/>
      <c r="BP65" s="57"/>
      <c r="BQ65" s="10">
        <v>15479542.040000012</v>
      </c>
      <c r="BR65" s="15">
        <v>0.1606407940644779</v>
      </c>
      <c r="BS65" s="11">
        <v>1406</v>
      </c>
      <c r="BT65" s="15">
        <v>0.08916228042361596</v>
      </c>
      <c r="BU65" s="57"/>
      <c r="BV65" s="56"/>
      <c r="BW65" s="57"/>
      <c r="BX65" s="10">
        <v>14513929.110000003</v>
      </c>
      <c r="BY65" s="15">
        <v>0.16131658928209436</v>
      </c>
      <c r="BZ65" s="11">
        <v>1319</v>
      </c>
      <c r="CA65" s="15">
        <v>0.08919997294921214</v>
      </c>
      <c r="CB65" s="57"/>
      <c r="CC65" s="56"/>
      <c r="CD65" s="57"/>
      <c r="CE65" s="10">
        <v>12897246.549999995</v>
      </c>
      <c r="CF65" s="15">
        <v>0.15396889987862708</v>
      </c>
      <c r="CG65" s="11">
        <v>1176</v>
      </c>
      <c r="CH65" s="15">
        <v>0.0848423634658394</v>
      </c>
      <c r="CI65" s="57"/>
      <c r="CJ65" s="56"/>
      <c r="CK65" s="57"/>
      <c r="CL65" s="10">
        <v>11628639.140000004</v>
      </c>
      <c r="CM65" s="15">
        <v>0.14814943350585658</v>
      </c>
      <c r="CN65" s="11">
        <v>1064</v>
      </c>
      <c r="CO65" s="15">
        <v>0.08169533169533169</v>
      </c>
      <c r="CP65" s="57"/>
      <c r="CQ65" s="56"/>
      <c r="CR65" s="57"/>
    </row>
    <row r="66" spans="1:96" ht="12.75">
      <c r="A66" s="9" t="s">
        <v>21</v>
      </c>
      <c r="B66" s="9"/>
      <c r="C66" s="9"/>
      <c r="D66" s="10">
        <v>37185949.51</v>
      </c>
      <c r="E66" s="15">
        <v>0.19319601532289782</v>
      </c>
      <c r="F66" s="11">
        <v>2829</v>
      </c>
      <c r="G66" s="15">
        <v>0.09445742904841402</v>
      </c>
      <c r="H66" s="9"/>
      <c r="I66" s="9"/>
      <c r="J66" s="10">
        <v>37326086.78000002</v>
      </c>
      <c r="K66" s="15">
        <v>0.20860339084611426</v>
      </c>
      <c r="L66" s="11">
        <v>2843</v>
      </c>
      <c r="M66" s="15">
        <v>0.1051405325443787</v>
      </c>
      <c r="N66" s="57"/>
      <c r="O66" s="56"/>
      <c r="P66" s="57"/>
      <c r="Q66" s="9"/>
      <c r="R66" s="10">
        <v>35414807.49000007</v>
      </c>
      <c r="S66" s="15">
        <v>0.21202315511099754</v>
      </c>
      <c r="T66" s="11">
        <v>2711</v>
      </c>
      <c r="U66" s="15">
        <v>0.10575797768588593</v>
      </c>
      <c r="V66" s="57"/>
      <c r="W66" s="56"/>
      <c r="X66" s="57"/>
      <c r="Y66" s="9"/>
      <c r="Z66" s="10">
        <v>32400808.700000122</v>
      </c>
      <c r="AA66" s="15">
        <v>0.20822718264345508</v>
      </c>
      <c r="AB66" s="11">
        <v>2487</v>
      </c>
      <c r="AC66" s="15">
        <v>0.1026032427080325</v>
      </c>
      <c r="AD66" s="57"/>
      <c r="AE66" s="56"/>
      <c r="AF66" s="57"/>
      <c r="AG66" s="9"/>
      <c r="AH66" s="10">
        <v>28697613.70000002</v>
      </c>
      <c r="AI66" s="15">
        <v>0.19910707612507986</v>
      </c>
      <c r="AJ66" s="11">
        <v>2206</v>
      </c>
      <c r="AK66" s="15">
        <v>0.09643294282217171</v>
      </c>
      <c r="AL66" s="57"/>
      <c r="AM66" s="56"/>
      <c r="AN66" s="57"/>
      <c r="AO66" s="10">
        <v>25306335.22000007</v>
      </c>
      <c r="AP66" s="15">
        <v>0.1896168128826386</v>
      </c>
      <c r="AQ66" s="11">
        <v>1948</v>
      </c>
      <c r="AR66" s="15">
        <v>0.0927045162518441</v>
      </c>
      <c r="AS66" s="57"/>
      <c r="AT66" s="56"/>
      <c r="AU66" s="57"/>
      <c r="AV66" s="10">
        <v>22522506.830000047</v>
      </c>
      <c r="AW66" s="15">
        <v>0.18200960820337012</v>
      </c>
      <c r="AX66" s="11">
        <v>1739</v>
      </c>
      <c r="AY66" s="15">
        <v>0.08832791548151159</v>
      </c>
      <c r="AZ66" s="57"/>
      <c r="BA66" s="56"/>
      <c r="BB66" s="57"/>
      <c r="BC66" s="10">
        <v>19466297.559999947</v>
      </c>
      <c r="BD66" s="15">
        <v>0.17411235150914364</v>
      </c>
      <c r="BE66" s="11">
        <v>1506</v>
      </c>
      <c r="BF66" s="15">
        <v>0.08407771326485038</v>
      </c>
      <c r="BG66" s="57"/>
      <c r="BH66" s="56"/>
      <c r="BI66" s="57"/>
      <c r="BJ66" s="10">
        <v>16990036.90999998</v>
      </c>
      <c r="BK66" s="15">
        <v>0.1629960700744733</v>
      </c>
      <c r="BL66" s="11">
        <v>1313</v>
      </c>
      <c r="BM66" s="15">
        <v>0.07795523362821351</v>
      </c>
      <c r="BN66" s="57"/>
      <c r="BO66" s="56"/>
      <c r="BP66" s="57"/>
      <c r="BQ66" s="10">
        <v>14777315.169999981</v>
      </c>
      <c r="BR66" s="15">
        <v>0.15335335095287161</v>
      </c>
      <c r="BS66" s="11">
        <v>1138</v>
      </c>
      <c r="BT66" s="15">
        <v>0.07216690975965502</v>
      </c>
      <c r="BU66" s="57"/>
      <c r="BV66" s="56"/>
      <c r="BW66" s="57"/>
      <c r="BX66" s="10">
        <v>13508884.909999987</v>
      </c>
      <c r="BY66" s="15">
        <v>0.1501459199758727</v>
      </c>
      <c r="BZ66" s="11">
        <v>1034</v>
      </c>
      <c r="CA66" s="15">
        <v>0.06992628660309731</v>
      </c>
      <c r="CB66" s="57"/>
      <c r="CC66" s="56"/>
      <c r="CD66" s="57"/>
      <c r="CE66" s="10">
        <v>13024740.729999987</v>
      </c>
      <c r="CF66" s="15">
        <v>0.15549094092509577</v>
      </c>
      <c r="CG66" s="11">
        <v>995</v>
      </c>
      <c r="CH66" s="15">
        <v>0.07178414255825698</v>
      </c>
      <c r="CI66" s="57"/>
      <c r="CJ66" s="56"/>
      <c r="CK66" s="57"/>
      <c r="CL66" s="10">
        <v>12594062.79999999</v>
      </c>
      <c r="CM66" s="15">
        <v>0.1604489783279301</v>
      </c>
      <c r="CN66" s="11">
        <v>961</v>
      </c>
      <c r="CO66" s="15">
        <v>0.07378685503685503</v>
      </c>
      <c r="CP66" s="57"/>
      <c r="CQ66" s="56"/>
      <c r="CR66" s="57"/>
    </row>
    <row r="67" spans="1:96" ht="12.75">
      <c r="A67" s="9" t="s">
        <v>22</v>
      </c>
      <c r="B67" s="9"/>
      <c r="C67" s="9"/>
      <c r="D67" s="10">
        <v>18365640.740000032</v>
      </c>
      <c r="E67" s="15">
        <v>0.09541691570537184</v>
      </c>
      <c r="F67" s="11">
        <v>1263</v>
      </c>
      <c r="G67" s="15">
        <v>0.042170283806343904</v>
      </c>
      <c r="H67" s="9"/>
      <c r="I67" s="9"/>
      <c r="J67" s="10">
        <v>14740905.230000004</v>
      </c>
      <c r="K67" s="15">
        <v>0.08238213754480316</v>
      </c>
      <c r="L67" s="11">
        <v>1004</v>
      </c>
      <c r="M67" s="15">
        <v>0.037130177514792896</v>
      </c>
      <c r="N67" s="57"/>
      <c r="O67" s="56"/>
      <c r="P67" s="57"/>
      <c r="Q67" s="9"/>
      <c r="R67" s="10">
        <v>14028353.269999998</v>
      </c>
      <c r="S67" s="15">
        <v>0.08398565267245713</v>
      </c>
      <c r="T67" s="11">
        <v>948</v>
      </c>
      <c r="U67" s="15">
        <v>0.03698213310447063</v>
      </c>
      <c r="V67" s="57"/>
      <c r="W67" s="56"/>
      <c r="X67" s="57"/>
      <c r="Y67" s="9"/>
      <c r="Z67" s="10">
        <v>13607082.469999997</v>
      </c>
      <c r="AA67" s="15">
        <v>0.0874473372859127</v>
      </c>
      <c r="AB67" s="11">
        <v>913</v>
      </c>
      <c r="AC67" s="15">
        <v>0.037666570403069435</v>
      </c>
      <c r="AD67" s="57"/>
      <c r="AE67" s="56"/>
      <c r="AF67" s="57"/>
      <c r="AG67" s="9"/>
      <c r="AH67" s="10">
        <v>13339257.759999992</v>
      </c>
      <c r="AI67" s="15">
        <v>0.09254917980418625</v>
      </c>
      <c r="AJ67" s="11">
        <v>890</v>
      </c>
      <c r="AK67" s="15">
        <v>0.03890540304248995</v>
      </c>
      <c r="AL67" s="57"/>
      <c r="AM67" s="56"/>
      <c r="AN67" s="57"/>
      <c r="AO67" s="10">
        <v>12396291.719999991</v>
      </c>
      <c r="AP67" s="15">
        <v>0.09288367150262676</v>
      </c>
      <c r="AQ67" s="11">
        <v>829</v>
      </c>
      <c r="AR67" s="15">
        <v>0.039451767953171846</v>
      </c>
      <c r="AS67" s="57"/>
      <c r="AT67" s="56"/>
      <c r="AU67" s="57"/>
      <c r="AV67" s="10">
        <v>11566762.15</v>
      </c>
      <c r="AW67" s="15">
        <v>0.09347369113898352</v>
      </c>
      <c r="AX67" s="11">
        <v>778</v>
      </c>
      <c r="AY67" s="15">
        <v>0.039516456724908576</v>
      </c>
      <c r="AZ67" s="57"/>
      <c r="BA67" s="56"/>
      <c r="BB67" s="57"/>
      <c r="BC67" s="10">
        <v>10308273.839999996</v>
      </c>
      <c r="BD67" s="15">
        <v>0.09220026524050494</v>
      </c>
      <c r="BE67" s="11">
        <v>697</v>
      </c>
      <c r="BF67" s="15">
        <v>0.0389124609200536</v>
      </c>
      <c r="BG67" s="57"/>
      <c r="BH67" s="56"/>
      <c r="BI67" s="57"/>
      <c r="BJ67" s="10">
        <v>9556315.370000001</v>
      </c>
      <c r="BK67" s="15">
        <v>0.09167972135395956</v>
      </c>
      <c r="BL67" s="11">
        <v>649</v>
      </c>
      <c r="BM67" s="15">
        <v>0.03853232797007659</v>
      </c>
      <c r="BN67" s="57"/>
      <c r="BO67" s="56"/>
      <c r="BP67" s="57"/>
      <c r="BQ67" s="10">
        <v>8700859.309999995</v>
      </c>
      <c r="BR67" s="15">
        <v>0.09029420540930314</v>
      </c>
      <c r="BS67" s="11">
        <v>592</v>
      </c>
      <c r="BT67" s="15">
        <v>0.03754201280994356</v>
      </c>
      <c r="BU67" s="57"/>
      <c r="BV67" s="56"/>
      <c r="BW67" s="57"/>
      <c r="BX67" s="10">
        <v>7685324.0600000005</v>
      </c>
      <c r="BY67" s="15">
        <v>0.08541934134380084</v>
      </c>
      <c r="BZ67" s="11">
        <v>523</v>
      </c>
      <c r="CA67" s="15">
        <v>0.0353689051193616</v>
      </c>
      <c r="CB67" s="57"/>
      <c r="CC67" s="56"/>
      <c r="CD67" s="57"/>
      <c r="CE67" s="10">
        <v>6695196.41</v>
      </c>
      <c r="CF67" s="15">
        <v>0.07992807005143543</v>
      </c>
      <c r="CG67" s="11">
        <v>455</v>
      </c>
      <c r="CH67" s="15">
        <v>0.03282591443618787</v>
      </c>
      <c r="CI67" s="57"/>
      <c r="CJ67" s="56"/>
      <c r="CK67" s="57"/>
      <c r="CL67" s="10">
        <v>5765841.330000002</v>
      </c>
      <c r="CM67" s="15">
        <v>0.07345710159547995</v>
      </c>
      <c r="CN67" s="11">
        <v>391</v>
      </c>
      <c r="CO67" s="15">
        <v>0.030021498771498772</v>
      </c>
      <c r="CP67" s="57"/>
      <c r="CQ67" s="56"/>
      <c r="CR67" s="57"/>
    </row>
    <row r="68" spans="1:96" ht="12.75">
      <c r="A68" s="9" t="s">
        <v>0</v>
      </c>
      <c r="B68" s="9"/>
      <c r="C68" s="9"/>
      <c r="D68" s="10">
        <v>10836355.960000003</v>
      </c>
      <c r="E68" s="15">
        <v>0.05629924258165153</v>
      </c>
      <c r="F68" s="11">
        <v>654</v>
      </c>
      <c r="G68" s="15">
        <v>0.021836393989983306</v>
      </c>
      <c r="H68" s="9"/>
      <c r="I68" s="9"/>
      <c r="J68" s="10">
        <v>9029319.160000004</v>
      </c>
      <c r="K68" s="15">
        <v>0.05046193577455396</v>
      </c>
      <c r="L68" s="11">
        <v>547</v>
      </c>
      <c r="M68" s="15">
        <v>0.020229289940828402</v>
      </c>
      <c r="N68" s="57"/>
      <c r="O68" s="56"/>
      <c r="P68" s="57"/>
      <c r="Q68" s="9"/>
      <c r="R68" s="10">
        <v>7164758.699999994</v>
      </c>
      <c r="S68" s="15">
        <v>0.04289433863538318</v>
      </c>
      <c r="T68" s="11">
        <v>434</v>
      </c>
      <c r="U68" s="15">
        <v>0.016930638995084655</v>
      </c>
      <c r="V68" s="57"/>
      <c r="W68" s="56"/>
      <c r="X68" s="57"/>
      <c r="Y68" s="9"/>
      <c r="Z68" s="10">
        <v>5398780.679999998</v>
      </c>
      <c r="AA68" s="15">
        <v>0.03469582815401493</v>
      </c>
      <c r="AB68" s="11">
        <v>326</v>
      </c>
      <c r="AC68" s="15">
        <v>0.01344939972771154</v>
      </c>
      <c r="AD68" s="57"/>
      <c r="AE68" s="56"/>
      <c r="AF68" s="57"/>
      <c r="AG68" s="9"/>
      <c r="AH68" s="10">
        <v>3671305.99</v>
      </c>
      <c r="AI68" s="15">
        <v>0.025471908879635907</v>
      </c>
      <c r="AJ68" s="11">
        <v>219</v>
      </c>
      <c r="AK68" s="15">
        <v>0.009573351984612694</v>
      </c>
      <c r="AL68" s="57"/>
      <c r="AM68" s="56"/>
      <c r="AN68" s="57"/>
      <c r="AO68" s="10">
        <v>3204955.13</v>
      </c>
      <c r="AP68" s="15">
        <v>0.024014278318030637</v>
      </c>
      <c r="AQ68" s="11">
        <v>191</v>
      </c>
      <c r="AR68" s="15">
        <v>0.009089611193070956</v>
      </c>
      <c r="AS68" s="57"/>
      <c r="AT68" s="56"/>
      <c r="AU68" s="57"/>
      <c r="AV68" s="10">
        <v>2960832.01</v>
      </c>
      <c r="AW68" s="15">
        <v>0.02392717108107524</v>
      </c>
      <c r="AX68" s="11">
        <v>177</v>
      </c>
      <c r="AY68" s="15">
        <v>0.008990247866720846</v>
      </c>
      <c r="AZ68" s="57"/>
      <c r="BA68" s="56"/>
      <c r="BB68" s="57"/>
      <c r="BC68" s="10">
        <v>2755953.63</v>
      </c>
      <c r="BD68" s="15">
        <v>0.02465006844216049</v>
      </c>
      <c r="BE68" s="11">
        <v>165</v>
      </c>
      <c r="BF68" s="15">
        <v>0.009211701652523448</v>
      </c>
      <c r="BG68" s="57"/>
      <c r="BH68" s="56"/>
      <c r="BI68" s="57"/>
      <c r="BJ68" s="10">
        <v>2652421.17</v>
      </c>
      <c r="BK68" s="15">
        <v>0.025446338297115366</v>
      </c>
      <c r="BL68" s="11">
        <v>159</v>
      </c>
      <c r="BM68" s="15">
        <v>0.00944012349343941</v>
      </c>
      <c r="BN68" s="57"/>
      <c r="BO68" s="56"/>
      <c r="BP68" s="57"/>
      <c r="BQ68" s="10">
        <v>2284247.07</v>
      </c>
      <c r="BR68" s="15">
        <v>0.023705046455253943</v>
      </c>
      <c r="BS68" s="11">
        <v>137</v>
      </c>
      <c r="BT68" s="15">
        <v>0.008687932018517345</v>
      </c>
      <c r="BU68" s="57"/>
      <c r="BV68" s="56"/>
      <c r="BW68" s="57"/>
      <c r="BX68" s="10">
        <v>2085479.56</v>
      </c>
      <c r="BY68" s="15">
        <v>0.02317928157751093</v>
      </c>
      <c r="BZ68" s="11">
        <v>125</v>
      </c>
      <c r="CA68" s="15">
        <v>0.008453371204436328</v>
      </c>
      <c r="CB68" s="57"/>
      <c r="CC68" s="56"/>
      <c r="CD68" s="57"/>
      <c r="CE68" s="10">
        <v>1921748.07</v>
      </c>
      <c r="CF68" s="15">
        <v>0.022942062480907986</v>
      </c>
      <c r="CG68" s="11">
        <v>115</v>
      </c>
      <c r="CH68" s="15">
        <v>0.008296659692662868</v>
      </c>
      <c r="CI68" s="57"/>
      <c r="CJ68" s="56"/>
      <c r="CK68" s="57"/>
      <c r="CL68" s="10">
        <v>1870731.67</v>
      </c>
      <c r="CM68" s="15">
        <v>0.02383321331200625</v>
      </c>
      <c r="CN68" s="11">
        <v>112</v>
      </c>
      <c r="CO68" s="15">
        <v>0.0085995085995086</v>
      </c>
      <c r="CP68" s="57"/>
      <c r="CQ68" s="56"/>
      <c r="CR68" s="57"/>
    </row>
    <row r="69" spans="1:96" ht="12.75">
      <c r="A69" s="9" t="s">
        <v>1</v>
      </c>
      <c r="B69" s="9"/>
      <c r="C69" s="9"/>
      <c r="D69" s="10">
        <v>1927468.45</v>
      </c>
      <c r="E69" s="15">
        <v>0.010013976491321335</v>
      </c>
      <c r="F69" s="11">
        <v>104</v>
      </c>
      <c r="G69" s="15">
        <v>0.0034724540901502504</v>
      </c>
      <c r="H69" s="9"/>
      <c r="I69" s="9"/>
      <c r="J69" s="10">
        <v>1608908.65</v>
      </c>
      <c r="K69" s="15">
        <v>0.008991668532782741</v>
      </c>
      <c r="L69" s="11">
        <v>87</v>
      </c>
      <c r="M69" s="15">
        <v>0.0032174556213017754</v>
      </c>
      <c r="N69" s="57"/>
      <c r="O69" s="56"/>
      <c r="P69" s="57"/>
      <c r="Q69" s="9"/>
      <c r="R69" s="10">
        <v>1295510.38</v>
      </c>
      <c r="S69" s="15">
        <v>0.007756026863176005</v>
      </c>
      <c r="T69" s="11">
        <v>70</v>
      </c>
      <c r="U69" s="15">
        <v>0.002730748225013654</v>
      </c>
      <c r="V69" s="57"/>
      <c r="W69" s="56"/>
      <c r="X69" s="57"/>
      <c r="Y69" s="9"/>
      <c r="Z69" s="10">
        <v>966435.29</v>
      </c>
      <c r="AA69" s="15">
        <v>0.006210897373185309</v>
      </c>
      <c r="AB69" s="11">
        <v>52</v>
      </c>
      <c r="AC69" s="15">
        <v>0.0021453030240521473</v>
      </c>
      <c r="AD69" s="57"/>
      <c r="AE69" s="56"/>
      <c r="AF69" s="57"/>
      <c r="AG69" s="9"/>
      <c r="AH69" s="10">
        <v>766174.88</v>
      </c>
      <c r="AI69" s="15">
        <v>0.005315802273736922</v>
      </c>
      <c r="AJ69" s="11">
        <v>41</v>
      </c>
      <c r="AK69" s="15">
        <v>0.0017922713761147054</v>
      </c>
      <c r="AL69" s="57"/>
      <c r="AM69" s="56"/>
      <c r="AN69" s="57"/>
      <c r="AO69" s="10">
        <v>747386.85</v>
      </c>
      <c r="AP69" s="15">
        <v>0.005600064618419858</v>
      </c>
      <c r="AQ69" s="11">
        <v>40</v>
      </c>
      <c r="AR69" s="15">
        <v>0.0019035834959310902</v>
      </c>
      <c r="AS69" s="57"/>
      <c r="AT69" s="56"/>
      <c r="AU69" s="57"/>
      <c r="AV69" s="10">
        <v>708773.07</v>
      </c>
      <c r="AW69" s="15">
        <v>0.005727759780450671</v>
      </c>
      <c r="AX69" s="11">
        <v>38</v>
      </c>
      <c r="AY69" s="15">
        <v>0.0019301097114993904</v>
      </c>
      <c r="AZ69" s="57"/>
      <c r="BA69" s="56"/>
      <c r="BB69" s="57"/>
      <c r="BC69" s="10">
        <v>692676.56</v>
      </c>
      <c r="BD69" s="15">
        <v>0.006195505042760928</v>
      </c>
      <c r="BE69" s="11">
        <v>37</v>
      </c>
      <c r="BF69" s="15">
        <v>0.0020656543099598036</v>
      </c>
      <c r="BG69" s="57"/>
      <c r="BH69" s="56"/>
      <c r="BI69" s="57"/>
      <c r="BJ69" s="10">
        <v>675194.16</v>
      </c>
      <c r="BK69" s="15">
        <v>0.006477560655118982</v>
      </c>
      <c r="BL69" s="11">
        <v>36</v>
      </c>
      <c r="BM69" s="15">
        <v>0.002137386451344772</v>
      </c>
      <c r="BN69" s="57"/>
      <c r="BO69" s="56"/>
      <c r="BP69" s="57"/>
      <c r="BQ69" s="10">
        <v>636963.89</v>
      </c>
      <c r="BR69" s="15">
        <v>0.006610168751478041</v>
      </c>
      <c r="BS69" s="11">
        <v>34</v>
      </c>
      <c r="BT69" s="15">
        <v>0.0021561291140845965</v>
      </c>
      <c r="BU69" s="57"/>
      <c r="BV69" s="56"/>
      <c r="BW69" s="57"/>
      <c r="BX69" s="10">
        <v>617483.27</v>
      </c>
      <c r="BY69" s="15">
        <v>0.0068630826497921744</v>
      </c>
      <c r="BZ69" s="11">
        <v>33</v>
      </c>
      <c r="CA69" s="15">
        <v>0.0022316899979711907</v>
      </c>
      <c r="CB69" s="57"/>
      <c r="CC69" s="56"/>
      <c r="CD69" s="57"/>
      <c r="CE69" s="10">
        <v>600801.29</v>
      </c>
      <c r="CF69" s="15">
        <v>0.00717243896271488</v>
      </c>
      <c r="CG69" s="11">
        <v>32</v>
      </c>
      <c r="CH69" s="15">
        <v>0.0023086357405670585</v>
      </c>
      <c r="CI69" s="57"/>
      <c r="CJ69" s="56"/>
      <c r="CK69" s="57"/>
      <c r="CL69" s="10">
        <v>580380.41</v>
      </c>
      <c r="CM69" s="15">
        <v>0.007394074914891267</v>
      </c>
      <c r="CN69" s="11">
        <v>31</v>
      </c>
      <c r="CO69" s="15">
        <v>0.0023802211302211304</v>
      </c>
      <c r="CP69" s="57"/>
      <c r="CQ69" s="56"/>
      <c r="CR69" s="57"/>
    </row>
    <row r="70" spans="1:96" ht="12.75">
      <c r="A70" s="9" t="s">
        <v>2</v>
      </c>
      <c r="B70" s="9"/>
      <c r="C70" s="9"/>
      <c r="D70" s="10">
        <v>519584.25</v>
      </c>
      <c r="E70" s="15">
        <v>0.002699449874139744</v>
      </c>
      <c r="F70" s="11">
        <v>24</v>
      </c>
      <c r="G70" s="15">
        <v>0.0008013355592654424</v>
      </c>
      <c r="H70" s="9"/>
      <c r="I70" s="9"/>
      <c r="J70" s="10">
        <v>497494.75</v>
      </c>
      <c r="K70" s="15">
        <v>0.002780336775987633</v>
      </c>
      <c r="L70" s="11">
        <v>23</v>
      </c>
      <c r="M70" s="15">
        <v>0.0008505917159763313</v>
      </c>
      <c r="N70" s="57"/>
      <c r="O70" s="56"/>
      <c r="P70" s="57"/>
      <c r="Q70" s="9"/>
      <c r="R70" s="10">
        <v>475769.87</v>
      </c>
      <c r="S70" s="15">
        <v>0.0028483630462380048</v>
      </c>
      <c r="T70" s="11">
        <v>22</v>
      </c>
      <c r="U70" s="15">
        <v>0.0008582351564328626</v>
      </c>
      <c r="V70" s="57"/>
      <c r="W70" s="56"/>
      <c r="X70" s="57"/>
      <c r="Y70" s="9"/>
      <c r="Z70" s="10">
        <v>454195.43</v>
      </c>
      <c r="AA70" s="15">
        <v>0.002918934389388628</v>
      </c>
      <c r="AB70" s="11">
        <v>21</v>
      </c>
      <c r="AC70" s="15">
        <v>0.0008663723750979826</v>
      </c>
      <c r="AD70" s="57"/>
      <c r="AE70" s="56"/>
      <c r="AF70" s="57"/>
      <c r="AG70" s="9"/>
      <c r="AH70" s="10">
        <v>452843.4</v>
      </c>
      <c r="AI70" s="15">
        <v>0.0031418753579688717</v>
      </c>
      <c r="AJ70" s="11">
        <v>21</v>
      </c>
      <c r="AK70" s="15">
        <v>0.0009179926560587516</v>
      </c>
      <c r="AL70" s="57"/>
      <c r="AM70" s="56"/>
      <c r="AN70" s="57"/>
      <c r="AO70" s="10">
        <v>451435.02</v>
      </c>
      <c r="AP70" s="15">
        <v>0.0033825391536092186</v>
      </c>
      <c r="AQ70" s="11">
        <v>21</v>
      </c>
      <c r="AR70" s="15">
        <v>0.0009993813353638224</v>
      </c>
      <c r="AS70" s="57"/>
      <c r="AT70" s="56"/>
      <c r="AU70" s="57"/>
      <c r="AV70" s="10">
        <v>450202.03</v>
      </c>
      <c r="AW70" s="15">
        <v>0.003638187157013805</v>
      </c>
      <c r="AX70" s="11">
        <v>21</v>
      </c>
      <c r="AY70" s="15">
        <v>0.0010666395774075578</v>
      </c>
      <c r="AZ70" s="57"/>
      <c r="BA70" s="56"/>
      <c r="BB70" s="57"/>
      <c r="BC70" s="10">
        <v>428833.72</v>
      </c>
      <c r="BD70" s="15">
        <v>0.0038356162575588354</v>
      </c>
      <c r="BE70" s="11">
        <v>20</v>
      </c>
      <c r="BF70" s="15">
        <v>0.0011165698972755694</v>
      </c>
      <c r="BG70" s="57"/>
      <c r="BH70" s="56"/>
      <c r="BI70" s="57"/>
      <c r="BJ70" s="10">
        <v>407990.24</v>
      </c>
      <c r="BK70" s="15">
        <v>0.0039141060199580965</v>
      </c>
      <c r="BL70" s="11">
        <v>19</v>
      </c>
      <c r="BM70" s="15">
        <v>0.0011280650715430743</v>
      </c>
      <c r="BN70" s="57"/>
      <c r="BO70" s="56"/>
      <c r="BP70" s="57"/>
      <c r="BQ70" s="10">
        <v>365309.61</v>
      </c>
      <c r="BR70" s="15">
        <v>0.003791044055317846</v>
      </c>
      <c r="BS70" s="11">
        <v>17</v>
      </c>
      <c r="BT70" s="15">
        <v>0.0010780645570422982</v>
      </c>
      <c r="BU70" s="57"/>
      <c r="BV70" s="56"/>
      <c r="BW70" s="57"/>
      <c r="BX70" s="10">
        <v>343679.92</v>
      </c>
      <c r="BY70" s="15">
        <v>0.0038198665625936105</v>
      </c>
      <c r="BZ70" s="11">
        <v>16</v>
      </c>
      <c r="CA70" s="15">
        <v>0.0010820315141678502</v>
      </c>
      <c r="CB70" s="57"/>
      <c r="CC70" s="56"/>
      <c r="CD70" s="57"/>
      <c r="CE70" s="10">
        <v>322806.54</v>
      </c>
      <c r="CF70" s="15">
        <v>0.0038537037843496954</v>
      </c>
      <c r="CG70" s="11">
        <v>15</v>
      </c>
      <c r="CH70" s="15">
        <v>0.0010821730033908088</v>
      </c>
      <c r="CI70" s="57"/>
      <c r="CJ70" s="56"/>
      <c r="CK70" s="57"/>
      <c r="CL70" s="10">
        <v>322343.7</v>
      </c>
      <c r="CM70" s="15">
        <v>0.00410667456219488</v>
      </c>
      <c r="CN70" s="11">
        <v>15</v>
      </c>
      <c r="CO70" s="15">
        <v>0.0011517199017199017</v>
      </c>
      <c r="CP70" s="57"/>
      <c r="CQ70" s="56"/>
      <c r="CR70" s="57"/>
    </row>
    <row r="71" spans="1:96" ht="12.75">
      <c r="A71" s="9" t="s">
        <v>3</v>
      </c>
      <c r="B71" s="9"/>
      <c r="C71" s="9"/>
      <c r="D71" s="10">
        <v>55342.53</v>
      </c>
      <c r="E71" s="15">
        <v>0.00028752677865634884</v>
      </c>
      <c r="F71" s="11">
        <v>2</v>
      </c>
      <c r="G71" s="15">
        <v>6.67779632721202E-05</v>
      </c>
      <c r="H71" s="9"/>
      <c r="I71" s="9"/>
      <c r="J71" s="10">
        <v>28817</v>
      </c>
      <c r="K71" s="15">
        <v>0.00016104886508578361</v>
      </c>
      <c r="L71" s="11">
        <v>1</v>
      </c>
      <c r="M71" s="15">
        <v>3.698224852071006E-05</v>
      </c>
      <c r="N71" s="57"/>
      <c r="O71" s="56"/>
      <c r="P71" s="57"/>
      <c r="Q71" s="9"/>
      <c r="R71" s="10">
        <v>28817</v>
      </c>
      <c r="S71" s="15">
        <v>0.00017252306856556637</v>
      </c>
      <c r="T71" s="11">
        <v>1</v>
      </c>
      <c r="U71" s="15">
        <v>3.901068892876648E-05</v>
      </c>
      <c r="V71" s="57"/>
      <c r="W71" s="56"/>
      <c r="X71" s="57"/>
      <c r="Y71" s="9"/>
      <c r="Z71" s="10">
        <v>28817</v>
      </c>
      <c r="AA71" s="15">
        <v>0.00018519546156378568</v>
      </c>
      <c r="AB71" s="11">
        <v>1</v>
      </c>
      <c r="AC71" s="15">
        <v>4.125582738561822E-05</v>
      </c>
      <c r="AD71" s="57"/>
      <c r="AE71" s="56"/>
      <c r="AF71" s="57"/>
      <c r="AG71" s="9"/>
      <c r="AH71" s="10">
        <v>28817</v>
      </c>
      <c r="AI71" s="15">
        <v>0.00019993539088918817</v>
      </c>
      <c r="AJ71" s="11">
        <v>1</v>
      </c>
      <c r="AK71" s="15">
        <v>4.371393600279769E-05</v>
      </c>
      <c r="AL71" s="57"/>
      <c r="AM71" s="56"/>
      <c r="AN71" s="57"/>
      <c r="AO71" s="10">
        <v>28817</v>
      </c>
      <c r="AP71" s="15">
        <v>0.00021592173063923325</v>
      </c>
      <c r="AQ71" s="11">
        <v>1</v>
      </c>
      <c r="AR71" s="15">
        <v>4.758958739827726E-05</v>
      </c>
      <c r="AS71" s="57"/>
      <c r="AT71" s="56"/>
      <c r="AU71" s="57"/>
      <c r="AV71" s="10">
        <v>28817</v>
      </c>
      <c r="AW71" s="15">
        <v>0.0002328768693105778</v>
      </c>
      <c r="AX71" s="11">
        <v>1</v>
      </c>
      <c r="AY71" s="15">
        <v>5.079236082893133E-05</v>
      </c>
      <c r="AZ71" s="57"/>
      <c r="BA71" s="56"/>
      <c r="BB71" s="57"/>
      <c r="BC71" s="10">
        <v>28817</v>
      </c>
      <c r="BD71" s="15">
        <v>0.0002577478135209912</v>
      </c>
      <c r="BE71" s="11">
        <v>1</v>
      </c>
      <c r="BF71" s="15">
        <v>5.582849486377847E-05</v>
      </c>
      <c r="BG71" s="57"/>
      <c r="BH71" s="56"/>
      <c r="BI71" s="57"/>
      <c r="BJ71" s="10">
        <v>28817</v>
      </c>
      <c r="BK71" s="15">
        <v>0.0002764595377995622</v>
      </c>
      <c r="BL71" s="11">
        <v>1</v>
      </c>
      <c r="BM71" s="15">
        <v>5.937184587068812E-05</v>
      </c>
      <c r="BN71" s="57"/>
      <c r="BO71" s="56"/>
      <c r="BP71" s="57"/>
      <c r="BQ71" s="10">
        <v>28817</v>
      </c>
      <c r="BR71" s="15">
        <v>0.00029905185506095606</v>
      </c>
      <c r="BS71" s="11">
        <v>1</v>
      </c>
      <c r="BT71" s="15">
        <v>6.341556217895871E-05</v>
      </c>
      <c r="BU71" s="57"/>
      <c r="BV71" s="56"/>
      <c r="BW71" s="57"/>
      <c r="BX71" s="10">
        <v>28817</v>
      </c>
      <c r="BY71" s="15">
        <v>0.0003202895727345958</v>
      </c>
      <c r="BZ71" s="11">
        <v>1</v>
      </c>
      <c r="CA71" s="15">
        <v>6.762696963549064E-05</v>
      </c>
      <c r="CB71" s="57"/>
      <c r="CC71" s="56"/>
      <c r="CD71" s="57"/>
      <c r="CE71" s="10">
        <v>28817</v>
      </c>
      <c r="CF71" s="15">
        <v>0.0003440208551958246</v>
      </c>
      <c r="CG71" s="11">
        <v>1</v>
      </c>
      <c r="CH71" s="15">
        <v>7.214486689272058E-05</v>
      </c>
      <c r="CI71" s="57"/>
      <c r="CJ71" s="56"/>
      <c r="CK71" s="57"/>
      <c r="CL71" s="10">
        <v>28817</v>
      </c>
      <c r="CM71" s="15">
        <v>0.0003671299946571622</v>
      </c>
      <c r="CN71" s="11">
        <v>1</v>
      </c>
      <c r="CO71" s="15">
        <v>7.678132678132678E-05</v>
      </c>
      <c r="CP71" s="57"/>
      <c r="CQ71" s="56"/>
      <c r="CR71" s="57"/>
    </row>
    <row r="72" spans="1:96" ht="12.75">
      <c r="A72" s="9" t="s">
        <v>4</v>
      </c>
      <c r="B72" s="9"/>
      <c r="C72" s="9"/>
      <c r="D72" s="10">
        <v>37568.92</v>
      </c>
      <c r="E72" s="15">
        <v>0.00019518570157884136</v>
      </c>
      <c r="F72" s="11">
        <v>1</v>
      </c>
      <c r="G72" s="15">
        <v>3.33889816360601E-05</v>
      </c>
      <c r="H72" s="9"/>
      <c r="I72" s="9"/>
      <c r="J72" s="10">
        <v>0</v>
      </c>
      <c r="K72" s="15">
        <v>0</v>
      </c>
      <c r="L72" s="11">
        <v>0</v>
      </c>
      <c r="M72" s="15">
        <v>0</v>
      </c>
      <c r="N72" s="57"/>
      <c r="O72" s="56"/>
      <c r="P72" s="57"/>
      <c r="Q72" s="9"/>
      <c r="R72" s="10">
        <v>0</v>
      </c>
      <c r="S72" s="15">
        <v>0</v>
      </c>
      <c r="T72" s="11">
        <v>0</v>
      </c>
      <c r="U72" s="15">
        <v>0</v>
      </c>
      <c r="V72" s="57"/>
      <c r="W72" s="56"/>
      <c r="X72" s="57"/>
      <c r="Y72" s="9"/>
      <c r="Z72" s="10">
        <v>0</v>
      </c>
      <c r="AA72" s="15">
        <v>0</v>
      </c>
      <c r="AB72" s="11">
        <v>0</v>
      </c>
      <c r="AC72" s="15">
        <v>0</v>
      </c>
      <c r="AD72" s="57"/>
      <c r="AE72" s="56"/>
      <c r="AF72" s="57"/>
      <c r="AG72" s="9"/>
      <c r="AH72" s="10">
        <v>0</v>
      </c>
      <c r="AI72" s="15">
        <v>0</v>
      </c>
      <c r="AJ72" s="11">
        <v>0</v>
      </c>
      <c r="AK72" s="15">
        <v>0</v>
      </c>
      <c r="AL72" s="57"/>
      <c r="AM72" s="56"/>
      <c r="AN72" s="57"/>
      <c r="AO72" s="10">
        <v>0</v>
      </c>
      <c r="AP72" s="15">
        <v>0</v>
      </c>
      <c r="AQ72" s="11">
        <v>0</v>
      </c>
      <c r="AR72" s="15">
        <v>0</v>
      </c>
      <c r="AS72" s="57"/>
      <c r="AT72" s="56"/>
      <c r="AU72" s="57"/>
      <c r="AV72" s="10">
        <v>0</v>
      </c>
      <c r="AW72" s="15">
        <v>0</v>
      </c>
      <c r="AX72" s="11">
        <v>0</v>
      </c>
      <c r="AY72" s="15">
        <v>0</v>
      </c>
      <c r="AZ72" s="57"/>
      <c r="BA72" s="56"/>
      <c r="BB72" s="57"/>
      <c r="BC72" s="10">
        <v>0</v>
      </c>
      <c r="BD72" s="15">
        <v>0</v>
      </c>
      <c r="BE72" s="11">
        <v>0</v>
      </c>
      <c r="BF72" s="15">
        <v>0</v>
      </c>
      <c r="BG72" s="57"/>
      <c r="BH72" s="56"/>
      <c r="BI72" s="57"/>
      <c r="BJ72" s="10">
        <v>0</v>
      </c>
      <c r="BK72" s="15">
        <v>0</v>
      </c>
      <c r="BL72" s="11">
        <v>0</v>
      </c>
      <c r="BM72" s="15">
        <v>0</v>
      </c>
      <c r="BN72" s="57"/>
      <c r="BO72" s="56"/>
      <c r="BP72" s="57"/>
      <c r="BQ72" s="10">
        <v>0</v>
      </c>
      <c r="BR72" s="15">
        <v>0</v>
      </c>
      <c r="BS72" s="11">
        <v>0</v>
      </c>
      <c r="BT72" s="15">
        <v>0</v>
      </c>
      <c r="BU72" s="57"/>
      <c r="BV72" s="56"/>
      <c r="BW72" s="57"/>
      <c r="BX72" s="10">
        <v>0</v>
      </c>
      <c r="BY72" s="15">
        <v>0</v>
      </c>
      <c r="BZ72" s="11">
        <v>0</v>
      </c>
      <c r="CA72" s="15">
        <v>0</v>
      </c>
      <c r="CB72" s="57"/>
      <c r="CC72" s="56"/>
      <c r="CD72" s="57"/>
      <c r="CE72" s="10">
        <v>0</v>
      </c>
      <c r="CF72" s="15">
        <v>0</v>
      </c>
      <c r="CG72" s="11">
        <v>0</v>
      </c>
      <c r="CH72" s="15">
        <v>0</v>
      </c>
      <c r="CI72" s="57"/>
      <c r="CJ72" s="56"/>
      <c r="CK72" s="57"/>
      <c r="CL72" s="10">
        <v>0</v>
      </c>
      <c r="CM72" s="15">
        <v>0</v>
      </c>
      <c r="CN72" s="11">
        <v>0</v>
      </c>
      <c r="CO72" s="15">
        <v>0</v>
      </c>
      <c r="CP72" s="57"/>
      <c r="CQ72" s="56"/>
      <c r="CR72" s="57"/>
    </row>
    <row r="73" spans="1:96" ht="12.75">
      <c r="A73" s="9" t="s">
        <v>5</v>
      </c>
      <c r="B73" s="9"/>
      <c r="C73" s="9"/>
      <c r="D73" s="10">
        <v>61853.73</v>
      </c>
      <c r="E73" s="15">
        <v>0.00032135509046622127</v>
      </c>
      <c r="F73" s="11">
        <v>1</v>
      </c>
      <c r="G73" s="15">
        <v>3.33889816360601E-05</v>
      </c>
      <c r="H73" s="9"/>
      <c r="I73" s="9"/>
      <c r="J73" s="10">
        <v>61699.25</v>
      </c>
      <c r="K73" s="15">
        <v>0.00034481709369969235</v>
      </c>
      <c r="L73" s="11">
        <v>1</v>
      </c>
      <c r="M73" s="15">
        <v>3.698224852071006E-05</v>
      </c>
      <c r="N73" s="57"/>
      <c r="O73" s="56"/>
      <c r="P73" s="57"/>
      <c r="Q73" s="9"/>
      <c r="R73" s="10">
        <v>61447.25</v>
      </c>
      <c r="S73" s="15">
        <v>0.0003678754944968421</v>
      </c>
      <c r="T73" s="11">
        <v>1</v>
      </c>
      <c r="U73" s="15">
        <v>3.901068892876648E-05</v>
      </c>
      <c r="V73" s="57"/>
      <c r="W73" s="56"/>
      <c r="X73" s="57"/>
      <c r="Y73" s="9"/>
      <c r="Z73" s="10">
        <v>61231.25</v>
      </c>
      <c r="AA73" s="15">
        <v>0.00039350902612615994</v>
      </c>
      <c r="AB73" s="11">
        <v>1</v>
      </c>
      <c r="AC73" s="15">
        <v>4.125582738561822E-05</v>
      </c>
      <c r="AD73" s="57"/>
      <c r="AE73" s="56"/>
      <c r="AF73" s="57"/>
      <c r="AG73" s="9"/>
      <c r="AH73" s="10">
        <v>61015.25</v>
      </c>
      <c r="AI73" s="15">
        <v>0.0004233302515512211</v>
      </c>
      <c r="AJ73" s="11">
        <v>1</v>
      </c>
      <c r="AK73" s="15">
        <v>4.371393600279769E-05</v>
      </c>
      <c r="AL73" s="57"/>
      <c r="AM73" s="56"/>
      <c r="AN73" s="57"/>
      <c r="AO73" s="10">
        <v>60799.25</v>
      </c>
      <c r="AP73" s="15">
        <v>0.0004555602346381442</v>
      </c>
      <c r="AQ73" s="11">
        <v>1</v>
      </c>
      <c r="AR73" s="15">
        <v>4.758958739827726E-05</v>
      </c>
      <c r="AS73" s="57"/>
      <c r="AT73" s="56"/>
      <c r="AU73" s="57"/>
      <c r="AV73" s="10">
        <v>60583.25</v>
      </c>
      <c r="AW73" s="15">
        <v>0.0004895873127896749</v>
      </c>
      <c r="AX73" s="11">
        <v>1</v>
      </c>
      <c r="AY73" s="15">
        <v>5.079236082893133E-05</v>
      </c>
      <c r="AZ73" s="57"/>
      <c r="BA73" s="56"/>
      <c r="BB73" s="57"/>
      <c r="BC73" s="10">
        <v>60439.25</v>
      </c>
      <c r="BD73" s="15">
        <v>0.0005405866168702004</v>
      </c>
      <c r="BE73" s="11">
        <v>1</v>
      </c>
      <c r="BF73" s="15">
        <v>5.582849486377847E-05</v>
      </c>
      <c r="BG73" s="57"/>
      <c r="BH73" s="56"/>
      <c r="BI73" s="57"/>
      <c r="BJ73" s="10">
        <v>60161.25</v>
      </c>
      <c r="BK73" s="15">
        <v>0.0005771645684298822</v>
      </c>
      <c r="BL73" s="11">
        <v>1</v>
      </c>
      <c r="BM73" s="15">
        <v>5.937184587068812E-05</v>
      </c>
      <c r="BN73" s="57"/>
      <c r="BO73" s="56"/>
      <c r="BP73" s="57"/>
      <c r="BQ73" s="10">
        <v>59945.25</v>
      </c>
      <c r="BR73" s="15">
        <v>0.0006220889827044028</v>
      </c>
      <c r="BS73" s="11">
        <v>1</v>
      </c>
      <c r="BT73" s="15">
        <v>6.341556217895871E-05</v>
      </c>
      <c r="BU73" s="57"/>
      <c r="BV73" s="56"/>
      <c r="BW73" s="57"/>
      <c r="BX73" s="10">
        <v>59729.25</v>
      </c>
      <c r="BY73" s="15">
        <v>0.0006638670216281311</v>
      </c>
      <c r="BZ73" s="11">
        <v>1</v>
      </c>
      <c r="CA73" s="15">
        <v>6.762696963549064E-05</v>
      </c>
      <c r="CB73" s="57"/>
      <c r="CC73" s="56"/>
      <c r="CD73" s="57"/>
      <c r="CE73" s="10">
        <v>59513.25</v>
      </c>
      <c r="CF73" s="15">
        <v>0.0007104764257376865</v>
      </c>
      <c r="CG73" s="11">
        <v>1</v>
      </c>
      <c r="CH73" s="15">
        <v>7.214486689272058E-05</v>
      </c>
      <c r="CI73" s="57"/>
      <c r="CJ73" s="56"/>
      <c r="CK73" s="57"/>
      <c r="CL73" s="10">
        <v>59297.25</v>
      </c>
      <c r="CM73" s="15">
        <v>0.0007554498759650349</v>
      </c>
      <c r="CN73" s="11">
        <v>1</v>
      </c>
      <c r="CO73" s="15">
        <v>7.678132678132678E-05</v>
      </c>
      <c r="CP73" s="57"/>
      <c r="CQ73" s="56"/>
      <c r="CR73" s="57"/>
    </row>
    <row r="74" spans="1:96" ht="12.75">
      <c r="A74" s="9"/>
      <c r="B74" s="9"/>
      <c r="C74" s="9"/>
      <c r="D74" s="10"/>
      <c r="E74" s="15"/>
      <c r="F74" s="11"/>
      <c r="G74" s="15"/>
      <c r="H74" s="9"/>
      <c r="I74" s="9"/>
      <c r="J74" s="10"/>
      <c r="K74" s="15"/>
      <c r="L74" s="11"/>
      <c r="M74" s="15"/>
      <c r="N74" s="57"/>
      <c r="O74" s="56"/>
      <c r="P74" s="57"/>
      <c r="Q74" s="9"/>
      <c r="R74" s="10"/>
      <c r="S74" s="15"/>
      <c r="T74" s="11"/>
      <c r="U74" s="15"/>
      <c r="V74" s="57"/>
      <c r="W74" s="56"/>
      <c r="X74" s="57"/>
      <c r="Y74" s="9"/>
      <c r="Z74" s="10"/>
      <c r="AA74" s="15"/>
      <c r="AB74" s="11"/>
      <c r="AC74" s="15"/>
      <c r="AD74" s="57"/>
      <c r="AE74" s="56"/>
      <c r="AF74" s="57"/>
      <c r="AG74" s="9"/>
      <c r="AH74" s="10"/>
      <c r="AI74" s="15"/>
      <c r="AJ74" s="11"/>
      <c r="AK74" s="15"/>
      <c r="AL74" s="57"/>
      <c r="AM74" s="56"/>
      <c r="AN74" s="57"/>
      <c r="AO74" s="10"/>
      <c r="AP74" s="15"/>
      <c r="AQ74" s="11"/>
      <c r="AR74" s="15"/>
      <c r="AS74" s="57"/>
      <c r="AT74" s="56"/>
      <c r="AU74" s="57"/>
      <c r="AV74" s="10"/>
      <c r="AW74" s="15"/>
      <c r="AX74" s="11"/>
      <c r="AY74" s="15"/>
      <c r="AZ74" s="57"/>
      <c r="BA74" s="56"/>
      <c r="BB74" s="57"/>
      <c r="BC74" s="10"/>
      <c r="BD74" s="15"/>
      <c r="BE74" s="11"/>
      <c r="BF74" s="15"/>
      <c r="BG74" s="57"/>
      <c r="BH74" s="56"/>
      <c r="BI74" s="57"/>
      <c r="BJ74" s="10"/>
      <c r="BK74" s="15"/>
      <c r="BL74" s="11"/>
      <c r="BM74" s="15"/>
      <c r="BN74" s="57"/>
      <c r="BO74" s="56"/>
      <c r="BP74" s="57"/>
      <c r="BQ74" s="10"/>
      <c r="BR74" s="15"/>
      <c r="BS74" s="11"/>
      <c r="BT74" s="15"/>
      <c r="BU74" s="57"/>
      <c r="BV74" s="56"/>
      <c r="BW74" s="57"/>
      <c r="BX74" s="10"/>
      <c r="BY74" s="15"/>
      <c r="BZ74" s="11"/>
      <c r="CA74" s="15"/>
      <c r="CB74" s="57"/>
      <c r="CC74" s="56"/>
      <c r="CD74" s="57"/>
      <c r="CE74" s="10"/>
      <c r="CF74" s="15"/>
      <c r="CG74" s="11"/>
      <c r="CH74" s="15"/>
      <c r="CI74" s="57"/>
      <c r="CJ74" s="56"/>
      <c r="CK74" s="57"/>
      <c r="CL74" s="10"/>
      <c r="CM74" s="15"/>
      <c r="CN74" s="11"/>
      <c r="CO74" s="15"/>
      <c r="CP74" s="57"/>
      <c r="CQ74" s="56"/>
      <c r="CR74" s="57"/>
    </row>
    <row r="75" spans="1:96" ht="13.5" thickBot="1">
      <c r="A75" s="9"/>
      <c r="B75" s="13"/>
      <c r="C75" s="13"/>
      <c r="D75" s="22">
        <f>SUM(D60:D73)</f>
        <v>192477828.5300001</v>
      </c>
      <c r="E75" s="24"/>
      <c r="F75" s="23">
        <f>SUM(F60:F73)</f>
        <v>29950</v>
      </c>
      <c r="G75" s="13"/>
      <c r="H75" s="9"/>
      <c r="I75" s="9"/>
      <c r="J75" s="22">
        <f>SUM(J60:J73)</f>
        <v>178933269.62999994</v>
      </c>
      <c r="K75" s="24"/>
      <c r="L75" s="23">
        <f>SUM(L60:L73)</f>
        <v>27040</v>
      </c>
      <c r="M75" s="13"/>
      <c r="N75" s="58"/>
      <c r="O75" s="32"/>
      <c r="P75" s="54"/>
      <c r="Q75" s="9"/>
      <c r="R75" s="22">
        <f>SUM(R60:R73)</f>
        <v>167032735.04</v>
      </c>
      <c r="S75" s="24"/>
      <c r="T75" s="23">
        <f>SUM(T60:T73)</f>
        <v>25634</v>
      </c>
      <c r="U75" s="13"/>
      <c r="V75" s="58"/>
      <c r="W75" s="32"/>
      <c r="X75" s="54"/>
      <c r="Y75" s="9"/>
      <c r="Z75" s="22">
        <f>SUM(Z60:Z73)</f>
        <v>155603165.20000005</v>
      </c>
      <c r="AA75" s="24"/>
      <c r="AB75" s="23">
        <f>SUM(AB60:AB73)</f>
        <v>24239</v>
      </c>
      <c r="AC75" s="13"/>
      <c r="AD75" s="58"/>
      <c r="AE75" s="32"/>
      <c r="AF75" s="54"/>
      <c r="AG75" s="9"/>
      <c r="AH75" s="22">
        <f>SUM(AH60:AH73)</f>
        <v>144131561.06000003</v>
      </c>
      <c r="AI75" s="24"/>
      <c r="AJ75" s="23">
        <f>SUM(AJ60:AJ73)</f>
        <v>22876</v>
      </c>
      <c r="AK75" s="13"/>
      <c r="AL75" s="58"/>
      <c r="AM75" s="32"/>
      <c r="AN75" s="54"/>
      <c r="AO75" s="22">
        <f>SUM(AO60:AO73)</f>
        <v>133460397.50000001</v>
      </c>
      <c r="AP75" s="24"/>
      <c r="AQ75" s="23">
        <f>SUM(AQ60:AQ73)</f>
        <v>21013</v>
      </c>
      <c r="AR75" s="13"/>
      <c r="AS75" s="58"/>
      <c r="AT75" s="32"/>
      <c r="AU75" s="54"/>
      <c r="AV75" s="22">
        <f>SUM(AV60:AV73)</f>
        <v>123743504.82000002</v>
      </c>
      <c r="AW75" s="24"/>
      <c r="AX75" s="23">
        <f>SUM(AX60:AX73)</f>
        <v>19688</v>
      </c>
      <c r="AY75" s="13"/>
      <c r="AZ75" s="58"/>
      <c r="BA75" s="32"/>
      <c r="BB75" s="54"/>
      <c r="BC75" s="22">
        <f>SUM(BC60:BC73)</f>
        <v>111803082.27000001</v>
      </c>
      <c r="BD75" s="24"/>
      <c r="BE75" s="23">
        <f>SUM(BE60:BE73)</f>
        <v>17912</v>
      </c>
      <c r="BF75" s="13"/>
      <c r="BG75" s="58"/>
      <c r="BH75" s="32"/>
      <c r="BI75" s="54"/>
      <c r="BJ75" s="22">
        <f>SUM(BJ60:BJ73)</f>
        <v>104235868.40000002</v>
      </c>
      <c r="BK75" s="24"/>
      <c r="BL75" s="23">
        <f>SUM(BL60:BL73)</f>
        <v>16843</v>
      </c>
      <c r="BM75" s="13"/>
      <c r="BN75" s="58"/>
      <c r="BO75" s="32"/>
      <c r="BP75" s="54"/>
      <c r="BQ75" s="22">
        <f>SUM(BQ60:BQ73)</f>
        <v>96361214.66000003</v>
      </c>
      <c r="BR75" s="24"/>
      <c r="BS75" s="23">
        <f>SUM(BS60:BS73)</f>
        <v>15769</v>
      </c>
      <c r="BT75" s="13"/>
      <c r="BU75" s="58"/>
      <c r="BV75" s="32"/>
      <c r="BW75" s="54"/>
      <c r="BX75" s="22">
        <f>SUM(BX60:BX73)</f>
        <v>89971708.27000001</v>
      </c>
      <c r="BY75" s="24"/>
      <c r="BZ75" s="23">
        <f>SUM(BZ60:BZ73)</f>
        <v>14787</v>
      </c>
      <c r="CA75" s="13"/>
      <c r="CB75" s="58"/>
      <c r="CC75" s="32"/>
      <c r="CD75" s="54"/>
      <c r="CE75" s="22">
        <f>SUM(CE60:CE73)</f>
        <v>83765270.52000001</v>
      </c>
      <c r="CF75" s="24"/>
      <c r="CG75" s="23">
        <f>SUM(CG60:CG73)</f>
        <v>13861</v>
      </c>
      <c r="CH75" s="13"/>
      <c r="CI75" s="58"/>
      <c r="CJ75" s="32"/>
      <c r="CK75" s="54"/>
      <c r="CL75" s="22">
        <f>SUM(CL60:CL73)</f>
        <v>78492633.18000002</v>
      </c>
      <c r="CM75" s="24"/>
      <c r="CN75" s="23">
        <f>SUM(CN60:CN73)</f>
        <v>13024</v>
      </c>
      <c r="CO75" s="13"/>
      <c r="CP75" s="58"/>
      <c r="CQ75" s="32"/>
      <c r="CR75" s="54"/>
    </row>
    <row r="76" spans="1:96" ht="13.5" thickTop="1">
      <c r="A76" s="13"/>
      <c r="B76" s="9"/>
      <c r="C76" s="9"/>
      <c r="D76" s="10"/>
      <c r="E76" s="9"/>
      <c r="F76" s="11"/>
      <c r="G76" s="9"/>
      <c r="H76" s="9"/>
      <c r="I76" s="9"/>
      <c r="J76" s="10"/>
      <c r="K76" s="9"/>
      <c r="L76" s="11"/>
      <c r="M76" s="9"/>
      <c r="N76" s="55"/>
      <c r="O76" s="56"/>
      <c r="P76" s="55"/>
      <c r="Q76" s="9"/>
      <c r="R76" s="10"/>
      <c r="S76" s="9"/>
      <c r="T76" s="11"/>
      <c r="U76" s="9"/>
      <c r="V76" s="55"/>
      <c r="W76" s="56"/>
      <c r="X76" s="55"/>
      <c r="Y76" s="9"/>
      <c r="Z76" s="10"/>
      <c r="AA76" s="9"/>
      <c r="AB76" s="11"/>
      <c r="AC76" s="9"/>
      <c r="AD76" s="55"/>
      <c r="AE76" s="56"/>
      <c r="AF76" s="55"/>
      <c r="AG76" s="9"/>
      <c r="AH76" s="10"/>
      <c r="AI76" s="9"/>
      <c r="AJ76" s="11"/>
      <c r="AK76" s="9"/>
      <c r="AL76" s="55"/>
      <c r="AM76" s="56"/>
      <c r="AN76" s="55"/>
      <c r="AO76" s="10"/>
      <c r="AP76" s="9"/>
      <c r="AQ76" s="11"/>
      <c r="AR76" s="9"/>
      <c r="AS76" s="55"/>
      <c r="AT76" s="56"/>
      <c r="AU76" s="55"/>
      <c r="AV76" s="10"/>
      <c r="AW76" s="9"/>
      <c r="AX76" s="11"/>
      <c r="AY76" s="9"/>
      <c r="AZ76" s="55"/>
      <c r="BA76" s="56"/>
      <c r="BB76" s="55"/>
      <c r="BC76" s="10"/>
      <c r="BD76" s="9"/>
      <c r="BE76" s="11"/>
      <c r="BF76" s="9"/>
      <c r="BG76" s="55"/>
      <c r="BH76" s="56"/>
      <c r="BI76" s="55"/>
      <c r="BJ76" s="10"/>
      <c r="BK76" s="9"/>
      <c r="BL76" s="11"/>
      <c r="BM76" s="9"/>
      <c r="BN76" s="55"/>
      <c r="BO76" s="56"/>
      <c r="BP76" s="55"/>
      <c r="BQ76" s="10"/>
      <c r="BR76" s="9"/>
      <c r="BS76" s="11"/>
      <c r="BT76" s="9"/>
      <c r="BU76" s="55"/>
      <c r="BV76" s="56"/>
      <c r="BW76" s="55"/>
      <c r="BX76" s="10"/>
      <c r="BY76" s="9"/>
      <c r="BZ76" s="11"/>
      <c r="CA76" s="9"/>
      <c r="CB76" s="55"/>
      <c r="CC76" s="56"/>
      <c r="CD76" s="55"/>
      <c r="CE76" s="10"/>
      <c r="CF76" s="9"/>
      <c r="CG76" s="11"/>
      <c r="CH76" s="9"/>
      <c r="CI76" s="55"/>
      <c r="CJ76" s="56"/>
      <c r="CK76" s="55"/>
      <c r="CL76" s="10"/>
      <c r="CM76" s="9"/>
      <c r="CN76" s="11"/>
      <c r="CO76" s="9"/>
      <c r="CP76" s="55"/>
      <c r="CQ76" s="56"/>
      <c r="CR76" s="55"/>
    </row>
    <row r="77" spans="1:96" ht="12.75">
      <c r="A77" s="9"/>
      <c r="B77" s="9"/>
      <c r="C77" s="9"/>
      <c r="D77" s="10"/>
      <c r="E77" s="9"/>
      <c r="F77" s="11"/>
      <c r="G77" s="9"/>
      <c r="H77" s="9"/>
      <c r="I77" s="9"/>
      <c r="J77" s="9"/>
      <c r="K77" s="9"/>
      <c r="L77" s="9"/>
      <c r="M77" s="10"/>
      <c r="N77" s="9"/>
      <c r="O77" s="11"/>
      <c r="P77" s="9"/>
      <c r="Q77" s="9"/>
      <c r="R77" s="9"/>
      <c r="S77" s="9"/>
      <c r="T77" s="9"/>
      <c r="U77" s="10"/>
      <c r="V77" s="9"/>
      <c r="W77" s="11"/>
      <c r="X77" s="9"/>
      <c r="Y77" s="9"/>
      <c r="Z77" s="9"/>
      <c r="AA77" s="9"/>
      <c r="AB77" s="9"/>
      <c r="AC77" s="10"/>
      <c r="AD77" s="9"/>
      <c r="AE77" s="11"/>
      <c r="AF77" s="9"/>
      <c r="AG77" s="9"/>
      <c r="AH77" s="9"/>
      <c r="AI77" s="9"/>
      <c r="AJ77" s="9"/>
      <c r="AK77" s="10"/>
      <c r="AL77" s="9"/>
      <c r="AM77" s="11"/>
      <c r="AN77" s="9"/>
      <c r="AO77" s="9"/>
      <c r="AP77" s="9"/>
      <c r="AQ77" s="9"/>
      <c r="AR77" s="10"/>
      <c r="AS77" s="9"/>
      <c r="AT77" s="11"/>
      <c r="AU77" s="9"/>
      <c r="AV77" s="9"/>
      <c r="AW77" s="9"/>
      <c r="AX77" s="9"/>
      <c r="AY77" s="10"/>
      <c r="AZ77" s="9"/>
      <c r="BA77" s="11"/>
      <c r="BB77" s="9"/>
      <c r="BC77" s="9"/>
      <c r="BD77" s="9"/>
      <c r="BE77" s="9"/>
      <c r="BF77" s="10"/>
      <c r="BG77" s="9"/>
      <c r="BH77" s="11"/>
      <c r="BI77" s="9"/>
      <c r="BJ77" s="9"/>
      <c r="BK77" s="9"/>
      <c r="BL77" s="9"/>
      <c r="BM77" s="10"/>
      <c r="BN77" s="9"/>
      <c r="BO77" s="11"/>
      <c r="BP77" s="9"/>
      <c r="BQ77" s="9"/>
      <c r="BR77" s="9"/>
      <c r="BS77" s="9"/>
      <c r="BT77" s="10"/>
      <c r="BU77" s="9"/>
      <c r="BV77" s="11"/>
      <c r="BW77" s="9"/>
      <c r="BX77" s="9"/>
      <c r="BY77" s="9"/>
      <c r="BZ77" s="9"/>
      <c r="CA77" s="10"/>
      <c r="CB77" s="9"/>
      <c r="CC77" s="11"/>
      <c r="CD77" s="9"/>
      <c r="CE77" s="9"/>
      <c r="CF77" s="9"/>
      <c r="CG77" s="9"/>
      <c r="CH77" s="10"/>
      <c r="CI77" s="9"/>
      <c r="CJ77" s="11"/>
      <c r="CK77" s="9"/>
      <c r="CL77" s="9"/>
      <c r="CM77" s="9"/>
      <c r="CN77" s="9"/>
      <c r="CO77" s="10"/>
      <c r="CP77" s="9"/>
      <c r="CQ77" s="11"/>
      <c r="CR77" s="9"/>
    </row>
    <row r="78" spans="1:96" ht="12.75">
      <c r="A78" s="20" t="s">
        <v>105</v>
      </c>
      <c r="B78" s="9"/>
      <c r="C78" s="9"/>
      <c r="D78" s="10"/>
      <c r="E78" s="9"/>
      <c r="F78" s="11"/>
      <c r="G78" s="9"/>
      <c r="H78" s="9"/>
      <c r="I78" s="9"/>
      <c r="J78" s="20" t="s">
        <v>105</v>
      </c>
      <c r="K78" s="9"/>
      <c r="L78" s="9"/>
      <c r="M78" s="10"/>
      <c r="N78" s="9"/>
      <c r="O78" s="11"/>
      <c r="P78" s="9"/>
      <c r="Q78" s="9"/>
      <c r="R78" s="20" t="s">
        <v>105</v>
      </c>
      <c r="S78" s="9"/>
      <c r="T78" s="9"/>
      <c r="U78" s="10"/>
      <c r="V78" s="9"/>
      <c r="W78" s="11"/>
      <c r="X78" s="9"/>
      <c r="Y78" s="9"/>
      <c r="Z78" s="20" t="s">
        <v>105</v>
      </c>
      <c r="AA78" s="9"/>
      <c r="AB78" s="9"/>
      <c r="AC78" s="10"/>
      <c r="AD78" s="9"/>
      <c r="AE78" s="11"/>
      <c r="AF78" s="9"/>
      <c r="AG78" s="9"/>
      <c r="AH78" s="20" t="s">
        <v>105</v>
      </c>
      <c r="AI78" s="9"/>
      <c r="AJ78" s="9"/>
      <c r="AK78" s="10"/>
      <c r="AL78" s="9"/>
      <c r="AM78" s="11"/>
      <c r="AN78" s="9"/>
      <c r="AO78" s="20" t="s">
        <v>105</v>
      </c>
      <c r="AP78" s="9"/>
      <c r="AQ78" s="9"/>
      <c r="AR78" s="10"/>
      <c r="AS78" s="9"/>
      <c r="AT78" s="11"/>
      <c r="AU78" s="9"/>
      <c r="AV78" s="20" t="s">
        <v>105</v>
      </c>
      <c r="AW78" s="9"/>
      <c r="AX78" s="9"/>
      <c r="AY78" s="10"/>
      <c r="AZ78" s="9"/>
      <c r="BA78" s="11"/>
      <c r="BB78" s="9"/>
      <c r="BC78" s="20" t="s">
        <v>105</v>
      </c>
      <c r="BD78" s="9"/>
      <c r="BE78" s="9"/>
      <c r="BF78" s="10"/>
      <c r="BG78" s="9"/>
      <c r="BH78" s="11"/>
      <c r="BI78" s="9"/>
      <c r="BJ78" s="20" t="s">
        <v>105</v>
      </c>
      <c r="BK78" s="9"/>
      <c r="BL78" s="9"/>
      <c r="BM78" s="10"/>
      <c r="BN78" s="9"/>
      <c r="BO78" s="11"/>
      <c r="BP78" s="9"/>
      <c r="BQ78" s="20" t="s">
        <v>105</v>
      </c>
      <c r="BR78" s="9"/>
      <c r="BS78" s="9"/>
      <c r="BT78" s="10"/>
      <c r="BU78" s="9"/>
      <c r="BV78" s="11"/>
      <c r="BW78" s="9"/>
      <c r="BX78" s="20" t="s">
        <v>105</v>
      </c>
      <c r="BY78" s="9"/>
      <c r="BZ78" s="9"/>
      <c r="CA78" s="10"/>
      <c r="CB78" s="9"/>
      <c r="CC78" s="11"/>
      <c r="CD78" s="9"/>
      <c r="CE78" s="20" t="s">
        <v>105</v>
      </c>
      <c r="CF78" s="9"/>
      <c r="CG78" s="9"/>
      <c r="CH78" s="10"/>
      <c r="CI78" s="9"/>
      <c r="CJ78" s="11"/>
      <c r="CK78" s="9"/>
      <c r="CL78" s="20" t="s">
        <v>105</v>
      </c>
      <c r="CM78" s="9"/>
      <c r="CN78" s="9"/>
      <c r="CO78" s="10"/>
      <c r="CP78" s="9"/>
      <c r="CQ78" s="11"/>
      <c r="CR78" s="9"/>
    </row>
    <row r="79" spans="1:96" ht="12.75">
      <c r="A79" s="20"/>
      <c r="B79" s="9"/>
      <c r="C79" s="9"/>
      <c r="D79" s="10"/>
      <c r="E79" s="9"/>
      <c r="F79" s="11"/>
      <c r="G79" s="9"/>
      <c r="H79" s="9"/>
      <c r="I79" s="9"/>
      <c r="J79" s="20"/>
      <c r="K79" s="9"/>
      <c r="L79" s="9"/>
      <c r="M79" s="10"/>
      <c r="N79" s="9"/>
      <c r="O79" s="11"/>
      <c r="P79" s="9"/>
      <c r="Q79" s="9"/>
      <c r="R79" s="20"/>
      <c r="S79" s="9"/>
      <c r="T79" s="9"/>
      <c r="U79" s="10"/>
      <c r="V79" s="9"/>
      <c r="W79" s="11"/>
      <c r="X79" s="9"/>
      <c r="Y79" s="9"/>
      <c r="Z79" s="20"/>
      <c r="AA79" s="9"/>
      <c r="AB79" s="9"/>
      <c r="AC79" s="10"/>
      <c r="AD79" s="9"/>
      <c r="AE79" s="11"/>
      <c r="AF79" s="9"/>
      <c r="AG79" s="9"/>
      <c r="AH79" s="20"/>
      <c r="AI79" s="9"/>
      <c r="AJ79" s="9"/>
      <c r="AK79" s="10"/>
      <c r="AL79" s="9"/>
      <c r="AM79" s="11"/>
      <c r="AN79" s="9"/>
      <c r="AO79" s="20"/>
      <c r="AP79" s="9"/>
      <c r="AQ79" s="9"/>
      <c r="AR79" s="10"/>
      <c r="AS79" s="9"/>
      <c r="AT79" s="11"/>
      <c r="AU79" s="9"/>
      <c r="AV79" s="20"/>
      <c r="AW79" s="9"/>
      <c r="AX79" s="9"/>
      <c r="AY79" s="10"/>
      <c r="AZ79" s="9"/>
      <c r="BA79" s="11"/>
      <c r="BB79" s="9"/>
      <c r="BC79" s="20"/>
      <c r="BD79" s="9"/>
      <c r="BE79" s="9"/>
      <c r="BF79" s="10"/>
      <c r="BG79" s="9"/>
      <c r="BH79" s="11"/>
      <c r="BI79" s="9"/>
      <c r="BJ79" s="20"/>
      <c r="BK79" s="9"/>
      <c r="BL79" s="9"/>
      <c r="BM79" s="10"/>
      <c r="BN79" s="9"/>
      <c r="BO79" s="11"/>
      <c r="BP79" s="9"/>
      <c r="BQ79" s="20"/>
      <c r="BR79" s="9"/>
      <c r="BS79" s="9"/>
      <c r="BT79" s="10"/>
      <c r="BU79" s="9"/>
      <c r="BV79" s="11"/>
      <c r="BW79" s="9"/>
      <c r="BX79" s="20"/>
      <c r="BY79" s="9"/>
      <c r="BZ79" s="9"/>
      <c r="CA79" s="10"/>
      <c r="CB79" s="9"/>
      <c r="CC79" s="11"/>
      <c r="CD79" s="9"/>
      <c r="CE79" s="20"/>
      <c r="CF79" s="9"/>
      <c r="CG79" s="9"/>
      <c r="CH79" s="10"/>
      <c r="CI79" s="9"/>
      <c r="CJ79" s="11"/>
      <c r="CK79" s="9"/>
      <c r="CL79" s="20"/>
      <c r="CM79" s="9"/>
      <c r="CN79" s="9"/>
      <c r="CO79" s="10"/>
      <c r="CP79" s="9"/>
      <c r="CQ79" s="11"/>
      <c r="CR79" s="9"/>
    </row>
    <row r="80" spans="1:96" s="30" customFormat="1" ht="12.75">
      <c r="A80" s="26"/>
      <c r="B80" s="27"/>
      <c r="C80" s="27"/>
      <c r="D80" s="28" t="s">
        <v>143</v>
      </c>
      <c r="E80" s="27" t="s">
        <v>96</v>
      </c>
      <c r="F80" s="29" t="s">
        <v>97</v>
      </c>
      <c r="G80" s="27" t="s">
        <v>96</v>
      </c>
      <c r="H80" s="26"/>
      <c r="I80" s="26"/>
      <c r="J80" s="28" t="s">
        <v>143</v>
      </c>
      <c r="K80" s="27" t="s">
        <v>96</v>
      </c>
      <c r="L80" s="29" t="s">
        <v>97</v>
      </c>
      <c r="M80" s="27" t="s">
        <v>96</v>
      </c>
      <c r="N80" s="65"/>
      <c r="O80" s="66"/>
      <c r="P80" s="65"/>
      <c r="Q80" s="26"/>
      <c r="R80" s="28" t="s">
        <v>143</v>
      </c>
      <c r="S80" s="27" t="s">
        <v>96</v>
      </c>
      <c r="T80" s="29" t="s">
        <v>97</v>
      </c>
      <c r="U80" s="27" t="s">
        <v>96</v>
      </c>
      <c r="V80" s="65"/>
      <c r="W80" s="66"/>
      <c r="X80" s="65"/>
      <c r="Y80" s="26"/>
      <c r="Z80" s="28" t="s">
        <v>143</v>
      </c>
      <c r="AA80" s="27" t="s">
        <v>96</v>
      </c>
      <c r="AB80" s="29" t="s">
        <v>97</v>
      </c>
      <c r="AC80" s="27" t="s">
        <v>96</v>
      </c>
      <c r="AD80" s="65"/>
      <c r="AE80" s="66"/>
      <c r="AF80" s="65"/>
      <c r="AG80" s="26"/>
      <c r="AH80" s="28" t="s">
        <v>143</v>
      </c>
      <c r="AI80" s="27" t="s">
        <v>96</v>
      </c>
      <c r="AJ80" s="29" t="s">
        <v>97</v>
      </c>
      <c r="AK80" s="27" t="s">
        <v>96</v>
      </c>
      <c r="AL80" s="65"/>
      <c r="AM80" s="66"/>
      <c r="AN80" s="65"/>
      <c r="AO80" s="28" t="s">
        <v>143</v>
      </c>
      <c r="AP80" s="27" t="s">
        <v>96</v>
      </c>
      <c r="AQ80" s="29" t="s">
        <v>97</v>
      </c>
      <c r="AR80" s="27" t="s">
        <v>96</v>
      </c>
      <c r="AS80" s="65"/>
      <c r="AT80" s="66"/>
      <c r="AU80" s="65"/>
      <c r="AV80" s="94" t="s">
        <v>143</v>
      </c>
      <c r="AW80" s="45" t="s">
        <v>96</v>
      </c>
      <c r="AX80" s="93" t="s">
        <v>97</v>
      </c>
      <c r="AY80" s="27" t="s">
        <v>96</v>
      </c>
      <c r="AZ80" s="65"/>
      <c r="BA80" s="66"/>
      <c r="BB80" s="65"/>
      <c r="BC80" s="94" t="s">
        <v>143</v>
      </c>
      <c r="BD80" s="45" t="s">
        <v>96</v>
      </c>
      <c r="BE80" s="93" t="s">
        <v>97</v>
      </c>
      <c r="BF80" s="27" t="s">
        <v>96</v>
      </c>
      <c r="BG80" s="65"/>
      <c r="BH80" s="66"/>
      <c r="BI80" s="65"/>
      <c r="BJ80" s="94" t="s">
        <v>143</v>
      </c>
      <c r="BK80" s="45" t="s">
        <v>96</v>
      </c>
      <c r="BL80" s="93" t="s">
        <v>97</v>
      </c>
      <c r="BM80" s="27" t="s">
        <v>96</v>
      </c>
      <c r="BN80" s="65"/>
      <c r="BO80" s="66"/>
      <c r="BP80" s="65"/>
      <c r="BQ80" s="94" t="s">
        <v>143</v>
      </c>
      <c r="BR80" s="45" t="s">
        <v>96</v>
      </c>
      <c r="BS80" s="93" t="s">
        <v>97</v>
      </c>
      <c r="BT80" s="27" t="s">
        <v>96</v>
      </c>
      <c r="BU80" s="65"/>
      <c r="BV80" s="66"/>
      <c r="BW80" s="65"/>
      <c r="BX80" s="94" t="s">
        <v>143</v>
      </c>
      <c r="BY80" s="45" t="s">
        <v>96</v>
      </c>
      <c r="BZ80" s="93" t="s">
        <v>97</v>
      </c>
      <c r="CA80" s="27" t="s">
        <v>96</v>
      </c>
      <c r="CB80" s="65"/>
      <c r="CC80" s="66"/>
      <c r="CD80" s="65"/>
      <c r="CE80" s="94" t="s">
        <v>143</v>
      </c>
      <c r="CF80" s="45" t="s">
        <v>96</v>
      </c>
      <c r="CG80" s="93" t="s">
        <v>97</v>
      </c>
      <c r="CH80" s="27" t="s">
        <v>96</v>
      </c>
      <c r="CI80" s="65"/>
      <c r="CJ80" s="66"/>
      <c r="CK80" s="65"/>
      <c r="CL80" s="94" t="s">
        <v>143</v>
      </c>
      <c r="CM80" s="45" t="s">
        <v>96</v>
      </c>
      <c r="CN80" s="93" t="s">
        <v>97</v>
      </c>
      <c r="CO80" s="27" t="s">
        <v>96</v>
      </c>
      <c r="CP80" s="65"/>
      <c r="CQ80" s="66"/>
      <c r="CR80" s="65"/>
    </row>
    <row r="81" spans="1:96" ht="12.75">
      <c r="A81" s="13"/>
      <c r="B81" s="9"/>
      <c r="C81" s="9"/>
      <c r="D81" s="10"/>
      <c r="E81" s="9"/>
      <c r="F81" s="11"/>
      <c r="G81" s="9"/>
      <c r="H81" s="9"/>
      <c r="I81" s="9"/>
      <c r="J81" s="10"/>
      <c r="K81" s="9"/>
      <c r="L81" s="11"/>
      <c r="M81" s="9"/>
      <c r="N81" s="55"/>
      <c r="O81" s="56"/>
      <c r="P81" s="55"/>
      <c r="Q81" s="9"/>
      <c r="R81" s="10"/>
      <c r="S81" s="9"/>
      <c r="T81" s="11"/>
      <c r="U81" s="9"/>
      <c r="V81" s="55"/>
      <c r="W81" s="56"/>
      <c r="X81" s="55"/>
      <c r="Y81" s="9"/>
      <c r="Z81" s="10"/>
      <c r="AA81" s="9"/>
      <c r="AB81" s="11"/>
      <c r="AC81" s="9"/>
      <c r="AD81" s="55"/>
      <c r="AE81" s="56"/>
      <c r="AF81" s="55"/>
      <c r="AG81" s="9"/>
      <c r="AH81" s="10"/>
      <c r="AI81" s="9"/>
      <c r="AJ81" s="11"/>
      <c r="AK81" s="9"/>
      <c r="AL81" s="55"/>
      <c r="AM81" s="56"/>
      <c r="AN81" s="55"/>
      <c r="AO81" s="10"/>
      <c r="AP81" s="9"/>
      <c r="AQ81" s="11"/>
      <c r="AR81" s="9"/>
      <c r="AS81" s="55"/>
      <c r="AT81" s="56"/>
      <c r="AU81" s="55"/>
      <c r="AV81" s="10"/>
      <c r="AW81" s="9"/>
      <c r="AX81" s="11"/>
      <c r="AY81" s="9"/>
      <c r="AZ81" s="55"/>
      <c r="BA81" s="56"/>
      <c r="BB81" s="55"/>
      <c r="BC81" s="10"/>
      <c r="BD81" s="9"/>
      <c r="BE81" s="11"/>
      <c r="BF81" s="9"/>
      <c r="BG81" s="55"/>
      <c r="BH81" s="56"/>
      <c r="BI81" s="55"/>
      <c r="BJ81" s="10"/>
      <c r="BK81" s="9"/>
      <c r="BL81" s="11"/>
      <c r="BM81" s="9"/>
      <c r="BN81" s="55"/>
      <c r="BO81" s="56"/>
      <c r="BP81" s="55"/>
      <c r="BQ81" s="10"/>
      <c r="BR81" s="9"/>
      <c r="BS81" s="11"/>
      <c r="BT81" s="9"/>
      <c r="BU81" s="55"/>
      <c r="BV81" s="56"/>
      <c r="BW81" s="55"/>
      <c r="BX81" s="10"/>
      <c r="BY81" s="9"/>
      <c r="BZ81" s="11"/>
      <c r="CA81" s="9"/>
      <c r="CB81" s="55"/>
      <c r="CC81" s="56"/>
      <c r="CD81" s="55"/>
      <c r="CE81" s="10"/>
      <c r="CF81" s="9"/>
      <c r="CG81" s="11"/>
      <c r="CH81" s="9"/>
      <c r="CI81" s="55"/>
      <c r="CJ81" s="56"/>
      <c r="CK81" s="55"/>
      <c r="CL81" s="10"/>
      <c r="CM81" s="9"/>
      <c r="CN81" s="11"/>
      <c r="CO81" s="9"/>
      <c r="CP81" s="55"/>
      <c r="CQ81" s="56"/>
      <c r="CR81" s="55"/>
    </row>
    <row r="82" spans="1:96" ht="12.75">
      <c r="A82" s="9" t="s">
        <v>23</v>
      </c>
      <c r="B82" s="9"/>
      <c r="C82" s="9"/>
      <c r="D82" s="10">
        <v>4514503.39</v>
      </c>
      <c r="E82" s="15">
        <v>0.023454667088040004</v>
      </c>
      <c r="F82" s="11">
        <v>1794</v>
      </c>
      <c r="G82" s="15">
        <v>0.05989983305509182</v>
      </c>
      <c r="H82" s="9"/>
      <c r="I82" s="9"/>
      <c r="J82" s="10">
        <v>4280915.11</v>
      </c>
      <c r="K82" s="15">
        <v>0.023924645868552658</v>
      </c>
      <c r="L82" s="11">
        <v>480</v>
      </c>
      <c r="M82" s="15">
        <v>0.01775147928994083</v>
      </c>
      <c r="N82" s="57"/>
      <c r="O82" s="56"/>
      <c r="P82" s="57"/>
      <c r="Q82" s="9"/>
      <c r="R82" s="10">
        <v>5003188.600000005</v>
      </c>
      <c r="S82" s="15">
        <v>0.02995334177340666</v>
      </c>
      <c r="T82" s="11">
        <v>604</v>
      </c>
      <c r="U82" s="15">
        <v>0.023562456112974955</v>
      </c>
      <c r="V82" s="57"/>
      <c r="W82" s="56"/>
      <c r="X82" s="57"/>
      <c r="Y82" s="9"/>
      <c r="Z82" s="10">
        <v>5633727.15</v>
      </c>
      <c r="AA82" s="15">
        <v>0.03620573619282634</v>
      </c>
      <c r="AB82" s="11">
        <v>653</v>
      </c>
      <c r="AC82" s="15">
        <v>0.026940055282808698</v>
      </c>
      <c r="AD82" s="57"/>
      <c r="AE82" s="56"/>
      <c r="AF82" s="57"/>
      <c r="AG82" s="9"/>
      <c r="AH82" s="10">
        <v>6442311.229999999</v>
      </c>
      <c r="AI82" s="15">
        <v>0.044697436027340026</v>
      </c>
      <c r="AJ82" s="11">
        <v>825</v>
      </c>
      <c r="AK82" s="15">
        <v>0.036063997202308094</v>
      </c>
      <c r="AL82" s="57"/>
      <c r="AM82" s="56"/>
      <c r="AN82" s="57"/>
      <c r="AO82" s="10">
        <v>6819003.340000001</v>
      </c>
      <c r="AP82" s="15">
        <v>0.051093833584603246</v>
      </c>
      <c r="AQ82" s="11">
        <v>767</v>
      </c>
      <c r="AR82" s="15">
        <v>0.03650121353447865</v>
      </c>
      <c r="AS82" s="57"/>
      <c r="AT82" s="56"/>
      <c r="AU82" s="57"/>
      <c r="AV82" s="10">
        <v>7431822.359999998</v>
      </c>
      <c r="AW82" s="15">
        <v>0.060058282419028844</v>
      </c>
      <c r="AX82" s="11">
        <v>842</v>
      </c>
      <c r="AY82" s="15">
        <v>0.04276716781796018</v>
      </c>
      <c r="AZ82" s="57"/>
      <c r="BA82" s="56"/>
      <c r="BB82" s="57"/>
      <c r="BC82" s="10">
        <v>7412183.930000001</v>
      </c>
      <c r="BD82" s="15">
        <v>0.06629677625613115</v>
      </c>
      <c r="BE82" s="11">
        <v>817</v>
      </c>
      <c r="BF82" s="15">
        <v>0.04561188030370701</v>
      </c>
      <c r="BG82" s="57"/>
      <c r="BH82" s="56"/>
      <c r="BI82" s="57"/>
      <c r="BJ82" s="10">
        <v>7558499.010000001</v>
      </c>
      <c r="BK82" s="15">
        <v>0.07251341717607834</v>
      </c>
      <c r="BL82" s="11">
        <v>835</v>
      </c>
      <c r="BM82" s="15">
        <v>0.04957549130202458</v>
      </c>
      <c r="BN82" s="57"/>
      <c r="BO82" s="56"/>
      <c r="BP82" s="57"/>
      <c r="BQ82" s="10">
        <v>7074694.210000002</v>
      </c>
      <c r="BR82" s="15">
        <v>0.07341848309988896</v>
      </c>
      <c r="BS82" s="11">
        <v>780</v>
      </c>
      <c r="BT82" s="15">
        <v>0.0494641384995878</v>
      </c>
      <c r="BU82" s="57"/>
      <c r="BV82" s="56"/>
      <c r="BW82" s="57"/>
      <c r="BX82" s="10">
        <v>6732104.790000002</v>
      </c>
      <c r="BY82" s="15">
        <v>0.07482468566449059</v>
      </c>
      <c r="BZ82" s="11">
        <v>743</v>
      </c>
      <c r="CA82" s="15">
        <v>0.05024683843916954</v>
      </c>
      <c r="CB82" s="57"/>
      <c r="CC82" s="56"/>
      <c r="CD82" s="57"/>
      <c r="CE82" s="10">
        <v>6401808.109999999</v>
      </c>
      <c r="CF82" s="15">
        <v>0.0764255647986177</v>
      </c>
      <c r="CG82" s="11">
        <v>715</v>
      </c>
      <c r="CH82" s="15">
        <v>0.051583579828295215</v>
      </c>
      <c r="CI82" s="57"/>
      <c r="CJ82" s="56"/>
      <c r="CK82" s="57"/>
      <c r="CL82" s="10">
        <v>6199130.790000005</v>
      </c>
      <c r="CM82" s="15">
        <v>0.07897723058652008</v>
      </c>
      <c r="CN82" s="11">
        <v>696</v>
      </c>
      <c r="CO82" s="15">
        <v>0.05343980343980344</v>
      </c>
      <c r="CP82" s="57"/>
      <c r="CQ82" s="56"/>
      <c r="CR82" s="57"/>
    </row>
    <row r="83" spans="1:96" ht="12.75">
      <c r="A83" s="9" t="s">
        <v>64</v>
      </c>
      <c r="B83" s="9"/>
      <c r="C83" s="9"/>
      <c r="D83" s="10">
        <v>737253.75</v>
      </c>
      <c r="E83" s="15">
        <v>0.0038303307743576824</v>
      </c>
      <c r="F83" s="11">
        <v>86</v>
      </c>
      <c r="G83" s="15">
        <v>0.002871452420701169</v>
      </c>
      <c r="H83" s="9"/>
      <c r="I83" s="9"/>
      <c r="J83" s="10">
        <v>668263.22</v>
      </c>
      <c r="K83" s="15">
        <v>0.0037347063594257296</v>
      </c>
      <c r="L83" s="11">
        <v>79</v>
      </c>
      <c r="M83" s="15">
        <v>0.0029215976331360945</v>
      </c>
      <c r="N83" s="57"/>
      <c r="O83" s="56"/>
      <c r="P83" s="57"/>
      <c r="Q83" s="9"/>
      <c r="R83" s="10">
        <v>669606.76</v>
      </c>
      <c r="S83" s="15">
        <v>0.004008835512629581</v>
      </c>
      <c r="T83" s="11">
        <v>83</v>
      </c>
      <c r="U83" s="15">
        <v>0.003237887181087618</v>
      </c>
      <c r="V83" s="57"/>
      <c r="W83" s="56"/>
      <c r="X83" s="57"/>
      <c r="Y83" s="9"/>
      <c r="Z83" s="10">
        <v>682897.61</v>
      </c>
      <c r="AA83" s="15">
        <v>0.004388712846054607</v>
      </c>
      <c r="AB83" s="11">
        <v>88</v>
      </c>
      <c r="AC83" s="15">
        <v>0.003630512809934403</v>
      </c>
      <c r="AD83" s="57"/>
      <c r="AE83" s="56"/>
      <c r="AF83" s="57"/>
      <c r="AG83" s="9"/>
      <c r="AH83" s="10">
        <v>704205.23</v>
      </c>
      <c r="AI83" s="15">
        <v>0.004885850294140985</v>
      </c>
      <c r="AJ83" s="11">
        <v>92</v>
      </c>
      <c r="AK83" s="15">
        <v>0.004021682112257388</v>
      </c>
      <c r="AL83" s="57"/>
      <c r="AM83" s="56"/>
      <c r="AN83" s="57"/>
      <c r="AO83" s="10">
        <v>687634.69</v>
      </c>
      <c r="AP83" s="15">
        <v>0.005152350081978438</v>
      </c>
      <c r="AQ83" s="11">
        <v>94</v>
      </c>
      <c r="AR83" s="15">
        <v>0.004473421215438062</v>
      </c>
      <c r="AS83" s="57"/>
      <c r="AT83" s="56"/>
      <c r="AU83" s="57"/>
      <c r="AV83" s="10">
        <v>712513.25</v>
      </c>
      <c r="AW83" s="15">
        <v>0.005757985043630687</v>
      </c>
      <c r="AX83" s="11">
        <v>96</v>
      </c>
      <c r="AY83" s="15">
        <v>0.004876066639577408</v>
      </c>
      <c r="AZ83" s="57"/>
      <c r="BA83" s="56"/>
      <c r="BB83" s="57"/>
      <c r="BC83" s="10">
        <v>715166.54</v>
      </c>
      <c r="BD83" s="15">
        <v>0.006396662108768186</v>
      </c>
      <c r="BE83" s="11">
        <v>98</v>
      </c>
      <c r="BF83" s="15">
        <v>0.00547119249665029</v>
      </c>
      <c r="BG83" s="57"/>
      <c r="BH83" s="56"/>
      <c r="BI83" s="57"/>
      <c r="BJ83" s="10">
        <v>680945.83</v>
      </c>
      <c r="BK83" s="15">
        <v>0.006532740029438851</v>
      </c>
      <c r="BL83" s="11">
        <v>93</v>
      </c>
      <c r="BM83" s="15">
        <v>0.005521581665973995</v>
      </c>
      <c r="BN83" s="57"/>
      <c r="BO83" s="56"/>
      <c r="BP83" s="57"/>
      <c r="BQ83" s="10">
        <v>654212.7</v>
      </c>
      <c r="BR83" s="15">
        <v>0.0067891703348522126</v>
      </c>
      <c r="BS83" s="11">
        <v>90</v>
      </c>
      <c r="BT83" s="15">
        <v>0.005707400596106285</v>
      </c>
      <c r="BU83" s="57"/>
      <c r="BV83" s="56"/>
      <c r="BW83" s="57"/>
      <c r="BX83" s="10">
        <v>616614.63</v>
      </c>
      <c r="BY83" s="15">
        <v>0.006853428059291416</v>
      </c>
      <c r="BZ83" s="11">
        <v>84</v>
      </c>
      <c r="CA83" s="15">
        <v>0.005680665449381213</v>
      </c>
      <c r="CB83" s="57"/>
      <c r="CC83" s="56"/>
      <c r="CD83" s="57"/>
      <c r="CE83" s="10">
        <v>550265.3</v>
      </c>
      <c r="CF83" s="15">
        <v>0.0065691341600647895</v>
      </c>
      <c r="CG83" s="11">
        <v>75</v>
      </c>
      <c r="CH83" s="15">
        <v>0.005410865016954044</v>
      </c>
      <c r="CI83" s="57"/>
      <c r="CJ83" s="56"/>
      <c r="CK83" s="57"/>
      <c r="CL83" s="10">
        <v>521483.87</v>
      </c>
      <c r="CM83" s="15">
        <v>0.006643730103997503</v>
      </c>
      <c r="CN83" s="11">
        <v>73</v>
      </c>
      <c r="CO83" s="15">
        <v>0.005605036855036855</v>
      </c>
      <c r="CP83" s="57"/>
      <c r="CQ83" s="56"/>
      <c r="CR83" s="57"/>
    </row>
    <row r="84" spans="1:96" ht="12.75">
      <c r="A84" s="9" t="s">
        <v>65</v>
      </c>
      <c r="B84" s="9"/>
      <c r="C84" s="9"/>
      <c r="D84" s="10">
        <v>18219903.149999984</v>
      </c>
      <c r="E84" s="15">
        <v>0.09465975010810242</v>
      </c>
      <c r="F84" s="11">
        <v>1746</v>
      </c>
      <c r="G84" s="15">
        <v>0.05829716193656093</v>
      </c>
      <c r="H84" s="9"/>
      <c r="I84" s="9"/>
      <c r="J84" s="10">
        <v>17011808.97999999</v>
      </c>
      <c r="K84" s="15">
        <v>0.09507348194763986</v>
      </c>
      <c r="L84" s="11">
        <v>1677</v>
      </c>
      <c r="M84" s="15">
        <v>0.06201923076923077</v>
      </c>
      <c r="N84" s="57"/>
      <c r="O84" s="56"/>
      <c r="P84" s="57"/>
      <c r="Q84" s="9"/>
      <c r="R84" s="10">
        <v>15524501.870000023</v>
      </c>
      <c r="S84" s="15">
        <v>0.09294287054739472</v>
      </c>
      <c r="T84" s="11">
        <v>1572</v>
      </c>
      <c r="U84" s="15">
        <v>0.06132480299602091</v>
      </c>
      <c r="V84" s="57"/>
      <c r="W84" s="56"/>
      <c r="X84" s="57"/>
      <c r="Y84" s="9"/>
      <c r="Z84" s="10">
        <v>14261543.179999998</v>
      </c>
      <c r="AA84" s="15">
        <v>0.0916532974227695</v>
      </c>
      <c r="AB84" s="11">
        <v>1481</v>
      </c>
      <c r="AC84" s="15">
        <v>0.06109988035810058</v>
      </c>
      <c r="AD84" s="57"/>
      <c r="AE84" s="56"/>
      <c r="AF84" s="57"/>
      <c r="AG84" s="9"/>
      <c r="AH84" s="10">
        <v>12963171.329999983</v>
      </c>
      <c r="AI84" s="15">
        <v>0.08993985241444516</v>
      </c>
      <c r="AJ84" s="11">
        <v>1392</v>
      </c>
      <c r="AK84" s="15">
        <v>0.060849798915894385</v>
      </c>
      <c r="AL84" s="57"/>
      <c r="AM84" s="56"/>
      <c r="AN84" s="57"/>
      <c r="AO84" s="10">
        <v>11655145.910000015</v>
      </c>
      <c r="AP84" s="15">
        <v>0.08733037011972045</v>
      </c>
      <c r="AQ84" s="11">
        <v>1260</v>
      </c>
      <c r="AR84" s="15">
        <v>0.05996288012182934</v>
      </c>
      <c r="AS84" s="57"/>
      <c r="AT84" s="56"/>
      <c r="AU84" s="57"/>
      <c r="AV84" s="10">
        <v>10585362.269999979</v>
      </c>
      <c r="AW84" s="15">
        <v>0.08554277079348695</v>
      </c>
      <c r="AX84" s="11">
        <v>1174</v>
      </c>
      <c r="AY84" s="15">
        <v>0.05963023161316538</v>
      </c>
      <c r="AZ84" s="57"/>
      <c r="BA84" s="56"/>
      <c r="BB84" s="57"/>
      <c r="BC84" s="10">
        <v>9448096.249999993</v>
      </c>
      <c r="BD84" s="15">
        <v>0.08450658119767424</v>
      </c>
      <c r="BE84" s="11">
        <v>1074</v>
      </c>
      <c r="BF84" s="15">
        <v>0.05995980348369808</v>
      </c>
      <c r="BG84" s="57"/>
      <c r="BH84" s="56"/>
      <c r="BI84" s="57"/>
      <c r="BJ84" s="10">
        <v>8594513.120000001</v>
      </c>
      <c r="BK84" s="15">
        <v>0.08245254970217146</v>
      </c>
      <c r="BL84" s="11">
        <v>1009</v>
      </c>
      <c r="BM84" s="15">
        <v>0.059906192483524315</v>
      </c>
      <c r="BN84" s="57"/>
      <c r="BO84" s="56"/>
      <c r="BP84" s="57"/>
      <c r="BQ84" s="10">
        <v>7885233.670000007</v>
      </c>
      <c r="BR84" s="15">
        <v>0.0818299530347575</v>
      </c>
      <c r="BS84" s="11">
        <v>946</v>
      </c>
      <c r="BT84" s="15">
        <v>0.05999112182129494</v>
      </c>
      <c r="BU84" s="57"/>
      <c r="BV84" s="56"/>
      <c r="BW84" s="57"/>
      <c r="BX84" s="10">
        <v>7124634.359999999</v>
      </c>
      <c r="BY84" s="15">
        <v>0.07918749679198457</v>
      </c>
      <c r="BZ84" s="11">
        <v>857</v>
      </c>
      <c r="CA84" s="15">
        <v>0.05795631297761547</v>
      </c>
      <c r="CB84" s="57"/>
      <c r="CC84" s="56"/>
      <c r="CD84" s="57"/>
      <c r="CE84" s="10">
        <v>6474824.550000003</v>
      </c>
      <c r="CF84" s="15">
        <v>0.07729724395092903</v>
      </c>
      <c r="CG84" s="11">
        <v>785</v>
      </c>
      <c r="CH84" s="15">
        <v>0.056633720510785655</v>
      </c>
      <c r="CI84" s="57"/>
      <c r="CJ84" s="56"/>
      <c r="CK84" s="57"/>
      <c r="CL84" s="10">
        <v>5922675.629999994</v>
      </c>
      <c r="CM84" s="15">
        <v>0.07545517827664228</v>
      </c>
      <c r="CN84" s="11">
        <v>728</v>
      </c>
      <c r="CO84" s="15">
        <v>0.055896805896805894</v>
      </c>
      <c r="CP84" s="57"/>
      <c r="CQ84" s="56"/>
      <c r="CR84" s="57"/>
    </row>
    <row r="85" spans="1:96" ht="12.75">
      <c r="A85" s="9" t="s">
        <v>66</v>
      </c>
      <c r="B85" s="9"/>
      <c r="C85" s="9"/>
      <c r="D85" s="10">
        <v>11040315.050000003</v>
      </c>
      <c r="E85" s="15">
        <v>0.05735889236863059</v>
      </c>
      <c r="F85" s="11">
        <v>1690</v>
      </c>
      <c r="G85" s="15">
        <v>0.05642737896494157</v>
      </c>
      <c r="H85" s="9"/>
      <c r="I85" s="9"/>
      <c r="J85" s="10">
        <v>9962887.639999978</v>
      </c>
      <c r="K85" s="15">
        <v>0.05567934717004463</v>
      </c>
      <c r="L85" s="11">
        <v>1591</v>
      </c>
      <c r="M85" s="15">
        <v>0.058838757396449705</v>
      </c>
      <c r="N85" s="57"/>
      <c r="O85" s="56"/>
      <c r="P85" s="57"/>
      <c r="Q85" s="9"/>
      <c r="R85" s="10">
        <v>8942809.629999986</v>
      </c>
      <c r="S85" s="15">
        <v>0.05353926359320167</v>
      </c>
      <c r="T85" s="11">
        <v>1471</v>
      </c>
      <c r="U85" s="15">
        <v>0.057384723414215494</v>
      </c>
      <c r="V85" s="57"/>
      <c r="W85" s="56"/>
      <c r="X85" s="57"/>
      <c r="Y85" s="9"/>
      <c r="Z85" s="10">
        <v>8038655.519999998</v>
      </c>
      <c r="AA85" s="15">
        <v>0.05166125965154829</v>
      </c>
      <c r="AB85" s="11">
        <v>1374</v>
      </c>
      <c r="AC85" s="15">
        <v>0.05668550682783943</v>
      </c>
      <c r="AD85" s="57"/>
      <c r="AE85" s="56"/>
      <c r="AF85" s="57"/>
      <c r="AG85" s="9"/>
      <c r="AH85" s="10">
        <v>7343997.430000002</v>
      </c>
      <c r="AI85" s="15">
        <v>0.0509534301577626</v>
      </c>
      <c r="AJ85" s="11">
        <v>1285</v>
      </c>
      <c r="AK85" s="15">
        <v>0.056172407763595035</v>
      </c>
      <c r="AL85" s="57"/>
      <c r="AM85" s="56"/>
      <c r="AN85" s="57"/>
      <c r="AO85" s="10">
        <v>6633165.250000007</v>
      </c>
      <c r="AP85" s="15">
        <v>0.049701374896624344</v>
      </c>
      <c r="AQ85" s="11">
        <v>1185</v>
      </c>
      <c r="AR85" s="15">
        <v>0.05639366106695855</v>
      </c>
      <c r="AS85" s="57"/>
      <c r="AT85" s="56"/>
      <c r="AU85" s="57"/>
      <c r="AV85" s="10">
        <v>5951628.650000006</v>
      </c>
      <c r="AW85" s="15">
        <v>0.04809649329601089</v>
      </c>
      <c r="AX85" s="11">
        <v>1098</v>
      </c>
      <c r="AY85" s="15">
        <v>0.0557700121901666</v>
      </c>
      <c r="AZ85" s="57"/>
      <c r="BA85" s="56"/>
      <c r="BB85" s="57"/>
      <c r="BC85" s="10">
        <v>5327471.86</v>
      </c>
      <c r="BD85" s="15">
        <v>0.047650491845424976</v>
      </c>
      <c r="BE85" s="11">
        <v>1010</v>
      </c>
      <c r="BF85" s="15">
        <v>0.05638677981241626</v>
      </c>
      <c r="BG85" s="57"/>
      <c r="BH85" s="56"/>
      <c r="BI85" s="57"/>
      <c r="BJ85" s="10">
        <v>4819676.88</v>
      </c>
      <c r="BK85" s="15">
        <v>0.04623818033063946</v>
      </c>
      <c r="BL85" s="11">
        <v>942</v>
      </c>
      <c r="BM85" s="15">
        <v>0.055928278810188206</v>
      </c>
      <c r="BN85" s="57"/>
      <c r="BO85" s="56"/>
      <c r="BP85" s="57"/>
      <c r="BQ85" s="10">
        <v>4393371.21</v>
      </c>
      <c r="BR85" s="15">
        <v>0.04559273381413383</v>
      </c>
      <c r="BS85" s="11">
        <v>879</v>
      </c>
      <c r="BT85" s="15">
        <v>0.05574227915530471</v>
      </c>
      <c r="BU85" s="57"/>
      <c r="BV85" s="56"/>
      <c r="BW85" s="57"/>
      <c r="BX85" s="10">
        <v>4012327.92</v>
      </c>
      <c r="BY85" s="15">
        <v>0.04459544002387093</v>
      </c>
      <c r="BZ85" s="11">
        <v>826</v>
      </c>
      <c r="CA85" s="15">
        <v>0.055859876918915266</v>
      </c>
      <c r="CB85" s="57"/>
      <c r="CC85" s="56"/>
      <c r="CD85" s="57"/>
      <c r="CE85" s="10">
        <v>3646576.57</v>
      </c>
      <c r="CF85" s="15">
        <v>0.043533275155236785</v>
      </c>
      <c r="CG85" s="11">
        <v>761</v>
      </c>
      <c r="CH85" s="15">
        <v>0.054902243705360364</v>
      </c>
      <c r="CI85" s="57"/>
      <c r="CJ85" s="56"/>
      <c r="CK85" s="57"/>
      <c r="CL85" s="10">
        <v>3326841.1</v>
      </c>
      <c r="CM85" s="15">
        <v>0.042384118932165926</v>
      </c>
      <c r="CN85" s="11">
        <v>686</v>
      </c>
      <c r="CO85" s="15">
        <v>0.052671990171990174</v>
      </c>
      <c r="CP85" s="57"/>
      <c r="CQ85" s="56"/>
      <c r="CR85" s="57"/>
    </row>
    <row r="86" spans="1:96" ht="12.75">
      <c r="A86" s="9" t="s">
        <v>67</v>
      </c>
      <c r="B86" s="9"/>
      <c r="C86" s="9"/>
      <c r="D86" s="10">
        <v>16100487.449999973</v>
      </c>
      <c r="E86" s="15">
        <v>0.08364853018637687</v>
      </c>
      <c r="F86" s="11">
        <v>3669</v>
      </c>
      <c r="G86" s="15">
        <v>0.12250417362270451</v>
      </c>
      <c r="H86" s="9"/>
      <c r="I86" s="9"/>
      <c r="J86" s="10">
        <v>14607300.290000034</v>
      </c>
      <c r="K86" s="15">
        <v>0.08163546287509947</v>
      </c>
      <c r="L86" s="11">
        <v>3388</v>
      </c>
      <c r="M86" s="15">
        <v>0.12529585798816567</v>
      </c>
      <c r="N86" s="57"/>
      <c r="O86" s="56"/>
      <c r="P86" s="57"/>
      <c r="Q86" s="9"/>
      <c r="R86" s="10">
        <v>13379738.699999979</v>
      </c>
      <c r="S86" s="15">
        <v>0.08010249426135459</v>
      </c>
      <c r="T86" s="11">
        <v>3195</v>
      </c>
      <c r="U86" s="15">
        <v>0.1246391511274089</v>
      </c>
      <c r="V86" s="57"/>
      <c r="W86" s="56"/>
      <c r="X86" s="57"/>
      <c r="Y86" s="9"/>
      <c r="Z86" s="10">
        <v>12257732.259999992</v>
      </c>
      <c r="AA86" s="15">
        <v>0.0787755971688932</v>
      </c>
      <c r="AB86" s="11">
        <v>2961</v>
      </c>
      <c r="AC86" s="15">
        <v>0.12215850488881555</v>
      </c>
      <c r="AD86" s="57"/>
      <c r="AE86" s="56"/>
      <c r="AF86" s="57"/>
      <c r="AG86" s="9"/>
      <c r="AH86" s="10">
        <v>11278743.16999996</v>
      </c>
      <c r="AI86" s="15">
        <v>0.078253111858719</v>
      </c>
      <c r="AJ86" s="11">
        <v>2715</v>
      </c>
      <c r="AK86" s="15">
        <v>0.11868333624759574</v>
      </c>
      <c r="AL86" s="57"/>
      <c r="AM86" s="56"/>
      <c r="AN86" s="57"/>
      <c r="AO86" s="10">
        <v>10241296.429999998</v>
      </c>
      <c r="AP86" s="15">
        <v>0.07673659468907243</v>
      </c>
      <c r="AQ86" s="11">
        <v>2456</v>
      </c>
      <c r="AR86" s="15">
        <v>0.11688002665016894</v>
      </c>
      <c r="AS86" s="57"/>
      <c r="AT86" s="56"/>
      <c r="AU86" s="57"/>
      <c r="AV86" s="10">
        <v>9392576.109999977</v>
      </c>
      <c r="AW86" s="15">
        <v>0.07590358882805726</v>
      </c>
      <c r="AX86" s="11">
        <v>2288</v>
      </c>
      <c r="AY86" s="15">
        <v>0.11621292157659488</v>
      </c>
      <c r="AZ86" s="57"/>
      <c r="BA86" s="56"/>
      <c r="BB86" s="57"/>
      <c r="BC86" s="10">
        <v>8577962.65999999</v>
      </c>
      <c r="BD86" s="15">
        <v>0.07672384773153719</v>
      </c>
      <c r="BE86" s="11">
        <v>2097</v>
      </c>
      <c r="BF86" s="15">
        <v>0.11707235372934345</v>
      </c>
      <c r="BG86" s="57"/>
      <c r="BH86" s="56"/>
      <c r="BI86" s="57"/>
      <c r="BJ86" s="10">
        <v>7910606.799999979</v>
      </c>
      <c r="BK86" s="15">
        <v>0.07589140783711244</v>
      </c>
      <c r="BL86" s="11">
        <v>1953</v>
      </c>
      <c r="BM86" s="15">
        <v>0.1159532149854539</v>
      </c>
      <c r="BN86" s="57"/>
      <c r="BO86" s="56"/>
      <c r="BP86" s="57"/>
      <c r="BQ86" s="10">
        <v>7291017.020000009</v>
      </c>
      <c r="BR86" s="15">
        <v>0.0756633988656696</v>
      </c>
      <c r="BS86" s="11">
        <v>1843</v>
      </c>
      <c r="BT86" s="15">
        <v>0.11687488109582092</v>
      </c>
      <c r="BU86" s="57"/>
      <c r="BV86" s="56"/>
      <c r="BW86" s="57"/>
      <c r="BX86" s="10">
        <v>6761952.839999997</v>
      </c>
      <c r="BY86" s="15">
        <v>0.07515643495072648</v>
      </c>
      <c r="BZ86" s="11">
        <v>1720</v>
      </c>
      <c r="CA86" s="15">
        <v>0.11631838777304389</v>
      </c>
      <c r="CB86" s="57"/>
      <c r="CC86" s="56"/>
      <c r="CD86" s="57"/>
      <c r="CE86" s="10">
        <v>6258696.209999996</v>
      </c>
      <c r="CF86" s="15">
        <v>0.07471707750893798</v>
      </c>
      <c r="CG86" s="11">
        <v>1605</v>
      </c>
      <c r="CH86" s="15">
        <v>0.11579251136281654</v>
      </c>
      <c r="CI86" s="57"/>
      <c r="CJ86" s="56"/>
      <c r="CK86" s="57"/>
      <c r="CL86" s="10">
        <v>5804973.830000007</v>
      </c>
      <c r="CM86" s="15">
        <v>0.07395565156653595</v>
      </c>
      <c r="CN86" s="11">
        <v>1481</v>
      </c>
      <c r="CO86" s="15">
        <v>0.11371314496314497</v>
      </c>
      <c r="CP86" s="57"/>
      <c r="CQ86" s="56"/>
      <c r="CR86" s="57"/>
    </row>
    <row r="87" spans="1:96" ht="12.75">
      <c r="A87" s="9" t="s">
        <v>68</v>
      </c>
      <c r="B87" s="9"/>
      <c r="C87" s="9"/>
      <c r="D87" s="10">
        <v>98942591.48999998</v>
      </c>
      <c r="E87" s="15">
        <v>0.5140466943421413</v>
      </c>
      <c r="F87" s="11">
        <v>12154</v>
      </c>
      <c r="G87" s="15">
        <v>0.40580968280467444</v>
      </c>
      <c r="H87" s="9"/>
      <c r="I87" s="9"/>
      <c r="J87" s="10">
        <v>92352020.68000011</v>
      </c>
      <c r="K87" s="15">
        <v>0.5161254856124101</v>
      </c>
      <c r="L87" s="11">
        <v>11545</v>
      </c>
      <c r="M87" s="15">
        <v>0.42696005917159763</v>
      </c>
      <c r="N87" s="57"/>
      <c r="O87" s="56"/>
      <c r="P87" s="57"/>
      <c r="Q87" s="9"/>
      <c r="R87" s="10">
        <v>86400899.92000026</v>
      </c>
      <c r="S87" s="15">
        <v>0.5172692640116883</v>
      </c>
      <c r="T87" s="11">
        <v>10961</v>
      </c>
      <c r="U87" s="15">
        <v>0.42759616134820944</v>
      </c>
      <c r="V87" s="57"/>
      <c r="W87" s="56"/>
      <c r="X87" s="57"/>
      <c r="Y87" s="9"/>
      <c r="Z87" s="10">
        <v>80168488.88000065</v>
      </c>
      <c r="AA87" s="15">
        <v>0.5152111705244432</v>
      </c>
      <c r="AB87" s="11">
        <v>10345</v>
      </c>
      <c r="AC87" s="15">
        <v>0.42679153430422045</v>
      </c>
      <c r="AD87" s="57"/>
      <c r="AE87" s="56"/>
      <c r="AF87" s="57"/>
      <c r="AG87" s="9"/>
      <c r="AH87" s="10">
        <v>73642308.67999993</v>
      </c>
      <c r="AI87" s="15">
        <v>0.5109381188853126</v>
      </c>
      <c r="AJ87" s="11">
        <v>9739</v>
      </c>
      <c r="AK87" s="15">
        <v>0.4257300227312467</v>
      </c>
      <c r="AL87" s="57"/>
      <c r="AM87" s="56"/>
      <c r="AN87" s="57"/>
      <c r="AO87" s="10">
        <v>68021483.94999999</v>
      </c>
      <c r="AP87" s="15">
        <v>0.5096754185075761</v>
      </c>
      <c r="AQ87" s="11">
        <v>8981</v>
      </c>
      <c r="AR87" s="15">
        <v>0.427402084423928</v>
      </c>
      <c r="AS87" s="57"/>
      <c r="AT87" s="56"/>
      <c r="AU87" s="57"/>
      <c r="AV87" s="10">
        <v>62345019.99999968</v>
      </c>
      <c r="AW87" s="15">
        <v>0.5038245853039985</v>
      </c>
      <c r="AX87" s="11">
        <v>8375</v>
      </c>
      <c r="AY87" s="15">
        <v>0.42538602194229985</v>
      </c>
      <c r="AZ87" s="57"/>
      <c r="BA87" s="56"/>
      <c r="BB87" s="57"/>
      <c r="BC87" s="10">
        <v>56411551.82999984</v>
      </c>
      <c r="BD87" s="15">
        <v>0.5045616872508781</v>
      </c>
      <c r="BE87" s="11">
        <v>7711</v>
      </c>
      <c r="BF87" s="15">
        <v>0.4304935238945958</v>
      </c>
      <c r="BG87" s="57"/>
      <c r="BH87" s="56"/>
      <c r="BI87" s="57"/>
      <c r="BJ87" s="10">
        <v>52274245.45999999</v>
      </c>
      <c r="BK87" s="15">
        <v>0.501499591862181</v>
      </c>
      <c r="BL87" s="11">
        <v>7272</v>
      </c>
      <c r="BM87" s="15">
        <v>0.431752063171644</v>
      </c>
      <c r="BN87" s="57"/>
      <c r="BO87" s="56"/>
      <c r="BP87" s="57"/>
      <c r="BQ87" s="10">
        <v>48091145.260000244</v>
      </c>
      <c r="BR87" s="15">
        <v>0.49907159669670476</v>
      </c>
      <c r="BS87" s="11">
        <v>6811</v>
      </c>
      <c r="BT87" s="15">
        <v>0.4319233940008878</v>
      </c>
      <c r="BU87" s="57"/>
      <c r="BV87" s="56"/>
      <c r="BW87" s="57"/>
      <c r="BX87" s="10">
        <v>44795380.100000046</v>
      </c>
      <c r="BY87" s="15">
        <v>0.4978829563352474</v>
      </c>
      <c r="BZ87" s="11">
        <v>6439</v>
      </c>
      <c r="CA87" s="15">
        <v>0.4354500574829242</v>
      </c>
      <c r="CB87" s="57"/>
      <c r="CC87" s="56"/>
      <c r="CD87" s="57"/>
      <c r="CE87" s="10">
        <v>41507126.96999998</v>
      </c>
      <c r="CF87" s="15">
        <v>0.4955171363063842</v>
      </c>
      <c r="CG87" s="11">
        <v>6049</v>
      </c>
      <c r="CH87" s="15">
        <v>0.4364042998340668</v>
      </c>
      <c r="CI87" s="57"/>
      <c r="CJ87" s="56"/>
      <c r="CK87" s="57"/>
      <c r="CL87" s="10">
        <v>38682628.3000001</v>
      </c>
      <c r="CM87" s="15">
        <v>0.49281858351334334</v>
      </c>
      <c r="CN87" s="11">
        <v>5716</v>
      </c>
      <c r="CO87" s="15">
        <v>0.43888206388206386</v>
      </c>
      <c r="CP87" s="57"/>
      <c r="CQ87" s="56"/>
      <c r="CR87" s="57"/>
    </row>
    <row r="88" spans="1:96" ht="12.75">
      <c r="A88" s="9" t="s">
        <v>69</v>
      </c>
      <c r="B88" s="9"/>
      <c r="C88" s="9"/>
      <c r="D88" s="10">
        <v>106656.44</v>
      </c>
      <c r="E88" s="15">
        <v>0.0005541232505300021</v>
      </c>
      <c r="F88" s="11">
        <v>38</v>
      </c>
      <c r="G88" s="15">
        <v>0.0012687813021702839</v>
      </c>
      <c r="H88" s="9"/>
      <c r="I88" s="9"/>
      <c r="J88" s="10">
        <v>91593.13</v>
      </c>
      <c r="K88" s="15">
        <v>0.0005118842917775836</v>
      </c>
      <c r="L88" s="11">
        <v>33</v>
      </c>
      <c r="M88" s="15">
        <v>0.0012204142011834319</v>
      </c>
      <c r="N88" s="57"/>
      <c r="O88" s="56"/>
      <c r="P88" s="57"/>
      <c r="Q88" s="9"/>
      <c r="R88" s="10">
        <v>101782.03</v>
      </c>
      <c r="S88" s="15">
        <v>0.000609353789097842</v>
      </c>
      <c r="T88" s="11">
        <v>30</v>
      </c>
      <c r="U88" s="15">
        <v>0.0011703206678629944</v>
      </c>
      <c r="V88" s="57"/>
      <c r="W88" s="56"/>
      <c r="X88" s="57"/>
      <c r="Y88" s="9"/>
      <c r="Z88" s="10">
        <v>103230.45</v>
      </c>
      <c r="AA88" s="15">
        <v>0.0006634212733867932</v>
      </c>
      <c r="AB88" s="11">
        <v>27</v>
      </c>
      <c r="AC88" s="15">
        <v>0.0011139073394116918</v>
      </c>
      <c r="AD88" s="57"/>
      <c r="AE88" s="56"/>
      <c r="AF88" s="57"/>
      <c r="AG88" s="9"/>
      <c r="AH88" s="10">
        <v>93590.48</v>
      </c>
      <c r="AI88" s="15">
        <v>0.0006493406392860729</v>
      </c>
      <c r="AJ88" s="11">
        <v>26</v>
      </c>
      <c r="AK88" s="15">
        <v>0.00113656233607274</v>
      </c>
      <c r="AL88" s="57"/>
      <c r="AM88" s="56"/>
      <c r="AN88" s="57"/>
      <c r="AO88" s="10">
        <v>73916.53</v>
      </c>
      <c r="AP88" s="15">
        <v>0.0005538461699846201</v>
      </c>
      <c r="AQ88" s="11">
        <v>23</v>
      </c>
      <c r="AR88" s="15">
        <v>0.001094560510160377</v>
      </c>
      <c r="AS88" s="57"/>
      <c r="AT88" s="56"/>
      <c r="AU88" s="57"/>
      <c r="AV88" s="10">
        <v>70780.76</v>
      </c>
      <c r="AW88" s="15">
        <v>0.0005719957593164944</v>
      </c>
      <c r="AX88" s="11">
        <v>22</v>
      </c>
      <c r="AY88" s="15">
        <v>0.0011174319382364893</v>
      </c>
      <c r="AZ88" s="57"/>
      <c r="BA88" s="56"/>
      <c r="BB88" s="57"/>
      <c r="BC88" s="10">
        <v>69161.41</v>
      </c>
      <c r="BD88" s="15">
        <v>0.0006186002084716955</v>
      </c>
      <c r="BE88" s="11">
        <v>21</v>
      </c>
      <c r="BF88" s="15">
        <v>0.001172398392139348</v>
      </c>
      <c r="BG88" s="57"/>
      <c r="BH88" s="56"/>
      <c r="BI88" s="57"/>
      <c r="BJ88" s="10">
        <v>66653.12</v>
      </c>
      <c r="BK88" s="15">
        <v>0.0006394451451607997</v>
      </c>
      <c r="BL88" s="11">
        <v>21</v>
      </c>
      <c r="BM88" s="15">
        <v>0.0012468087632844505</v>
      </c>
      <c r="BN88" s="57"/>
      <c r="BO88" s="56"/>
      <c r="BP88" s="57"/>
      <c r="BQ88" s="10">
        <v>60830.39</v>
      </c>
      <c r="BR88" s="15">
        <v>0.0006312746286421691</v>
      </c>
      <c r="BS88" s="11">
        <v>20</v>
      </c>
      <c r="BT88" s="15">
        <v>0.0012683112435791742</v>
      </c>
      <c r="BU88" s="57"/>
      <c r="BV88" s="56"/>
      <c r="BW88" s="57"/>
      <c r="BX88" s="10">
        <v>43734.51</v>
      </c>
      <c r="BY88" s="15">
        <v>0.0004860918042008849</v>
      </c>
      <c r="BZ88" s="11">
        <v>13</v>
      </c>
      <c r="CA88" s="15">
        <v>0.0008791506052613782</v>
      </c>
      <c r="CB88" s="57"/>
      <c r="CC88" s="56"/>
      <c r="CD88" s="57"/>
      <c r="CE88" s="10">
        <v>35573.35</v>
      </c>
      <c r="CF88" s="15">
        <v>0.0004246789842516705</v>
      </c>
      <c r="CG88" s="11">
        <v>11</v>
      </c>
      <c r="CH88" s="15">
        <v>0.0007935935358199264</v>
      </c>
      <c r="CI88" s="57"/>
      <c r="CJ88" s="56"/>
      <c r="CK88" s="57"/>
      <c r="CL88" s="10">
        <v>34553.52</v>
      </c>
      <c r="CM88" s="15">
        <v>0.0004402135410690264</v>
      </c>
      <c r="CN88" s="11">
        <v>11</v>
      </c>
      <c r="CO88" s="15">
        <v>0.0008445945945945946</v>
      </c>
      <c r="CP88" s="57"/>
      <c r="CQ88" s="56"/>
      <c r="CR88" s="57"/>
    </row>
    <row r="89" spans="1:96" ht="12.75">
      <c r="A89" s="9" t="s">
        <v>70</v>
      </c>
      <c r="B89" s="9"/>
      <c r="C89" s="9"/>
      <c r="D89" s="10">
        <v>17586837.65</v>
      </c>
      <c r="E89" s="15">
        <v>0.0913707193411052</v>
      </c>
      <c r="F89" s="11">
        <v>4963</v>
      </c>
      <c r="G89" s="15">
        <v>0.1657095158597663</v>
      </c>
      <c r="H89" s="9"/>
      <c r="I89" s="9"/>
      <c r="J89" s="10">
        <v>15941414.110000022</v>
      </c>
      <c r="K89" s="15">
        <v>0.08909139224339795</v>
      </c>
      <c r="L89" s="11">
        <v>4663</v>
      </c>
      <c r="M89" s="15">
        <v>0.172448224852071</v>
      </c>
      <c r="N89" s="57"/>
      <c r="O89" s="56"/>
      <c r="P89" s="57"/>
      <c r="Q89" s="9"/>
      <c r="R89" s="10">
        <v>14478956.989999974</v>
      </c>
      <c r="S89" s="15">
        <v>0.08668334974298673</v>
      </c>
      <c r="T89" s="11">
        <v>4359</v>
      </c>
      <c r="U89" s="15">
        <v>0.1700475930404931</v>
      </c>
      <c r="V89" s="57"/>
      <c r="W89" s="56"/>
      <c r="X89" s="57"/>
      <c r="Y89" s="9"/>
      <c r="Z89" s="10">
        <v>13213998.390000006</v>
      </c>
      <c r="AA89" s="15">
        <v>0.0849211413727717</v>
      </c>
      <c r="AB89" s="11">
        <v>4090</v>
      </c>
      <c r="AC89" s="15">
        <v>0.16873633400717852</v>
      </c>
      <c r="AD89" s="57"/>
      <c r="AE89" s="56"/>
      <c r="AF89" s="57"/>
      <c r="AG89" s="9"/>
      <c r="AH89" s="10">
        <v>11937485.890000047</v>
      </c>
      <c r="AI89" s="15">
        <v>0.08282353845477773</v>
      </c>
      <c r="AJ89" s="11">
        <v>3837</v>
      </c>
      <c r="AK89" s="15">
        <v>0.16773037244273475</v>
      </c>
      <c r="AL89" s="57"/>
      <c r="AM89" s="56"/>
      <c r="AN89" s="57"/>
      <c r="AO89" s="10">
        <v>10866824.09000002</v>
      </c>
      <c r="AP89" s="15">
        <v>0.08142358552468734</v>
      </c>
      <c r="AQ89" s="11">
        <v>3479</v>
      </c>
      <c r="AR89" s="15">
        <v>0.16556417455860659</v>
      </c>
      <c r="AS89" s="57"/>
      <c r="AT89" s="56"/>
      <c r="AU89" s="57"/>
      <c r="AV89" s="10">
        <v>9787254.02000002</v>
      </c>
      <c r="AW89" s="15">
        <v>0.07909307267671785</v>
      </c>
      <c r="AX89" s="11">
        <v>3210</v>
      </c>
      <c r="AY89" s="15">
        <v>0.16304347826086957</v>
      </c>
      <c r="AZ89" s="57"/>
      <c r="BA89" s="56"/>
      <c r="BB89" s="57"/>
      <c r="BC89" s="10">
        <v>8535552.299999997</v>
      </c>
      <c r="BD89" s="15">
        <v>0.07634451686570672</v>
      </c>
      <c r="BE89" s="11">
        <v>2839</v>
      </c>
      <c r="BF89" s="15">
        <v>0.15849709691826708</v>
      </c>
      <c r="BG89" s="57"/>
      <c r="BH89" s="56"/>
      <c r="BI89" s="57"/>
      <c r="BJ89" s="10">
        <v>7774615.9199999925</v>
      </c>
      <c r="BK89" s="15">
        <v>0.07458676211306926</v>
      </c>
      <c r="BL89" s="11">
        <v>2622</v>
      </c>
      <c r="BM89" s="15">
        <v>0.15567297987294426</v>
      </c>
      <c r="BN89" s="57"/>
      <c r="BO89" s="56"/>
      <c r="BP89" s="57"/>
      <c r="BQ89" s="10">
        <v>7066586.330000015</v>
      </c>
      <c r="BR89" s="15">
        <v>0.07333434260800543</v>
      </c>
      <c r="BS89" s="11">
        <v>2405</v>
      </c>
      <c r="BT89" s="15">
        <v>0.15251442704039572</v>
      </c>
      <c r="BU89" s="57"/>
      <c r="BV89" s="56"/>
      <c r="BW89" s="57"/>
      <c r="BX89" s="10">
        <v>6460743.409999991</v>
      </c>
      <c r="BY89" s="15">
        <v>0.07180861110930185</v>
      </c>
      <c r="BZ89" s="11">
        <v>2196</v>
      </c>
      <c r="CA89" s="15">
        <v>0.14850882531953744</v>
      </c>
      <c r="CB89" s="57"/>
      <c r="CC89" s="56"/>
      <c r="CD89" s="57"/>
      <c r="CE89" s="10">
        <v>5918395.060000004</v>
      </c>
      <c r="CF89" s="15">
        <v>0.07065452093999881</v>
      </c>
      <c r="CG89" s="11">
        <v>2006</v>
      </c>
      <c r="CH89" s="15">
        <v>0.14472260298679748</v>
      </c>
      <c r="CI89" s="57"/>
      <c r="CJ89" s="56"/>
      <c r="CK89" s="57"/>
      <c r="CL89" s="10">
        <v>5476221.489999999</v>
      </c>
      <c r="CM89" s="15">
        <v>0.06976733061613404</v>
      </c>
      <c r="CN89" s="11">
        <v>1844</v>
      </c>
      <c r="CO89" s="15">
        <v>0.1415847665847666</v>
      </c>
      <c r="CP89" s="57"/>
      <c r="CQ89" s="56"/>
      <c r="CR89" s="57"/>
    </row>
    <row r="90" spans="1:96" ht="12.75">
      <c r="A90" s="9" t="s">
        <v>71</v>
      </c>
      <c r="B90" s="9"/>
      <c r="C90" s="9"/>
      <c r="D90" s="10">
        <v>0</v>
      </c>
      <c r="E90" s="15">
        <v>0</v>
      </c>
      <c r="F90" s="11">
        <v>0</v>
      </c>
      <c r="G90" s="15">
        <v>0</v>
      </c>
      <c r="H90" s="9"/>
      <c r="I90" s="9"/>
      <c r="J90" s="10">
        <v>0</v>
      </c>
      <c r="K90" s="15">
        <v>0</v>
      </c>
      <c r="L90" s="11">
        <v>0</v>
      </c>
      <c r="M90" s="15">
        <v>0</v>
      </c>
      <c r="N90" s="57"/>
      <c r="O90" s="56"/>
      <c r="P90" s="57"/>
      <c r="Q90" s="9"/>
      <c r="R90" s="10">
        <v>1047.3</v>
      </c>
      <c r="S90" s="15">
        <v>6.270028445317604E-06</v>
      </c>
      <c r="T90" s="11">
        <v>1</v>
      </c>
      <c r="U90" s="15">
        <v>3.901068892876648E-05</v>
      </c>
      <c r="V90" s="57"/>
      <c r="W90" s="56"/>
      <c r="X90" s="57"/>
      <c r="Y90" s="9"/>
      <c r="Z90" s="10">
        <v>1047.3</v>
      </c>
      <c r="AA90" s="15">
        <v>6.730582881484955E-06</v>
      </c>
      <c r="AB90" s="11">
        <v>1</v>
      </c>
      <c r="AC90" s="15">
        <v>4.125582738561822E-05</v>
      </c>
      <c r="AD90" s="57"/>
      <c r="AE90" s="56"/>
      <c r="AF90" s="57"/>
      <c r="AG90" s="9"/>
      <c r="AH90" s="10">
        <v>1047.3</v>
      </c>
      <c r="AI90" s="15">
        <v>7.266278060806015E-06</v>
      </c>
      <c r="AJ90" s="11">
        <v>1</v>
      </c>
      <c r="AK90" s="15">
        <v>4.371393600279769E-05</v>
      </c>
      <c r="AL90" s="57"/>
      <c r="AM90" s="56"/>
      <c r="AN90" s="57"/>
      <c r="AO90" s="10">
        <v>1047.3</v>
      </c>
      <c r="AP90" s="15">
        <v>7.847271697208902E-06</v>
      </c>
      <c r="AQ90" s="11">
        <v>1</v>
      </c>
      <c r="AR90" s="15">
        <v>4.758958739827726E-05</v>
      </c>
      <c r="AS90" s="57"/>
      <c r="AT90" s="56"/>
      <c r="AU90" s="57"/>
      <c r="AV90" s="10">
        <v>1047.3</v>
      </c>
      <c r="AW90" s="15">
        <v>8.463474519518646E-06</v>
      </c>
      <c r="AX90" s="11">
        <v>1</v>
      </c>
      <c r="AY90" s="15">
        <v>5.079236082893133E-05</v>
      </c>
      <c r="AZ90" s="57"/>
      <c r="BA90" s="56"/>
      <c r="BB90" s="57"/>
      <c r="BC90" s="10">
        <v>1047.3</v>
      </c>
      <c r="BD90" s="15">
        <v>9.36736249784969E-06</v>
      </c>
      <c r="BE90" s="11">
        <v>1</v>
      </c>
      <c r="BF90" s="15">
        <v>5.582849486377847E-05</v>
      </c>
      <c r="BG90" s="57"/>
      <c r="BH90" s="56"/>
      <c r="BI90" s="57"/>
      <c r="BJ90" s="10">
        <v>1047.3</v>
      </c>
      <c r="BK90" s="15">
        <v>1.0047405140628159E-05</v>
      </c>
      <c r="BL90" s="11">
        <v>1</v>
      </c>
      <c r="BM90" s="15">
        <v>5.937184587068812E-05</v>
      </c>
      <c r="BN90" s="57"/>
      <c r="BO90" s="56"/>
      <c r="BP90" s="57"/>
      <c r="BQ90" s="10">
        <v>1047.3</v>
      </c>
      <c r="BR90" s="15">
        <v>1.08684806817274E-05</v>
      </c>
      <c r="BS90" s="11">
        <v>1</v>
      </c>
      <c r="BT90" s="15">
        <v>6.341556217895871E-05</v>
      </c>
      <c r="BU90" s="57"/>
      <c r="BV90" s="56"/>
      <c r="BW90" s="57"/>
      <c r="BX90" s="10">
        <v>1047.3</v>
      </c>
      <c r="BY90" s="15">
        <v>1.1640325832839714E-05</v>
      </c>
      <c r="BZ90" s="11">
        <v>1</v>
      </c>
      <c r="CA90" s="15">
        <v>6.762696963549064E-05</v>
      </c>
      <c r="CB90" s="57"/>
      <c r="CC90" s="56"/>
      <c r="CD90" s="57"/>
      <c r="CE90" s="10">
        <v>1047.3</v>
      </c>
      <c r="CF90" s="15">
        <v>1.250279493516283E-05</v>
      </c>
      <c r="CG90" s="11">
        <v>1</v>
      </c>
      <c r="CH90" s="15">
        <v>7.214486689272058E-05</v>
      </c>
      <c r="CI90" s="57"/>
      <c r="CJ90" s="56"/>
      <c r="CK90" s="57"/>
      <c r="CL90" s="10">
        <v>1047.3</v>
      </c>
      <c r="CM90" s="15">
        <v>1.3342653413070257E-05</v>
      </c>
      <c r="CN90" s="11">
        <v>1</v>
      </c>
      <c r="CO90" s="15">
        <v>7.678132678132678E-05</v>
      </c>
      <c r="CP90" s="57"/>
      <c r="CQ90" s="56"/>
      <c r="CR90" s="57"/>
    </row>
    <row r="91" spans="1:96" ht="12.75">
      <c r="A91" s="9" t="s">
        <v>72</v>
      </c>
      <c r="B91" s="9"/>
      <c r="C91" s="9"/>
      <c r="D91" s="10">
        <v>17588367.34000002</v>
      </c>
      <c r="E91" s="15">
        <v>0.09137866669801224</v>
      </c>
      <c r="F91" s="11">
        <v>2243</v>
      </c>
      <c r="G91" s="15">
        <v>0.0748914858096828</v>
      </c>
      <c r="H91" s="9"/>
      <c r="I91" s="9"/>
      <c r="J91" s="10">
        <v>16871022.559999984</v>
      </c>
      <c r="K91" s="15">
        <v>0.09428667231580826</v>
      </c>
      <c r="L91" s="11">
        <v>2120</v>
      </c>
      <c r="M91" s="15">
        <v>0.07840236686390532</v>
      </c>
      <c r="N91" s="57"/>
      <c r="O91" s="56"/>
      <c r="P91" s="57"/>
      <c r="Q91" s="9"/>
      <c r="R91" s="10">
        <v>15762717.279999979</v>
      </c>
      <c r="S91" s="15">
        <v>0.09436903057490614</v>
      </c>
      <c r="T91" s="11">
        <v>1990</v>
      </c>
      <c r="U91" s="15">
        <v>0.0776312709682453</v>
      </c>
      <c r="V91" s="57"/>
      <c r="W91" s="56"/>
      <c r="X91" s="57"/>
      <c r="Y91" s="9"/>
      <c r="Z91" s="10">
        <v>14820609.559999999</v>
      </c>
      <c r="AA91" s="15">
        <v>0.09524619593020936</v>
      </c>
      <c r="AB91" s="11">
        <v>1881</v>
      </c>
      <c r="AC91" s="15">
        <v>0.07760221131234787</v>
      </c>
      <c r="AD91" s="57"/>
      <c r="AE91" s="56"/>
      <c r="AF91" s="57"/>
      <c r="AG91" s="9"/>
      <c r="AH91" s="10">
        <v>13720324.529999992</v>
      </c>
      <c r="AI91" s="15">
        <v>0.09519306131908484</v>
      </c>
      <c r="AJ91" s="11">
        <v>1760</v>
      </c>
      <c r="AK91" s="15">
        <v>0.07693652736492394</v>
      </c>
      <c r="AL91" s="57"/>
      <c r="AM91" s="56"/>
      <c r="AN91" s="57"/>
      <c r="AO91" s="10">
        <v>12925373.61</v>
      </c>
      <c r="AP91" s="15">
        <v>0.09684800773952436</v>
      </c>
      <c r="AQ91" s="11">
        <v>1653</v>
      </c>
      <c r="AR91" s="15">
        <v>0.0786655879693523</v>
      </c>
      <c r="AS91" s="57"/>
      <c r="AT91" s="56"/>
      <c r="AU91" s="57"/>
      <c r="AV91" s="10">
        <v>12167400.530000025</v>
      </c>
      <c r="AW91" s="15">
        <v>0.09832758937690526</v>
      </c>
      <c r="AX91" s="11">
        <v>1560</v>
      </c>
      <c r="AY91" s="15">
        <v>0.07923608289313287</v>
      </c>
      <c r="AZ91" s="57"/>
      <c r="BA91" s="56"/>
      <c r="BB91" s="57"/>
      <c r="BC91" s="10">
        <v>10330296.099999994</v>
      </c>
      <c r="BD91" s="15">
        <v>0.09239723887980796</v>
      </c>
      <c r="BE91" s="11">
        <v>1312</v>
      </c>
      <c r="BF91" s="15">
        <v>0.07324698526127736</v>
      </c>
      <c r="BG91" s="57"/>
      <c r="BH91" s="56"/>
      <c r="BI91" s="57"/>
      <c r="BJ91" s="10">
        <v>9761941.180000002</v>
      </c>
      <c r="BK91" s="15">
        <v>0.09365241859490282</v>
      </c>
      <c r="BL91" s="11">
        <v>1205</v>
      </c>
      <c r="BM91" s="15">
        <v>0.07154307427417918</v>
      </c>
      <c r="BN91" s="57"/>
      <c r="BO91" s="56"/>
      <c r="BP91" s="57"/>
      <c r="BQ91" s="10">
        <v>9222766.440000003</v>
      </c>
      <c r="BR91" s="15">
        <v>0.09571035890883588</v>
      </c>
      <c r="BS91" s="11">
        <v>1130</v>
      </c>
      <c r="BT91" s="15">
        <v>0.07165958526222335</v>
      </c>
      <c r="BU91" s="57"/>
      <c r="BV91" s="56"/>
      <c r="BW91" s="57"/>
      <c r="BX91" s="10">
        <v>8890764.42</v>
      </c>
      <c r="BY91" s="15">
        <v>0.09881733481506559</v>
      </c>
      <c r="BZ91" s="11">
        <v>1075</v>
      </c>
      <c r="CA91" s="15">
        <v>0.07269899235815243</v>
      </c>
      <c r="CB91" s="57"/>
      <c r="CC91" s="56"/>
      <c r="CD91" s="57"/>
      <c r="CE91" s="10">
        <v>8525501.129999995</v>
      </c>
      <c r="CF91" s="15">
        <v>0.10177847068451153</v>
      </c>
      <c r="CG91" s="11">
        <v>1031</v>
      </c>
      <c r="CH91" s="15">
        <v>0.07438135776639491</v>
      </c>
      <c r="CI91" s="57"/>
      <c r="CJ91" s="56"/>
      <c r="CK91" s="57"/>
      <c r="CL91" s="10">
        <v>8165429.849999993</v>
      </c>
      <c r="CM91" s="15">
        <v>0.10402797713863092</v>
      </c>
      <c r="CN91" s="11">
        <v>985</v>
      </c>
      <c r="CO91" s="15">
        <v>0.07562960687960688</v>
      </c>
      <c r="CP91" s="57"/>
      <c r="CQ91" s="56"/>
      <c r="CR91" s="57"/>
    </row>
    <row r="92" spans="1:96" ht="12.75">
      <c r="A92" s="9" t="s">
        <v>73</v>
      </c>
      <c r="B92" s="9"/>
      <c r="C92" s="9"/>
      <c r="D92" s="10">
        <v>5716433.320000005</v>
      </c>
      <c r="E92" s="15">
        <v>0.029699178152921807</v>
      </c>
      <c r="F92" s="11">
        <v>1044</v>
      </c>
      <c r="G92" s="15">
        <v>0.03485809682804675</v>
      </c>
      <c r="H92" s="9"/>
      <c r="I92" s="9"/>
      <c r="J92" s="10">
        <v>5347937.650000006</v>
      </c>
      <c r="K92" s="15">
        <v>0.02988788871437113</v>
      </c>
      <c r="L92" s="11">
        <v>1013</v>
      </c>
      <c r="M92" s="15">
        <v>0.03746301775147929</v>
      </c>
      <c r="N92" s="57"/>
      <c r="O92" s="56"/>
      <c r="P92" s="57"/>
      <c r="Q92" s="9"/>
      <c r="R92" s="10">
        <v>5111631.05</v>
      </c>
      <c r="S92" s="15">
        <v>0.030602570500781745</v>
      </c>
      <c r="T92" s="11">
        <v>952</v>
      </c>
      <c r="U92" s="15">
        <v>0.03713817586018569</v>
      </c>
      <c r="V92" s="57"/>
      <c r="W92" s="56"/>
      <c r="X92" s="57"/>
      <c r="Y92" s="9"/>
      <c r="Z92" s="10">
        <v>4898641.93</v>
      </c>
      <c r="AA92" s="15">
        <v>0.03148163421806778</v>
      </c>
      <c r="AB92" s="11">
        <v>890</v>
      </c>
      <c r="AC92" s="15">
        <v>0.03671768637320021</v>
      </c>
      <c r="AD92" s="57"/>
      <c r="AE92" s="56"/>
      <c r="AF92" s="57"/>
      <c r="AG92" s="9"/>
      <c r="AH92" s="10">
        <v>4623981.17</v>
      </c>
      <c r="AI92" s="15">
        <v>0.03208166994094446</v>
      </c>
      <c r="AJ92" s="11">
        <v>848</v>
      </c>
      <c r="AK92" s="15">
        <v>0.03706941773037244</v>
      </c>
      <c r="AL92" s="57"/>
      <c r="AM92" s="56"/>
      <c r="AN92" s="57"/>
      <c r="AO92" s="10">
        <v>4256664.75</v>
      </c>
      <c r="AP92" s="15">
        <v>0.03189459067810735</v>
      </c>
      <c r="AQ92" s="11">
        <v>782</v>
      </c>
      <c r="AR92" s="15">
        <v>0.037215057345452815</v>
      </c>
      <c r="AS92" s="57"/>
      <c r="AT92" s="56"/>
      <c r="AU92" s="57"/>
      <c r="AV92" s="10">
        <v>4091083.32</v>
      </c>
      <c r="AW92" s="15">
        <v>0.033060994400885835</v>
      </c>
      <c r="AX92" s="11">
        <v>734</v>
      </c>
      <c r="AY92" s="15">
        <v>0.037281592848435595</v>
      </c>
      <c r="AZ92" s="57"/>
      <c r="BA92" s="56"/>
      <c r="BB92" s="57"/>
      <c r="BC92" s="10">
        <v>3937553.26</v>
      </c>
      <c r="BD92" s="15">
        <v>0.035218646749746764</v>
      </c>
      <c r="BE92" s="11">
        <v>694</v>
      </c>
      <c r="BF92" s="15">
        <v>0.03874497543546226</v>
      </c>
      <c r="BG92" s="57"/>
      <c r="BH92" s="56"/>
      <c r="BI92" s="57"/>
      <c r="BJ92" s="10">
        <v>3813218.53</v>
      </c>
      <c r="BK92" s="15">
        <v>0.03658259472993464</v>
      </c>
      <c r="BL92" s="11">
        <v>669</v>
      </c>
      <c r="BM92" s="15">
        <v>0.03971976488749035</v>
      </c>
      <c r="BN92" s="57"/>
      <c r="BO92" s="56"/>
      <c r="BP92" s="57"/>
      <c r="BQ92" s="10">
        <v>3673653.64</v>
      </c>
      <c r="BR92" s="15">
        <v>0.03812377887682378</v>
      </c>
      <c r="BS92" s="11">
        <v>653</v>
      </c>
      <c r="BT92" s="15">
        <v>0.04141036210286004</v>
      </c>
      <c r="BU92" s="57"/>
      <c r="BV92" s="56"/>
      <c r="BW92" s="57"/>
      <c r="BX92" s="10">
        <v>3616603.83</v>
      </c>
      <c r="BY92" s="15">
        <v>0.04019712306836249</v>
      </c>
      <c r="BZ92" s="11">
        <v>634</v>
      </c>
      <c r="CA92" s="15">
        <v>0.042875498748901064</v>
      </c>
      <c r="CB92" s="57"/>
      <c r="CC92" s="56"/>
      <c r="CD92" s="57"/>
      <c r="CE92" s="10">
        <v>3542653.11</v>
      </c>
      <c r="CF92" s="15">
        <v>0.042292624234457</v>
      </c>
      <c r="CG92" s="11">
        <v>627</v>
      </c>
      <c r="CH92" s="15">
        <v>0.045234831541735805</v>
      </c>
      <c r="CI92" s="57"/>
      <c r="CJ92" s="56"/>
      <c r="CK92" s="57"/>
      <c r="CL92" s="10">
        <v>3476620.19</v>
      </c>
      <c r="CM92" s="15">
        <v>0.04429231189158066</v>
      </c>
      <c r="CN92" s="11">
        <v>619</v>
      </c>
      <c r="CO92" s="15">
        <v>0.04752764127764128</v>
      </c>
      <c r="CP92" s="57"/>
      <c r="CQ92" s="56"/>
      <c r="CR92" s="57"/>
    </row>
    <row r="93" spans="1:96" ht="12.75">
      <c r="A93" s="9" t="s">
        <v>74</v>
      </c>
      <c r="B93" s="9"/>
      <c r="C93" s="9"/>
      <c r="D93" s="10">
        <v>1924479.5</v>
      </c>
      <c r="E93" s="15">
        <v>0.009998447689781831</v>
      </c>
      <c r="F93" s="11">
        <v>523</v>
      </c>
      <c r="G93" s="15">
        <v>0.017462437395659433</v>
      </c>
      <c r="H93" s="9"/>
      <c r="I93" s="9"/>
      <c r="J93" s="10">
        <v>1798106.26</v>
      </c>
      <c r="K93" s="15">
        <v>0.01004903260147283</v>
      </c>
      <c r="L93" s="11">
        <v>451</v>
      </c>
      <c r="M93" s="15">
        <v>0.016678994082840237</v>
      </c>
      <c r="N93" s="57"/>
      <c r="O93" s="56"/>
      <c r="P93" s="57"/>
      <c r="Q93" s="9"/>
      <c r="R93" s="10">
        <v>1655854.91</v>
      </c>
      <c r="S93" s="15">
        <v>0.009913355664106569</v>
      </c>
      <c r="T93" s="11">
        <v>416</v>
      </c>
      <c r="U93" s="15">
        <v>0.016228446594366855</v>
      </c>
      <c r="V93" s="57"/>
      <c r="W93" s="56"/>
      <c r="X93" s="57"/>
      <c r="Y93" s="9"/>
      <c r="Z93" s="10">
        <v>1522592.97</v>
      </c>
      <c r="AA93" s="15">
        <v>0.009785102816147558</v>
      </c>
      <c r="AB93" s="11">
        <v>448</v>
      </c>
      <c r="AC93" s="15">
        <v>0.018482610668756963</v>
      </c>
      <c r="AD93" s="57"/>
      <c r="AE93" s="56"/>
      <c r="AF93" s="57"/>
      <c r="AG93" s="9"/>
      <c r="AH93" s="10">
        <v>1380394.62</v>
      </c>
      <c r="AI93" s="15">
        <v>0.009577323730125707</v>
      </c>
      <c r="AJ93" s="11">
        <v>356</v>
      </c>
      <c r="AK93" s="15">
        <v>0.015562161216995978</v>
      </c>
      <c r="AL93" s="57"/>
      <c r="AM93" s="56"/>
      <c r="AN93" s="57"/>
      <c r="AO93" s="10">
        <v>1278841.65</v>
      </c>
      <c r="AP93" s="15">
        <v>0.009582180736424072</v>
      </c>
      <c r="AQ93" s="11">
        <v>332</v>
      </c>
      <c r="AR93" s="15">
        <v>0.015799743016228048</v>
      </c>
      <c r="AS93" s="57"/>
      <c r="AT93" s="56"/>
      <c r="AU93" s="57"/>
      <c r="AV93" s="10">
        <v>1207016.25</v>
      </c>
      <c r="AW93" s="15">
        <v>0.009754178627441941</v>
      </c>
      <c r="AX93" s="11">
        <v>288</v>
      </c>
      <c r="AY93" s="15">
        <v>0.014628199918732222</v>
      </c>
      <c r="AZ93" s="57"/>
      <c r="BA93" s="56"/>
      <c r="BB93" s="57"/>
      <c r="BC93" s="10">
        <v>1037038.83</v>
      </c>
      <c r="BD93" s="15">
        <v>0.009275583543355215</v>
      </c>
      <c r="BE93" s="11">
        <v>238</v>
      </c>
      <c r="BF93" s="15">
        <v>0.013287181777579276</v>
      </c>
      <c r="BG93" s="57"/>
      <c r="BH93" s="56"/>
      <c r="BI93" s="57"/>
      <c r="BJ93" s="10">
        <v>979905.25</v>
      </c>
      <c r="BK93" s="15">
        <v>0.009400845074170263</v>
      </c>
      <c r="BL93" s="11">
        <v>221</v>
      </c>
      <c r="BM93" s="15">
        <v>0.013121177937422075</v>
      </c>
      <c r="BN93" s="57"/>
      <c r="BO93" s="56"/>
      <c r="BP93" s="57"/>
      <c r="BQ93" s="10">
        <v>946656.49</v>
      </c>
      <c r="BR93" s="15">
        <v>0.009824040651004362</v>
      </c>
      <c r="BS93" s="11">
        <v>211</v>
      </c>
      <c r="BT93" s="15">
        <v>0.013380683619760289</v>
      </c>
      <c r="BU93" s="57"/>
      <c r="BV93" s="56"/>
      <c r="BW93" s="57"/>
      <c r="BX93" s="10">
        <v>915800.16</v>
      </c>
      <c r="BY93" s="15">
        <v>0.010178757051624885</v>
      </c>
      <c r="BZ93" s="11">
        <v>199</v>
      </c>
      <c r="CA93" s="15">
        <v>0.013457766957462636</v>
      </c>
      <c r="CB93" s="57"/>
      <c r="CC93" s="56"/>
      <c r="CD93" s="57"/>
      <c r="CE93" s="10">
        <v>902802.86</v>
      </c>
      <c r="CF93" s="15">
        <v>0.010777770481675275</v>
      </c>
      <c r="CG93" s="11">
        <v>195</v>
      </c>
      <c r="CH93" s="15">
        <v>0.014068249044080513</v>
      </c>
      <c r="CI93" s="57"/>
      <c r="CJ93" s="56"/>
      <c r="CK93" s="57"/>
      <c r="CL93" s="10">
        <v>881027.31</v>
      </c>
      <c r="CM93" s="15">
        <v>0.011224331179967163</v>
      </c>
      <c r="CN93" s="11">
        <v>184</v>
      </c>
      <c r="CO93" s="15">
        <v>0.014127764127764128</v>
      </c>
      <c r="CP93" s="57"/>
      <c r="CQ93" s="56"/>
      <c r="CR93" s="57"/>
    </row>
    <row r="94" spans="1:96" ht="12.75">
      <c r="A94" s="9"/>
      <c r="B94" s="9"/>
      <c r="C94" s="9"/>
      <c r="D94" s="10"/>
      <c r="E94" s="9"/>
      <c r="F94" s="11"/>
      <c r="G94" s="9"/>
      <c r="H94" s="9"/>
      <c r="I94" s="9"/>
      <c r="J94" s="10"/>
      <c r="K94" s="9"/>
      <c r="L94" s="11"/>
      <c r="M94" s="9"/>
      <c r="N94" s="55"/>
      <c r="O94" s="56"/>
      <c r="P94" s="55"/>
      <c r="Q94" s="9"/>
      <c r="R94" s="10"/>
      <c r="S94" s="9"/>
      <c r="T94" s="11"/>
      <c r="U94" s="9"/>
      <c r="V94" s="55"/>
      <c r="W94" s="56"/>
      <c r="X94" s="55"/>
      <c r="Y94" s="9"/>
      <c r="Z94" s="10"/>
      <c r="AA94" s="9"/>
      <c r="AB94" s="11"/>
      <c r="AC94" s="9"/>
      <c r="AD94" s="55"/>
      <c r="AE94" s="56"/>
      <c r="AF94" s="55"/>
      <c r="AG94" s="9"/>
      <c r="AH94" s="10"/>
      <c r="AI94" s="9"/>
      <c r="AJ94" s="11"/>
      <c r="AK94" s="9"/>
      <c r="AL94" s="55"/>
      <c r="AM94" s="56"/>
      <c r="AN94" s="55"/>
      <c r="AO94" s="10"/>
      <c r="AP94" s="9"/>
      <c r="AQ94" s="11"/>
      <c r="AR94" s="9"/>
      <c r="AS94" s="55"/>
      <c r="AT94" s="56"/>
      <c r="AU94" s="55"/>
      <c r="AV94" s="10"/>
      <c r="AW94" s="9"/>
      <c r="AX94" s="11"/>
      <c r="AY94" s="9"/>
      <c r="AZ94" s="55"/>
      <c r="BA94" s="56"/>
      <c r="BB94" s="55"/>
      <c r="BC94" s="10"/>
      <c r="BD94" s="9"/>
      <c r="BE94" s="11"/>
      <c r="BF94" s="9"/>
      <c r="BG94" s="55"/>
      <c r="BH94" s="56"/>
      <c r="BI94" s="55"/>
      <c r="BJ94" s="10"/>
      <c r="BK94" s="9"/>
      <c r="BL94" s="11"/>
      <c r="BM94" s="9"/>
      <c r="BN94" s="55"/>
      <c r="BO94" s="56"/>
      <c r="BP94" s="55"/>
      <c r="BQ94" s="10"/>
      <c r="BR94" s="9"/>
      <c r="BS94" s="11"/>
      <c r="BT94" s="9"/>
      <c r="BU94" s="55"/>
      <c r="BV94" s="56"/>
      <c r="BW94" s="55"/>
      <c r="BX94" s="10"/>
      <c r="BY94" s="9"/>
      <c r="BZ94" s="11"/>
      <c r="CA94" s="9"/>
      <c r="CB94" s="55"/>
      <c r="CC94" s="56"/>
      <c r="CD94" s="55"/>
      <c r="CE94" s="10"/>
      <c r="CF94" s="9"/>
      <c r="CG94" s="11"/>
      <c r="CH94" s="9"/>
      <c r="CI94" s="55"/>
      <c r="CJ94" s="56"/>
      <c r="CK94" s="55"/>
      <c r="CL94" s="10"/>
      <c r="CM94" s="9"/>
      <c r="CN94" s="11"/>
      <c r="CO94" s="9"/>
      <c r="CP94" s="55"/>
      <c r="CQ94" s="56"/>
      <c r="CR94" s="55"/>
    </row>
    <row r="95" spans="1:96" s="1" customFormat="1" ht="13.5" thickBot="1">
      <c r="A95" s="9"/>
      <c r="B95" s="13"/>
      <c r="C95" s="13"/>
      <c r="D95" s="22">
        <f>SUM(D82:D93)</f>
        <v>192477828.52999997</v>
      </c>
      <c r="E95" s="13"/>
      <c r="F95" s="23">
        <f>SUM(F82:F93)</f>
        <v>29950</v>
      </c>
      <c r="G95" s="13"/>
      <c r="H95" s="13"/>
      <c r="I95" s="13"/>
      <c r="J95" s="22">
        <f>SUM(J82:J93)</f>
        <v>178933269.63000008</v>
      </c>
      <c r="K95" s="13"/>
      <c r="L95" s="23">
        <f>SUM(L82:L93)</f>
        <v>27040</v>
      </c>
      <c r="M95" s="13"/>
      <c r="N95" s="54"/>
      <c r="O95" s="32"/>
      <c r="P95" s="54"/>
      <c r="Q95" s="13"/>
      <c r="R95" s="22">
        <f>SUM(R82:R93)</f>
        <v>167032735.04000023</v>
      </c>
      <c r="S95" s="13"/>
      <c r="T95" s="23">
        <f>SUM(T82:T93)</f>
        <v>25634</v>
      </c>
      <c r="U95" s="13"/>
      <c r="V95" s="54"/>
      <c r="W95" s="32"/>
      <c r="X95" s="54"/>
      <c r="Y95" s="13"/>
      <c r="Z95" s="22">
        <f>SUM(Z82:Z93)</f>
        <v>155603165.20000067</v>
      </c>
      <c r="AA95" s="13"/>
      <c r="AB95" s="23">
        <f>SUM(AB82:AB93)</f>
        <v>24239</v>
      </c>
      <c r="AC95" s="13"/>
      <c r="AD95" s="54"/>
      <c r="AE95" s="32"/>
      <c r="AF95" s="54"/>
      <c r="AG95" s="13"/>
      <c r="AH95" s="22">
        <f>SUM(AH82:AH93)</f>
        <v>144131561.0599999</v>
      </c>
      <c r="AI95" s="13"/>
      <c r="AJ95" s="23">
        <f>SUM(AJ82:AJ93)</f>
        <v>22876</v>
      </c>
      <c r="AK95" s="13"/>
      <c r="AL95" s="54"/>
      <c r="AM95" s="32"/>
      <c r="AN95" s="54"/>
      <c r="AO95" s="22">
        <f>SUM(AO82:AO93)</f>
        <v>133460397.50000003</v>
      </c>
      <c r="AP95" s="13"/>
      <c r="AQ95" s="23">
        <f>SUM(AQ82:AQ93)</f>
        <v>21013</v>
      </c>
      <c r="AR95" s="13"/>
      <c r="AS95" s="54"/>
      <c r="AT95" s="32"/>
      <c r="AU95" s="54"/>
      <c r="AV95" s="22">
        <f>SUM(AV82:AV93)</f>
        <v>123743504.81999968</v>
      </c>
      <c r="AW95" s="13"/>
      <c r="AX95" s="23">
        <f>SUM(AX82:AX93)</f>
        <v>19688</v>
      </c>
      <c r="AY95" s="13"/>
      <c r="AZ95" s="54"/>
      <c r="BA95" s="32"/>
      <c r="BB95" s="54"/>
      <c r="BC95" s="22">
        <f>SUM(BC82:BC93)</f>
        <v>111803082.2699998</v>
      </c>
      <c r="BD95" s="13"/>
      <c r="BE95" s="23">
        <f>SUM(BE82:BE93)</f>
        <v>17912</v>
      </c>
      <c r="BF95" s="13"/>
      <c r="BG95" s="54"/>
      <c r="BH95" s="32"/>
      <c r="BI95" s="54"/>
      <c r="BJ95" s="22">
        <f>SUM(BJ82:BJ93)</f>
        <v>104235868.39999996</v>
      </c>
      <c r="BK95" s="13"/>
      <c r="BL95" s="23">
        <f>SUM(BL82:BL93)</f>
        <v>16843</v>
      </c>
      <c r="BM95" s="13"/>
      <c r="BN95" s="54"/>
      <c r="BO95" s="32"/>
      <c r="BP95" s="54"/>
      <c r="BQ95" s="22">
        <f>SUM(BQ82:BQ93)</f>
        <v>96361214.66000026</v>
      </c>
      <c r="BR95" s="13"/>
      <c r="BS95" s="23">
        <f>SUM(BS82:BS93)</f>
        <v>15769</v>
      </c>
      <c r="BT95" s="13"/>
      <c r="BU95" s="54"/>
      <c r="BV95" s="32"/>
      <c r="BW95" s="54"/>
      <c r="BX95" s="22">
        <f>SUM(BX82:BX93)</f>
        <v>89971708.27000004</v>
      </c>
      <c r="BY95" s="13"/>
      <c r="BZ95" s="23">
        <f>SUM(BZ82:BZ93)</f>
        <v>14787</v>
      </c>
      <c r="CA95" s="13"/>
      <c r="CB95" s="54"/>
      <c r="CC95" s="32"/>
      <c r="CD95" s="54"/>
      <c r="CE95" s="22">
        <f>SUM(CE82:CE93)</f>
        <v>83765270.51999998</v>
      </c>
      <c r="CF95" s="13"/>
      <c r="CG95" s="23">
        <f>SUM(CG82:CG93)</f>
        <v>13861</v>
      </c>
      <c r="CH95" s="13"/>
      <c r="CI95" s="54"/>
      <c r="CJ95" s="32"/>
      <c r="CK95" s="54"/>
      <c r="CL95" s="22">
        <f>SUM(CL82:CL93)</f>
        <v>78492633.1800001</v>
      </c>
      <c r="CM95" s="13"/>
      <c r="CN95" s="23">
        <f>SUM(CN82:CN93)</f>
        <v>13024</v>
      </c>
      <c r="CO95" s="13"/>
      <c r="CP95" s="54"/>
      <c r="CQ95" s="32"/>
      <c r="CR95" s="54"/>
    </row>
    <row r="96" spans="1:96" ht="13.5" thickTop="1">
      <c r="A96" s="13"/>
      <c r="B96" s="9"/>
      <c r="C96" s="9"/>
      <c r="D96" s="10"/>
      <c r="E96" s="9"/>
      <c r="F96" s="11"/>
      <c r="G96" s="9"/>
      <c r="H96" s="9"/>
      <c r="I96" s="9"/>
      <c r="J96" s="10"/>
      <c r="K96" s="9"/>
      <c r="L96" s="11"/>
      <c r="M96" s="9"/>
      <c r="N96" s="55"/>
      <c r="O96" s="56"/>
      <c r="P96" s="55"/>
      <c r="Q96" s="9"/>
      <c r="R96" s="10"/>
      <c r="S96" s="9"/>
      <c r="T96" s="11"/>
      <c r="U96" s="9"/>
      <c r="V96" s="55"/>
      <c r="W96" s="56"/>
      <c r="X96" s="55"/>
      <c r="Y96" s="9"/>
      <c r="Z96" s="10"/>
      <c r="AA96" s="9"/>
      <c r="AB96" s="11"/>
      <c r="AC96" s="9"/>
      <c r="AD96" s="55"/>
      <c r="AE96" s="56"/>
      <c r="AF96" s="55"/>
      <c r="AG96" s="9"/>
      <c r="AH96" s="10"/>
      <c r="AI96" s="9"/>
      <c r="AJ96" s="11"/>
      <c r="AK96" s="9"/>
      <c r="AL96" s="55"/>
      <c r="AM96" s="56"/>
      <c r="AN96" s="55"/>
      <c r="AO96" s="10"/>
      <c r="AP96" s="9"/>
      <c r="AQ96" s="11"/>
      <c r="AR96" s="9"/>
      <c r="AS96" s="55"/>
      <c r="AT96" s="56"/>
      <c r="AU96" s="55"/>
      <c r="AV96" s="10"/>
      <c r="AW96" s="9"/>
      <c r="AX96" s="11"/>
      <c r="AY96" s="9"/>
      <c r="AZ96" s="55"/>
      <c r="BA96" s="56"/>
      <c r="BB96" s="55"/>
      <c r="BC96" s="10"/>
      <c r="BD96" s="9"/>
      <c r="BE96" s="11"/>
      <c r="BF96" s="9"/>
      <c r="BG96" s="55"/>
      <c r="BH96" s="56"/>
      <c r="BI96" s="55"/>
      <c r="BJ96" s="10"/>
      <c r="BK96" s="9"/>
      <c r="BL96" s="11"/>
      <c r="BM96" s="9"/>
      <c r="BN96" s="55"/>
      <c r="BO96" s="56"/>
      <c r="BP96" s="55"/>
      <c r="BQ96" s="10"/>
      <c r="BR96" s="9"/>
      <c r="BS96" s="11"/>
      <c r="BT96" s="9"/>
      <c r="BU96" s="55"/>
      <c r="BV96" s="56"/>
      <c r="BW96" s="55"/>
      <c r="BX96" s="10"/>
      <c r="BY96" s="9"/>
      <c r="BZ96" s="11"/>
      <c r="CA96" s="9"/>
      <c r="CB96" s="55"/>
      <c r="CC96" s="56"/>
      <c r="CD96" s="55"/>
      <c r="CE96" s="10"/>
      <c r="CF96" s="9"/>
      <c r="CG96" s="11"/>
      <c r="CH96" s="9"/>
      <c r="CI96" s="55"/>
      <c r="CJ96" s="56"/>
      <c r="CK96" s="55"/>
      <c r="CL96" s="10"/>
      <c r="CM96" s="9"/>
      <c r="CN96" s="11"/>
      <c r="CO96" s="9"/>
      <c r="CP96" s="55"/>
      <c r="CQ96" s="56"/>
      <c r="CR96" s="55"/>
    </row>
    <row r="97" spans="1:96" ht="12.75">
      <c r="A97" s="9"/>
      <c r="B97" s="9"/>
      <c r="C97" s="9"/>
      <c r="D97" s="10"/>
      <c r="E97" s="9"/>
      <c r="F97" s="11"/>
      <c r="G97" s="9"/>
      <c r="H97" s="9"/>
      <c r="I97" s="9"/>
      <c r="J97" s="9"/>
      <c r="K97" s="9"/>
      <c r="L97" s="9"/>
      <c r="M97" s="10"/>
      <c r="N97" s="9"/>
      <c r="O97" s="11"/>
      <c r="P97" s="9"/>
      <c r="Q97" s="9"/>
      <c r="R97" s="9"/>
      <c r="S97" s="9"/>
      <c r="T97" s="9"/>
      <c r="U97" s="10"/>
      <c r="V97" s="9"/>
      <c r="W97" s="11"/>
      <c r="X97" s="9"/>
      <c r="Y97" s="9"/>
      <c r="Z97" s="9"/>
      <c r="AA97" s="9"/>
      <c r="AB97" s="9"/>
      <c r="AC97" s="10"/>
      <c r="AD97" s="9"/>
      <c r="AE97" s="11"/>
      <c r="AF97" s="9"/>
      <c r="AG97" s="9"/>
      <c r="AH97" s="9"/>
      <c r="AI97" s="9"/>
      <c r="AJ97" s="9"/>
      <c r="AK97" s="10"/>
      <c r="AL97" s="9"/>
      <c r="AM97" s="11"/>
      <c r="AN97" s="9"/>
      <c r="AO97" s="9"/>
      <c r="AP97" s="9"/>
      <c r="AQ97" s="9"/>
      <c r="AR97" s="10"/>
      <c r="AS97" s="9"/>
      <c r="AT97" s="11"/>
      <c r="AU97" s="9"/>
      <c r="AV97" s="9"/>
      <c r="AW97" s="9"/>
      <c r="AX97" s="9"/>
      <c r="AY97" s="10"/>
      <c r="AZ97" s="9"/>
      <c r="BA97" s="11"/>
      <c r="BB97" s="9"/>
      <c r="BC97" s="9"/>
      <c r="BD97" s="9"/>
      <c r="BE97" s="9"/>
      <c r="BF97" s="10"/>
      <c r="BG97" s="9"/>
      <c r="BH97" s="11"/>
      <c r="BI97" s="9"/>
      <c r="BJ97" s="9"/>
      <c r="BK97" s="9"/>
      <c r="BL97" s="9"/>
      <c r="BM97" s="10"/>
      <c r="BN97" s="9"/>
      <c r="BO97" s="11"/>
      <c r="BP97" s="9"/>
      <c r="BQ97" s="9"/>
      <c r="BR97" s="9"/>
      <c r="BS97" s="9"/>
      <c r="BT97" s="10"/>
      <c r="BU97" s="9"/>
      <c r="BV97" s="11"/>
      <c r="BW97" s="9"/>
      <c r="BX97" s="9"/>
      <c r="BY97" s="9"/>
      <c r="BZ97" s="9"/>
      <c r="CA97" s="10"/>
      <c r="CB97" s="9"/>
      <c r="CC97" s="11"/>
      <c r="CD97" s="9"/>
      <c r="CE97" s="9"/>
      <c r="CF97" s="9"/>
      <c r="CG97" s="9"/>
      <c r="CH97" s="10"/>
      <c r="CI97" s="9"/>
      <c r="CJ97" s="11"/>
      <c r="CK97" s="9"/>
      <c r="CL97" s="9"/>
      <c r="CM97" s="9"/>
      <c r="CN97" s="9"/>
      <c r="CO97" s="10"/>
      <c r="CP97" s="9"/>
      <c r="CQ97" s="11"/>
      <c r="CR97" s="9"/>
    </row>
    <row r="98" spans="1:96" ht="12.75">
      <c r="A98" s="20" t="s">
        <v>110</v>
      </c>
      <c r="B98" s="9"/>
      <c r="C98" s="9"/>
      <c r="D98" s="9"/>
      <c r="E98" s="11"/>
      <c r="F98" s="9"/>
      <c r="G98" s="11"/>
      <c r="H98" s="9"/>
      <c r="I98" s="9"/>
      <c r="J98" s="20" t="s">
        <v>110</v>
      </c>
      <c r="K98" s="9"/>
      <c r="L98" s="9"/>
      <c r="M98" s="9"/>
      <c r="N98" s="11"/>
      <c r="O98" s="9"/>
      <c r="P98" s="11"/>
      <c r="Q98" s="9"/>
      <c r="R98" s="20" t="s">
        <v>110</v>
      </c>
      <c r="S98" s="9"/>
      <c r="T98" s="9"/>
      <c r="U98" s="9"/>
      <c r="V98" s="11"/>
      <c r="W98" s="9"/>
      <c r="X98" s="11"/>
      <c r="Y98" s="9"/>
      <c r="Z98" s="20" t="s">
        <v>110</v>
      </c>
      <c r="AA98" s="9"/>
      <c r="AB98" s="9"/>
      <c r="AC98" s="9"/>
      <c r="AD98" s="11"/>
      <c r="AE98" s="9"/>
      <c r="AF98" s="11"/>
      <c r="AG98" s="9"/>
      <c r="AH98" s="20" t="s">
        <v>110</v>
      </c>
      <c r="AI98" s="9"/>
      <c r="AJ98" s="9"/>
      <c r="AK98" s="9"/>
      <c r="AL98" s="11"/>
      <c r="AM98" s="9"/>
      <c r="AN98" s="11"/>
      <c r="AO98" s="20" t="s">
        <v>110</v>
      </c>
      <c r="AP98" s="9"/>
      <c r="AQ98" s="9"/>
      <c r="AR98" s="9"/>
      <c r="AS98" s="11"/>
      <c r="AT98" s="9"/>
      <c r="AU98" s="11"/>
      <c r="AV98" s="20" t="s">
        <v>110</v>
      </c>
      <c r="AW98" s="9"/>
      <c r="AX98" s="9"/>
      <c r="AY98" s="9"/>
      <c r="AZ98" s="11"/>
      <c r="BA98" s="9"/>
      <c r="BB98" s="11"/>
      <c r="BC98" s="20" t="s">
        <v>110</v>
      </c>
      <c r="BD98" s="9"/>
      <c r="BE98" s="9"/>
      <c r="BF98" s="9"/>
      <c r="BG98" s="11"/>
      <c r="BH98" s="9"/>
      <c r="BI98" s="11"/>
      <c r="BJ98" s="20" t="s">
        <v>110</v>
      </c>
      <c r="BK98" s="9"/>
      <c r="BL98" s="9"/>
      <c r="BM98" s="9"/>
      <c r="BN98" s="11"/>
      <c r="BO98" s="9"/>
      <c r="BP98" s="11"/>
      <c r="BQ98" s="20" t="s">
        <v>110</v>
      </c>
      <c r="BR98" s="9"/>
      <c r="BS98" s="9"/>
      <c r="BT98" s="9"/>
      <c r="BU98" s="11"/>
      <c r="BV98" s="9"/>
      <c r="BW98" s="11"/>
      <c r="BX98" s="20" t="s">
        <v>110</v>
      </c>
      <c r="BY98" s="9"/>
      <c r="BZ98" s="9"/>
      <c r="CA98" s="9"/>
      <c r="CB98" s="11"/>
      <c r="CC98" s="9"/>
      <c r="CD98" s="11"/>
      <c r="CE98" s="20" t="s">
        <v>110</v>
      </c>
      <c r="CF98" s="9"/>
      <c r="CG98" s="9"/>
      <c r="CH98" s="9"/>
      <c r="CI98" s="11"/>
      <c r="CJ98" s="9"/>
      <c r="CK98" s="11"/>
      <c r="CL98" s="20" t="s">
        <v>110</v>
      </c>
      <c r="CM98" s="9"/>
      <c r="CN98" s="9"/>
      <c r="CO98" s="9"/>
      <c r="CP98" s="11"/>
      <c r="CQ98" s="9"/>
      <c r="CR98" s="11"/>
    </row>
    <row r="99" spans="1:96" ht="12.75">
      <c r="A99" s="20"/>
      <c r="B99" s="9"/>
      <c r="C99" s="9"/>
      <c r="D99" s="9"/>
      <c r="E99" s="11"/>
      <c r="F99" s="9"/>
      <c r="G99" s="11"/>
      <c r="H99" s="9"/>
      <c r="I99" s="9"/>
      <c r="J99" s="20"/>
      <c r="K99" s="9"/>
      <c r="L99" s="9"/>
      <c r="M99" s="9"/>
      <c r="N99" s="11"/>
      <c r="O99" s="9"/>
      <c r="P99" s="11"/>
      <c r="Q99" s="9"/>
      <c r="R99" s="20"/>
      <c r="S99" s="9"/>
      <c r="T99" s="9"/>
      <c r="U99" s="9"/>
      <c r="V99" s="11"/>
      <c r="W99" s="9"/>
      <c r="X99" s="11"/>
      <c r="Y99" s="9"/>
      <c r="Z99" s="20"/>
      <c r="AA99" s="9"/>
      <c r="AB99" s="9"/>
      <c r="AC99" s="9"/>
      <c r="AD99" s="11"/>
      <c r="AE99" s="9"/>
      <c r="AF99" s="11"/>
      <c r="AG99" s="9"/>
      <c r="AH99" s="20"/>
      <c r="AI99" s="9"/>
      <c r="AJ99" s="9"/>
      <c r="AK99" s="9"/>
      <c r="AL99" s="11"/>
      <c r="AM99" s="9"/>
      <c r="AN99" s="11"/>
      <c r="AO99" s="20"/>
      <c r="AP99" s="9"/>
      <c r="AQ99" s="9"/>
      <c r="AR99" s="9"/>
      <c r="AS99" s="11"/>
      <c r="AT99" s="9"/>
      <c r="AU99" s="11"/>
      <c r="AV99" s="20"/>
      <c r="AW99" s="9"/>
      <c r="AX99" s="9"/>
      <c r="AY99" s="9"/>
      <c r="AZ99" s="11"/>
      <c r="BA99" s="9"/>
      <c r="BB99" s="11"/>
      <c r="BC99" s="20"/>
      <c r="BD99" s="9"/>
      <c r="BE99" s="9"/>
      <c r="BF99" s="9"/>
      <c r="BG99" s="11"/>
      <c r="BH99" s="9"/>
      <c r="BI99" s="11"/>
      <c r="BJ99" s="20"/>
      <c r="BK99" s="9"/>
      <c r="BL99" s="9"/>
      <c r="BM99" s="9"/>
      <c r="BN99" s="11"/>
      <c r="BO99" s="9"/>
      <c r="BP99" s="11"/>
      <c r="BQ99" s="20"/>
      <c r="BR99" s="9"/>
      <c r="BS99" s="9"/>
      <c r="BT99" s="9"/>
      <c r="BU99" s="11"/>
      <c r="BV99" s="9"/>
      <c r="BW99" s="11"/>
      <c r="BX99" s="20"/>
      <c r="BY99" s="9"/>
      <c r="BZ99" s="9"/>
      <c r="CA99" s="9"/>
      <c r="CB99" s="11"/>
      <c r="CC99" s="9"/>
      <c r="CD99" s="11"/>
      <c r="CE99" s="20"/>
      <c r="CF99" s="9"/>
      <c r="CG99" s="9"/>
      <c r="CH99" s="9"/>
      <c r="CI99" s="11"/>
      <c r="CJ99" s="9"/>
      <c r="CK99" s="11"/>
      <c r="CL99" s="20"/>
      <c r="CM99" s="9"/>
      <c r="CN99" s="9"/>
      <c r="CO99" s="9"/>
      <c r="CP99" s="11"/>
      <c r="CQ99" s="9"/>
      <c r="CR99" s="11"/>
    </row>
    <row r="100" spans="1:96" s="30" customFormat="1" ht="12.75">
      <c r="A100" s="26"/>
      <c r="B100" s="27"/>
      <c r="C100" s="27"/>
      <c r="D100" s="28" t="s">
        <v>143</v>
      </c>
      <c r="E100" s="27" t="s">
        <v>96</v>
      </c>
      <c r="F100" s="29" t="s">
        <v>97</v>
      </c>
      <c r="G100" s="27" t="s">
        <v>96</v>
      </c>
      <c r="H100" s="26"/>
      <c r="I100" s="26"/>
      <c r="J100" s="28" t="s">
        <v>143</v>
      </c>
      <c r="K100" s="27" t="s">
        <v>96</v>
      </c>
      <c r="L100" s="29" t="s">
        <v>97</v>
      </c>
      <c r="M100" s="27" t="s">
        <v>96</v>
      </c>
      <c r="N100" s="65"/>
      <c r="O100" s="66"/>
      <c r="P100" s="65"/>
      <c r="Q100" s="26"/>
      <c r="R100" s="28" t="s">
        <v>143</v>
      </c>
      <c r="S100" s="27" t="s">
        <v>96</v>
      </c>
      <c r="T100" s="29" t="s">
        <v>97</v>
      </c>
      <c r="U100" s="27" t="s">
        <v>96</v>
      </c>
      <c r="V100" s="65"/>
      <c r="W100" s="66"/>
      <c r="X100" s="65"/>
      <c r="Y100" s="26"/>
      <c r="Z100" s="28" t="s">
        <v>143</v>
      </c>
      <c r="AA100" s="27" t="s">
        <v>96</v>
      </c>
      <c r="AB100" s="29" t="s">
        <v>97</v>
      </c>
      <c r="AC100" s="27" t="s">
        <v>96</v>
      </c>
      <c r="AD100" s="65"/>
      <c r="AE100" s="66"/>
      <c r="AF100" s="65"/>
      <c r="AG100" s="26"/>
      <c r="AH100" s="28" t="s">
        <v>143</v>
      </c>
      <c r="AI100" s="27" t="s">
        <v>96</v>
      </c>
      <c r="AJ100" s="29" t="s">
        <v>97</v>
      </c>
      <c r="AK100" s="27" t="s">
        <v>96</v>
      </c>
      <c r="AL100" s="65"/>
      <c r="AM100" s="66"/>
      <c r="AN100" s="65"/>
      <c r="AO100" s="28" t="s">
        <v>143</v>
      </c>
      <c r="AP100" s="27" t="s">
        <v>96</v>
      </c>
      <c r="AQ100" s="29" t="s">
        <v>97</v>
      </c>
      <c r="AR100" s="27" t="s">
        <v>96</v>
      </c>
      <c r="AS100" s="65"/>
      <c r="AT100" s="66"/>
      <c r="AU100" s="65"/>
      <c r="AV100" s="94" t="s">
        <v>143</v>
      </c>
      <c r="AW100" s="45" t="s">
        <v>96</v>
      </c>
      <c r="AX100" s="93" t="s">
        <v>97</v>
      </c>
      <c r="AY100" s="27" t="s">
        <v>96</v>
      </c>
      <c r="AZ100" s="65"/>
      <c r="BA100" s="66"/>
      <c r="BB100" s="65"/>
      <c r="BC100" s="94" t="s">
        <v>143</v>
      </c>
      <c r="BD100" s="45" t="s">
        <v>96</v>
      </c>
      <c r="BE100" s="93" t="s">
        <v>97</v>
      </c>
      <c r="BF100" s="27" t="s">
        <v>96</v>
      </c>
      <c r="BG100" s="65"/>
      <c r="BH100" s="66"/>
      <c r="BI100" s="65"/>
      <c r="BJ100" s="94" t="s">
        <v>143</v>
      </c>
      <c r="BK100" s="45" t="s">
        <v>96</v>
      </c>
      <c r="BL100" s="93" t="s">
        <v>97</v>
      </c>
      <c r="BM100" s="27" t="s">
        <v>96</v>
      </c>
      <c r="BN100" s="65"/>
      <c r="BO100" s="66"/>
      <c r="BP100" s="65"/>
      <c r="BQ100" s="94" t="s">
        <v>143</v>
      </c>
      <c r="BR100" s="45" t="s">
        <v>96</v>
      </c>
      <c r="BS100" s="93" t="s">
        <v>97</v>
      </c>
      <c r="BT100" s="27" t="s">
        <v>96</v>
      </c>
      <c r="BU100" s="65"/>
      <c r="BV100" s="66"/>
      <c r="BW100" s="65"/>
      <c r="BX100" s="94" t="s">
        <v>143</v>
      </c>
      <c r="BY100" s="45" t="s">
        <v>96</v>
      </c>
      <c r="BZ100" s="93" t="s">
        <v>97</v>
      </c>
      <c r="CA100" s="27" t="s">
        <v>96</v>
      </c>
      <c r="CB100" s="65"/>
      <c r="CC100" s="66"/>
      <c r="CD100" s="65"/>
      <c r="CE100" s="94" t="s">
        <v>143</v>
      </c>
      <c r="CF100" s="45" t="s">
        <v>96</v>
      </c>
      <c r="CG100" s="93" t="s">
        <v>97</v>
      </c>
      <c r="CH100" s="27" t="s">
        <v>96</v>
      </c>
      <c r="CI100" s="65"/>
      <c r="CJ100" s="66"/>
      <c r="CK100" s="65"/>
      <c r="CL100" s="94" t="s">
        <v>143</v>
      </c>
      <c r="CM100" s="45" t="s">
        <v>96</v>
      </c>
      <c r="CN100" s="93" t="s">
        <v>97</v>
      </c>
      <c r="CO100" s="27" t="s">
        <v>96</v>
      </c>
      <c r="CP100" s="65"/>
      <c r="CQ100" s="66"/>
      <c r="CR100" s="65"/>
    </row>
    <row r="101" spans="1:96" s="30" customFormat="1" ht="12.75">
      <c r="A101" s="27"/>
      <c r="B101" s="26"/>
      <c r="C101" s="26"/>
      <c r="D101" s="39"/>
      <c r="E101" s="26"/>
      <c r="F101" s="39"/>
      <c r="G101" s="26"/>
      <c r="H101" s="26"/>
      <c r="I101" s="26"/>
      <c r="J101" s="11"/>
      <c r="K101" s="9"/>
      <c r="L101" s="11"/>
      <c r="M101" s="9"/>
      <c r="N101" s="55"/>
      <c r="O101" s="56"/>
      <c r="P101" s="55"/>
      <c r="Q101" s="26"/>
      <c r="R101" s="11"/>
      <c r="S101" s="9"/>
      <c r="T101" s="11"/>
      <c r="U101" s="9"/>
      <c r="V101" s="55"/>
      <c r="W101" s="56"/>
      <c r="X101" s="55"/>
      <c r="Y101" s="26"/>
      <c r="Z101" s="11"/>
      <c r="AA101" s="9"/>
      <c r="AB101" s="11"/>
      <c r="AC101" s="9"/>
      <c r="AD101" s="55"/>
      <c r="AE101" s="56"/>
      <c r="AF101" s="55"/>
      <c r="AG101" s="26"/>
      <c r="AH101" s="11"/>
      <c r="AI101" s="9"/>
      <c r="AJ101" s="11"/>
      <c r="AK101" s="9"/>
      <c r="AL101" s="55"/>
      <c r="AM101" s="56"/>
      <c r="AN101" s="55"/>
      <c r="AO101" s="11"/>
      <c r="AP101" s="9"/>
      <c r="AQ101" s="11"/>
      <c r="AR101" s="9"/>
      <c r="AS101" s="55"/>
      <c r="AT101" s="56"/>
      <c r="AU101" s="55"/>
      <c r="AV101" s="11"/>
      <c r="AW101" s="9"/>
      <c r="AX101" s="11"/>
      <c r="AY101" s="9"/>
      <c r="AZ101" s="55"/>
      <c r="BA101" s="56"/>
      <c r="BB101" s="55"/>
      <c r="BC101" s="11"/>
      <c r="BD101" s="9"/>
      <c r="BE101" s="11"/>
      <c r="BF101" s="9"/>
      <c r="BG101" s="55"/>
      <c r="BH101" s="56"/>
      <c r="BI101" s="55"/>
      <c r="BJ101" s="11"/>
      <c r="BK101" s="9"/>
      <c r="BL101" s="11"/>
      <c r="BM101" s="9"/>
      <c r="BN101" s="55"/>
      <c r="BO101" s="56"/>
      <c r="BP101" s="55"/>
      <c r="BQ101" s="11"/>
      <c r="BR101" s="9"/>
      <c r="BS101" s="11"/>
      <c r="BT101" s="9"/>
      <c r="BU101" s="55"/>
      <c r="BV101" s="56"/>
      <c r="BW101" s="55"/>
      <c r="BX101" s="11"/>
      <c r="BY101" s="9"/>
      <c r="BZ101" s="11"/>
      <c r="CA101" s="9"/>
      <c r="CB101" s="55"/>
      <c r="CC101" s="56"/>
      <c r="CD101" s="55"/>
      <c r="CE101" s="11"/>
      <c r="CF101" s="9"/>
      <c r="CG101" s="11"/>
      <c r="CH101" s="9"/>
      <c r="CI101" s="55"/>
      <c r="CJ101" s="56"/>
      <c r="CK101" s="55"/>
      <c r="CL101" s="11"/>
      <c r="CM101" s="9"/>
      <c r="CN101" s="11"/>
      <c r="CO101" s="9"/>
      <c r="CP101" s="55"/>
      <c r="CQ101" s="56"/>
      <c r="CR101" s="55"/>
    </row>
    <row r="102" spans="1:96" ht="12.75">
      <c r="A102" s="78">
        <v>1996</v>
      </c>
      <c r="B102" s="9"/>
      <c r="C102" s="9"/>
      <c r="D102" s="10">
        <v>0</v>
      </c>
      <c r="E102" s="15">
        <v>0</v>
      </c>
      <c r="F102" s="11">
        <v>0</v>
      </c>
      <c r="G102" s="15">
        <v>0</v>
      </c>
      <c r="H102" s="9"/>
      <c r="I102" s="9"/>
      <c r="J102" s="10">
        <v>0</v>
      </c>
      <c r="K102" s="15">
        <v>0</v>
      </c>
      <c r="L102" s="11">
        <v>0</v>
      </c>
      <c r="M102" s="15">
        <v>0</v>
      </c>
      <c r="N102" s="57"/>
      <c r="O102" s="56"/>
      <c r="P102" s="57"/>
      <c r="Q102" s="9"/>
      <c r="R102" s="10">
        <v>0</v>
      </c>
      <c r="S102" s="15">
        <v>0</v>
      </c>
      <c r="T102" s="11">
        <v>0</v>
      </c>
      <c r="U102" s="15">
        <v>0</v>
      </c>
      <c r="V102" s="57"/>
      <c r="W102" s="56"/>
      <c r="X102" s="57"/>
      <c r="Y102" s="9"/>
      <c r="Z102" s="10">
        <v>0</v>
      </c>
      <c r="AA102" s="15">
        <v>0</v>
      </c>
      <c r="AB102" s="11">
        <v>0</v>
      </c>
      <c r="AC102" s="15">
        <v>0</v>
      </c>
      <c r="AD102" s="57"/>
      <c r="AE102" s="56"/>
      <c r="AF102" s="57"/>
      <c r="AG102" s="9"/>
      <c r="AH102" s="10">
        <v>0</v>
      </c>
      <c r="AI102" s="15">
        <v>0</v>
      </c>
      <c r="AJ102" s="11">
        <v>0</v>
      </c>
      <c r="AK102" s="15">
        <v>0</v>
      </c>
      <c r="AL102" s="57"/>
      <c r="AM102" s="56"/>
      <c r="AN102" s="57"/>
      <c r="AO102" s="10">
        <v>0</v>
      </c>
      <c r="AP102" s="15">
        <v>0</v>
      </c>
      <c r="AQ102" s="11">
        <v>0</v>
      </c>
      <c r="AR102" s="15">
        <v>0</v>
      </c>
      <c r="AS102" s="57"/>
      <c r="AT102" s="56"/>
      <c r="AU102" s="57"/>
      <c r="AV102" s="10">
        <v>0</v>
      </c>
      <c r="AW102" s="15">
        <v>0</v>
      </c>
      <c r="AX102" s="11">
        <v>0</v>
      </c>
      <c r="AY102" s="15">
        <v>0</v>
      </c>
      <c r="AZ102" s="57"/>
      <c r="BA102" s="56"/>
      <c r="BB102" s="57"/>
      <c r="BC102" s="10">
        <v>0</v>
      </c>
      <c r="BD102" s="15">
        <v>0</v>
      </c>
      <c r="BE102" s="11">
        <v>0</v>
      </c>
      <c r="BF102" s="15">
        <v>0</v>
      </c>
      <c r="BG102" s="57"/>
      <c r="BH102" s="56"/>
      <c r="BI102" s="57"/>
      <c r="BJ102" s="10">
        <v>0</v>
      </c>
      <c r="BK102" s="15">
        <v>0</v>
      </c>
      <c r="BL102" s="11">
        <v>0</v>
      </c>
      <c r="BM102" s="15">
        <v>0</v>
      </c>
      <c r="BN102" s="57"/>
      <c r="BO102" s="56"/>
      <c r="BP102" s="57"/>
      <c r="BQ102" s="10">
        <v>0</v>
      </c>
      <c r="BR102" s="15">
        <v>0</v>
      </c>
      <c r="BS102" s="11">
        <v>0</v>
      </c>
      <c r="BT102" s="15">
        <v>0</v>
      </c>
      <c r="BU102" s="57"/>
      <c r="BV102" s="56"/>
      <c r="BW102" s="57"/>
      <c r="BX102" s="10">
        <v>0</v>
      </c>
      <c r="BY102" s="15">
        <v>0</v>
      </c>
      <c r="BZ102" s="11">
        <v>0</v>
      </c>
      <c r="CA102" s="15">
        <v>0</v>
      </c>
      <c r="CB102" s="57"/>
      <c r="CC102" s="56"/>
      <c r="CD102" s="57"/>
      <c r="CE102" s="10">
        <v>0</v>
      </c>
      <c r="CF102" s="15">
        <v>0</v>
      </c>
      <c r="CG102" s="11">
        <v>0</v>
      </c>
      <c r="CH102" s="15">
        <v>0</v>
      </c>
      <c r="CI102" s="57"/>
      <c r="CJ102" s="56"/>
      <c r="CK102" s="57"/>
      <c r="CL102" s="10">
        <v>0</v>
      </c>
      <c r="CM102" s="15">
        <v>0</v>
      </c>
      <c r="CN102" s="11">
        <v>0</v>
      </c>
      <c r="CO102" s="15">
        <v>0</v>
      </c>
      <c r="CP102" s="57"/>
      <c r="CQ102" s="56"/>
      <c r="CR102" s="57"/>
    </row>
    <row r="103" spans="1:96" ht="12.75">
      <c r="A103" s="25">
        <v>1997</v>
      </c>
      <c r="B103" s="9"/>
      <c r="C103" s="9"/>
      <c r="D103" s="10">
        <v>1924109.3</v>
      </c>
      <c r="E103" s="15">
        <v>0.009996524351375399</v>
      </c>
      <c r="F103" s="11">
        <v>1488</v>
      </c>
      <c r="G103" s="15">
        <v>0.04968280467445743</v>
      </c>
      <c r="H103" s="9"/>
      <c r="I103" s="9"/>
      <c r="J103" s="10">
        <v>1882731.07</v>
      </c>
      <c r="K103" s="15">
        <v>0.010521973213215923</v>
      </c>
      <c r="L103" s="11">
        <v>371</v>
      </c>
      <c r="M103" s="15">
        <v>0.013720414201183431</v>
      </c>
      <c r="N103" s="57"/>
      <c r="O103" s="56"/>
      <c r="P103" s="57"/>
      <c r="Q103" s="9"/>
      <c r="R103" s="10">
        <v>1803707.78</v>
      </c>
      <c r="S103" s="15">
        <v>0.010798528681028038</v>
      </c>
      <c r="T103" s="11">
        <v>352</v>
      </c>
      <c r="U103" s="15">
        <v>0.013731762502925801</v>
      </c>
      <c r="V103" s="57"/>
      <c r="W103" s="56"/>
      <c r="X103" s="57"/>
      <c r="Y103" s="9"/>
      <c r="Z103" s="10">
        <v>1716394.79</v>
      </c>
      <c r="AA103" s="15">
        <v>0.011030590462564717</v>
      </c>
      <c r="AB103" s="11">
        <v>344</v>
      </c>
      <c r="AC103" s="15">
        <v>0.014192004620652668</v>
      </c>
      <c r="AD103" s="57"/>
      <c r="AE103" s="56"/>
      <c r="AF103" s="57"/>
      <c r="AG103" s="9"/>
      <c r="AH103" s="10">
        <v>1625388.91</v>
      </c>
      <c r="AI103" s="15">
        <v>0.011277120000964752</v>
      </c>
      <c r="AJ103" s="11">
        <v>335</v>
      </c>
      <c r="AK103" s="15">
        <v>0.014644168560937226</v>
      </c>
      <c r="AL103" s="57"/>
      <c r="AM103" s="56"/>
      <c r="AN103" s="57"/>
      <c r="AO103" s="10">
        <v>1513701.16</v>
      </c>
      <c r="AP103" s="15">
        <v>0.011341950034278897</v>
      </c>
      <c r="AQ103" s="11">
        <v>278</v>
      </c>
      <c r="AR103" s="15">
        <v>0.013229905296721077</v>
      </c>
      <c r="AS103" s="57"/>
      <c r="AT103" s="56"/>
      <c r="AU103" s="57"/>
      <c r="AV103" s="10">
        <v>1465612.15</v>
      </c>
      <c r="AW103" s="15">
        <v>0.011843952150312146</v>
      </c>
      <c r="AX103" s="11">
        <v>264</v>
      </c>
      <c r="AY103" s="15">
        <v>0.013409183258837871</v>
      </c>
      <c r="AZ103" s="57"/>
      <c r="BA103" s="56"/>
      <c r="BB103" s="57"/>
      <c r="BC103" s="10">
        <v>1409095.86</v>
      </c>
      <c r="BD103" s="15">
        <v>0.012603372209337604</v>
      </c>
      <c r="BE103" s="11">
        <v>253</v>
      </c>
      <c r="BF103" s="15">
        <v>0.014124609200535954</v>
      </c>
      <c r="BG103" s="57"/>
      <c r="BH103" s="56"/>
      <c r="BI103" s="57"/>
      <c r="BJ103" s="10">
        <v>1363968.84</v>
      </c>
      <c r="BK103" s="15">
        <v>0.01308540774818353</v>
      </c>
      <c r="BL103" s="11">
        <v>246</v>
      </c>
      <c r="BM103" s="15">
        <v>0.014605474084189277</v>
      </c>
      <c r="BN103" s="57"/>
      <c r="BO103" s="56"/>
      <c r="BP103" s="57"/>
      <c r="BQ103" s="10">
        <v>1212936.1</v>
      </c>
      <c r="BR103" s="15">
        <v>0.012587389068098729</v>
      </c>
      <c r="BS103" s="11">
        <v>233</v>
      </c>
      <c r="BT103" s="15">
        <v>0.014775825987697382</v>
      </c>
      <c r="BU103" s="57"/>
      <c r="BV103" s="56"/>
      <c r="BW103" s="57"/>
      <c r="BX103" s="10">
        <v>1187434.2</v>
      </c>
      <c r="BY103" s="15">
        <v>0.013197862115017034</v>
      </c>
      <c r="BZ103" s="11">
        <v>228</v>
      </c>
      <c r="CA103" s="15">
        <v>0.015418949076891864</v>
      </c>
      <c r="CB103" s="57"/>
      <c r="CC103" s="56"/>
      <c r="CD103" s="57"/>
      <c r="CE103" s="10">
        <v>1162096.65</v>
      </c>
      <c r="CF103" s="15">
        <v>0.01387325132224737</v>
      </c>
      <c r="CG103" s="11">
        <v>225</v>
      </c>
      <c r="CH103" s="15">
        <v>0.01623259505086213</v>
      </c>
      <c r="CI103" s="57"/>
      <c r="CJ103" s="56"/>
      <c r="CK103" s="57"/>
      <c r="CL103" s="10">
        <v>1137891.12</v>
      </c>
      <c r="CM103" s="15">
        <v>0.014496788729084643</v>
      </c>
      <c r="CN103" s="11">
        <v>217</v>
      </c>
      <c r="CO103" s="15">
        <v>0.016661547911547912</v>
      </c>
      <c r="CP103" s="57"/>
      <c r="CQ103" s="56"/>
      <c r="CR103" s="57"/>
    </row>
    <row r="104" spans="1:96" ht="12.75">
      <c r="A104" s="25">
        <v>1998</v>
      </c>
      <c r="B104" s="9"/>
      <c r="C104" s="9"/>
      <c r="D104" s="10">
        <v>33295083.929999992</v>
      </c>
      <c r="E104" s="15">
        <v>0.17298139834744963</v>
      </c>
      <c r="F104" s="11">
        <v>5547</v>
      </c>
      <c r="G104" s="15">
        <v>0.18520868113522537</v>
      </c>
      <c r="H104" s="9"/>
      <c r="I104" s="9"/>
      <c r="J104" s="10">
        <v>31661348.10999997</v>
      </c>
      <c r="K104" s="15">
        <v>0.17694500399768956</v>
      </c>
      <c r="L104" s="11">
        <v>5115</v>
      </c>
      <c r="M104" s="15">
        <v>0.18916420118343194</v>
      </c>
      <c r="N104" s="57"/>
      <c r="O104" s="56"/>
      <c r="P104" s="57"/>
      <c r="Q104" s="9"/>
      <c r="R104" s="10">
        <v>30174215.140000034</v>
      </c>
      <c r="S104" s="15">
        <v>0.18064851259709097</v>
      </c>
      <c r="T104" s="11">
        <v>4915</v>
      </c>
      <c r="U104" s="15">
        <v>0.19173753608488725</v>
      </c>
      <c r="V104" s="57"/>
      <c r="W104" s="56"/>
      <c r="X104" s="57"/>
      <c r="Y104" s="9"/>
      <c r="Z104" s="10">
        <v>28788011.24999988</v>
      </c>
      <c r="AA104" s="15">
        <v>0.18500916233290035</v>
      </c>
      <c r="AB104" s="11">
        <v>4759</v>
      </c>
      <c r="AC104" s="15">
        <v>0.1963364825281571</v>
      </c>
      <c r="AD104" s="57"/>
      <c r="AE104" s="56"/>
      <c r="AF104" s="57"/>
      <c r="AG104" s="9"/>
      <c r="AH104" s="10">
        <v>27420203.700000048</v>
      </c>
      <c r="AI104" s="15">
        <v>0.19024427057017282</v>
      </c>
      <c r="AJ104" s="11">
        <v>4574</v>
      </c>
      <c r="AK104" s="15">
        <v>0.19994754327679665</v>
      </c>
      <c r="AL104" s="57"/>
      <c r="AM104" s="56"/>
      <c r="AN104" s="57"/>
      <c r="AO104" s="10">
        <v>26069301.14</v>
      </c>
      <c r="AP104" s="15">
        <v>0.19533360928285878</v>
      </c>
      <c r="AQ104" s="11">
        <v>4299</v>
      </c>
      <c r="AR104" s="15">
        <v>0.20458763622519394</v>
      </c>
      <c r="AS104" s="57"/>
      <c r="AT104" s="56"/>
      <c r="AU104" s="57"/>
      <c r="AV104" s="10">
        <v>24914152.919999953</v>
      </c>
      <c r="AW104" s="15">
        <v>0.20133705568013968</v>
      </c>
      <c r="AX104" s="11">
        <v>4062</v>
      </c>
      <c r="AY104" s="15">
        <v>0.20631856968711906</v>
      </c>
      <c r="AZ104" s="57"/>
      <c r="BA104" s="56"/>
      <c r="BB104" s="57"/>
      <c r="BC104" s="10">
        <v>22111125.879999936</v>
      </c>
      <c r="BD104" s="15">
        <v>0.19776848214794754</v>
      </c>
      <c r="BE104" s="11">
        <v>3564</v>
      </c>
      <c r="BF104" s="15">
        <v>0.19897275569450648</v>
      </c>
      <c r="BG104" s="57"/>
      <c r="BH104" s="56"/>
      <c r="BI104" s="57"/>
      <c r="BJ104" s="10">
        <v>21118441.03999992</v>
      </c>
      <c r="BK104" s="15">
        <v>0.2026024377612411</v>
      </c>
      <c r="BL104" s="11">
        <v>3330</v>
      </c>
      <c r="BM104" s="15">
        <v>0.19770824674939144</v>
      </c>
      <c r="BN104" s="57"/>
      <c r="BO104" s="56"/>
      <c r="BP104" s="57"/>
      <c r="BQ104" s="10">
        <v>20102869.12999999</v>
      </c>
      <c r="BR104" s="15">
        <v>0.20861992245459698</v>
      </c>
      <c r="BS104" s="11">
        <v>3181</v>
      </c>
      <c r="BT104" s="15">
        <v>0.2017249032912677</v>
      </c>
      <c r="BU104" s="57"/>
      <c r="BV104" s="56"/>
      <c r="BW104" s="57"/>
      <c r="BX104" s="10">
        <v>19243871.779999983</v>
      </c>
      <c r="BY104" s="15">
        <v>0.2138880338055846</v>
      </c>
      <c r="BZ104" s="11">
        <v>3052</v>
      </c>
      <c r="CA104" s="15">
        <v>0.2063975113275174</v>
      </c>
      <c r="CB104" s="57"/>
      <c r="CC104" s="56"/>
      <c r="CD104" s="57"/>
      <c r="CE104" s="10">
        <v>18421779.899999972</v>
      </c>
      <c r="CF104" s="15">
        <v>0.21992145176205846</v>
      </c>
      <c r="CG104" s="11">
        <v>2955</v>
      </c>
      <c r="CH104" s="15">
        <v>0.21318808166798933</v>
      </c>
      <c r="CI104" s="57"/>
      <c r="CJ104" s="56"/>
      <c r="CK104" s="57"/>
      <c r="CL104" s="10">
        <v>17623061.449999984</v>
      </c>
      <c r="CM104" s="15">
        <v>0.22451866800781947</v>
      </c>
      <c r="CN104" s="11">
        <v>2845</v>
      </c>
      <c r="CO104" s="15">
        <v>0.21844287469287468</v>
      </c>
      <c r="CP104" s="57"/>
      <c r="CQ104" s="56"/>
      <c r="CR104" s="57"/>
    </row>
    <row r="105" spans="1:96" ht="12.75">
      <c r="A105" s="25">
        <v>1999</v>
      </c>
      <c r="B105" s="9"/>
      <c r="C105" s="9"/>
      <c r="D105" s="10">
        <v>43084804.29</v>
      </c>
      <c r="E105" s="15">
        <v>0.22384294658272688</v>
      </c>
      <c r="F105" s="11">
        <v>7555</v>
      </c>
      <c r="G105" s="15">
        <v>0.25225375626043406</v>
      </c>
      <c r="H105" s="9"/>
      <c r="I105" s="9"/>
      <c r="J105" s="10">
        <v>39753755.580000035</v>
      </c>
      <c r="K105" s="15">
        <v>0.2221708442605632</v>
      </c>
      <c r="L105" s="11">
        <v>7037</v>
      </c>
      <c r="M105" s="15">
        <v>0.2602440828402367</v>
      </c>
      <c r="N105" s="57"/>
      <c r="O105" s="56"/>
      <c r="P105" s="57"/>
      <c r="Q105" s="9"/>
      <c r="R105" s="10">
        <v>36854323.05000006</v>
      </c>
      <c r="S105" s="15">
        <v>0.22064131944660045</v>
      </c>
      <c r="T105" s="11">
        <v>6664</v>
      </c>
      <c r="U105" s="15">
        <v>0.2599672310212998</v>
      </c>
      <c r="V105" s="57"/>
      <c r="W105" s="56"/>
      <c r="X105" s="57"/>
      <c r="Y105" s="9"/>
      <c r="Z105" s="10">
        <v>34162939.700000025</v>
      </c>
      <c r="AA105" s="15">
        <v>0.21955170163852208</v>
      </c>
      <c r="AB105" s="11">
        <v>6196</v>
      </c>
      <c r="AC105" s="15">
        <v>0.2556211064812905</v>
      </c>
      <c r="AD105" s="57"/>
      <c r="AE105" s="56"/>
      <c r="AF105" s="57"/>
      <c r="AG105" s="9"/>
      <c r="AH105" s="10">
        <v>31554564.020000078</v>
      </c>
      <c r="AI105" s="15">
        <v>0.21892889931903475</v>
      </c>
      <c r="AJ105" s="11">
        <v>5761</v>
      </c>
      <c r="AK105" s="15">
        <v>0.2518359853121175</v>
      </c>
      <c r="AL105" s="57"/>
      <c r="AM105" s="56"/>
      <c r="AN105" s="57"/>
      <c r="AO105" s="10">
        <v>29088610.85999995</v>
      </c>
      <c r="AP105" s="15">
        <v>0.21795687263706806</v>
      </c>
      <c r="AQ105" s="11">
        <v>5318</v>
      </c>
      <c r="AR105" s="15">
        <v>0.25308142578403847</v>
      </c>
      <c r="AS105" s="57"/>
      <c r="AT105" s="56"/>
      <c r="AU105" s="57"/>
      <c r="AV105" s="10">
        <v>26862066.56999995</v>
      </c>
      <c r="AW105" s="15">
        <v>0.21707859825915</v>
      </c>
      <c r="AX105" s="11">
        <v>4998</v>
      </c>
      <c r="AY105" s="15">
        <v>0.2538602194229988</v>
      </c>
      <c r="AZ105" s="57"/>
      <c r="BA105" s="56"/>
      <c r="BB105" s="57"/>
      <c r="BC105" s="10">
        <v>23964499.599999893</v>
      </c>
      <c r="BD105" s="15">
        <v>0.21434560759359617</v>
      </c>
      <c r="BE105" s="11">
        <v>4537</v>
      </c>
      <c r="BF105" s="15">
        <v>0.25329388119696294</v>
      </c>
      <c r="BG105" s="57"/>
      <c r="BH105" s="56"/>
      <c r="BI105" s="57"/>
      <c r="BJ105" s="10">
        <v>22191083.24000002</v>
      </c>
      <c r="BK105" s="15">
        <v>0.21289296650595196</v>
      </c>
      <c r="BL105" s="11">
        <v>4265</v>
      </c>
      <c r="BM105" s="15">
        <v>0.25322092263848484</v>
      </c>
      <c r="BN105" s="57"/>
      <c r="BO105" s="56"/>
      <c r="BP105" s="57"/>
      <c r="BQ105" s="10">
        <v>20361642.500000004</v>
      </c>
      <c r="BR105" s="15">
        <v>0.21130537397067703</v>
      </c>
      <c r="BS105" s="11">
        <v>3947</v>
      </c>
      <c r="BT105" s="15">
        <v>0.25030122392035004</v>
      </c>
      <c r="BU105" s="57"/>
      <c r="BV105" s="56"/>
      <c r="BW105" s="57"/>
      <c r="BX105" s="10">
        <v>18988527.250000037</v>
      </c>
      <c r="BY105" s="15">
        <v>0.21104998021174073</v>
      </c>
      <c r="BZ105" s="11">
        <v>3650</v>
      </c>
      <c r="CA105" s="15">
        <v>0.24683843916954082</v>
      </c>
      <c r="CB105" s="57"/>
      <c r="CC105" s="56"/>
      <c r="CD105" s="57"/>
      <c r="CE105" s="10">
        <v>17690303.96999998</v>
      </c>
      <c r="CF105" s="15">
        <v>0.21118900303409377</v>
      </c>
      <c r="CG105" s="11">
        <v>3344</v>
      </c>
      <c r="CH105" s="15">
        <v>0.24125243488925763</v>
      </c>
      <c r="CI105" s="57"/>
      <c r="CJ105" s="56"/>
      <c r="CK105" s="57"/>
      <c r="CL105" s="10">
        <v>16615058.880000005</v>
      </c>
      <c r="CM105" s="15">
        <v>0.2116766657821021</v>
      </c>
      <c r="CN105" s="11">
        <v>3059</v>
      </c>
      <c r="CO105" s="15">
        <v>0.23487407862407864</v>
      </c>
      <c r="CP105" s="57"/>
      <c r="CQ105" s="56"/>
      <c r="CR105" s="57"/>
    </row>
    <row r="106" spans="1:96" ht="12.75">
      <c r="A106" s="25">
        <v>2000</v>
      </c>
      <c r="B106" s="9"/>
      <c r="C106" s="9"/>
      <c r="D106" s="10">
        <v>63130797.599999726</v>
      </c>
      <c r="E106" s="15">
        <v>0.3279899720510412</v>
      </c>
      <c r="F106" s="11">
        <v>8953</v>
      </c>
      <c r="G106" s="15">
        <v>0.2989315525876461</v>
      </c>
      <c r="H106" s="9"/>
      <c r="I106" s="9"/>
      <c r="J106" s="10">
        <v>58179989.05000001</v>
      </c>
      <c r="K106" s="15">
        <v>0.3251490858592438</v>
      </c>
      <c r="L106" s="11">
        <v>8405</v>
      </c>
      <c r="M106" s="15">
        <v>0.31083579881656803</v>
      </c>
      <c r="N106" s="57"/>
      <c r="O106" s="56"/>
      <c r="P106" s="57"/>
      <c r="Q106" s="9"/>
      <c r="R106" s="10">
        <v>53807800.130000144</v>
      </c>
      <c r="S106" s="15">
        <v>0.32213925083076983</v>
      </c>
      <c r="T106" s="11">
        <v>7872</v>
      </c>
      <c r="U106" s="15">
        <v>0.30709214324724976</v>
      </c>
      <c r="V106" s="57"/>
      <c r="W106" s="56"/>
      <c r="X106" s="57"/>
      <c r="Y106" s="9"/>
      <c r="Z106" s="10">
        <v>49963421.26000007</v>
      </c>
      <c r="AA106" s="15">
        <v>0.32109514736272293</v>
      </c>
      <c r="AB106" s="11">
        <v>7413</v>
      </c>
      <c r="AC106" s="15">
        <v>0.30582944840958787</v>
      </c>
      <c r="AD106" s="57"/>
      <c r="AE106" s="56"/>
      <c r="AF106" s="57"/>
      <c r="AG106" s="9"/>
      <c r="AH106" s="10">
        <v>45970127.41000002</v>
      </c>
      <c r="AI106" s="15">
        <v>0.318945601309787</v>
      </c>
      <c r="AJ106" s="11">
        <v>6977</v>
      </c>
      <c r="AK106" s="15">
        <v>0.3049921314915195</v>
      </c>
      <c r="AL106" s="57"/>
      <c r="AM106" s="56"/>
      <c r="AN106" s="57"/>
      <c r="AO106" s="10">
        <v>42205942.50000001</v>
      </c>
      <c r="AP106" s="15">
        <v>0.31624319491480646</v>
      </c>
      <c r="AQ106" s="11">
        <v>6376</v>
      </c>
      <c r="AR106" s="15">
        <v>0.3034312092514158</v>
      </c>
      <c r="AS106" s="57"/>
      <c r="AT106" s="56"/>
      <c r="AU106" s="57"/>
      <c r="AV106" s="10">
        <v>38814433.16999999</v>
      </c>
      <c r="AW106" s="15">
        <v>0.3136684485093609</v>
      </c>
      <c r="AX106" s="11">
        <v>5921</v>
      </c>
      <c r="AY106" s="15">
        <v>0.3007415684681024</v>
      </c>
      <c r="AZ106" s="57"/>
      <c r="BA106" s="56"/>
      <c r="BB106" s="57"/>
      <c r="BC106" s="10">
        <v>35228739.03999992</v>
      </c>
      <c r="BD106" s="15">
        <v>0.315096313310254</v>
      </c>
      <c r="BE106" s="11">
        <v>5407</v>
      </c>
      <c r="BF106" s="15">
        <v>0.3018646717284502</v>
      </c>
      <c r="BG106" s="57"/>
      <c r="BH106" s="56"/>
      <c r="BI106" s="57"/>
      <c r="BJ106" s="10">
        <v>32582004.46000001</v>
      </c>
      <c r="BK106" s="15">
        <v>0.31257958474493797</v>
      </c>
      <c r="BL106" s="11">
        <v>5062</v>
      </c>
      <c r="BM106" s="15">
        <v>0.30054028379742326</v>
      </c>
      <c r="BN106" s="57"/>
      <c r="BO106" s="56"/>
      <c r="BP106" s="57"/>
      <c r="BQ106" s="10">
        <v>30078176.91000005</v>
      </c>
      <c r="BR106" s="15">
        <v>0.31213986888944456</v>
      </c>
      <c r="BS106" s="11">
        <v>4751</v>
      </c>
      <c r="BT106" s="15">
        <v>0.30128733591223283</v>
      </c>
      <c r="BU106" s="57"/>
      <c r="BV106" s="56"/>
      <c r="BW106" s="57"/>
      <c r="BX106" s="10">
        <v>27936006.100000013</v>
      </c>
      <c r="BY106" s="15">
        <v>0.31049767351494095</v>
      </c>
      <c r="BZ106" s="11">
        <v>4453</v>
      </c>
      <c r="CA106" s="15">
        <v>0.3011428957868398</v>
      </c>
      <c r="CB106" s="57"/>
      <c r="CC106" s="56"/>
      <c r="CD106" s="57"/>
      <c r="CE106" s="10">
        <v>25813813.000000037</v>
      </c>
      <c r="CF106" s="15">
        <v>0.3081684430761391</v>
      </c>
      <c r="CG106" s="11">
        <v>4179</v>
      </c>
      <c r="CH106" s="15">
        <v>0.30149339874467934</v>
      </c>
      <c r="CI106" s="57"/>
      <c r="CJ106" s="56"/>
      <c r="CK106" s="57"/>
      <c r="CL106" s="10">
        <v>24058192.82000002</v>
      </c>
      <c r="CM106" s="15">
        <v>0.30650255756905936</v>
      </c>
      <c r="CN106" s="11">
        <v>3933</v>
      </c>
      <c r="CO106" s="15">
        <v>0.3019809582309582</v>
      </c>
      <c r="CP106" s="57"/>
      <c r="CQ106" s="56"/>
      <c r="CR106" s="57"/>
    </row>
    <row r="107" spans="1:96" ht="12.75">
      <c r="A107" s="25">
        <v>2001</v>
      </c>
      <c r="B107" s="9"/>
      <c r="C107" s="9"/>
      <c r="D107" s="10">
        <v>51043033.41000006</v>
      </c>
      <c r="E107" s="15">
        <v>0.265189158667407</v>
      </c>
      <c r="F107" s="11">
        <v>6407</v>
      </c>
      <c r="G107" s="15">
        <v>0.21392320534223705</v>
      </c>
      <c r="H107" s="9"/>
      <c r="I107" s="9"/>
      <c r="J107" s="10">
        <v>47455445.819999725</v>
      </c>
      <c r="K107" s="15">
        <v>0.26521309266928744</v>
      </c>
      <c r="L107" s="11">
        <v>6112</v>
      </c>
      <c r="M107" s="15">
        <v>0.22603550295857988</v>
      </c>
      <c r="N107" s="57"/>
      <c r="O107" s="56"/>
      <c r="P107" s="57"/>
      <c r="Q107" s="9"/>
      <c r="R107" s="10">
        <v>44392688.93999997</v>
      </c>
      <c r="S107" s="15">
        <v>0.26577238844451073</v>
      </c>
      <c r="T107" s="11">
        <v>5831</v>
      </c>
      <c r="U107" s="15">
        <v>0.22747132714363735</v>
      </c>
      <c r="V107" s="57"/>
      <c r="W107" s="56"/>
      <c r="X107" s="57"/>
      <c r="Y107" s="9"/>
      <c r="Z107" s="10">
        <v>40972398.19999986</v>
      </c>
      <c r="AA107" s="15">
        <v>0.2633133982032899</v>
      </c>
      <c r="AB107" s="11">
        <v>5527</v>
      </c>
      <c r="AC107" s="15">
        <v>0.22802095796031188</v>
      </c>
      <c r="AD107" s="57"/>
      <c r="AE107" s="56"/>
      <c r="AF107" s="57"/>
      <c r="AG107" s="9"/>
      <c r="AH107" s="10">
        <v>37561277.01999998</v>
      </c>
      <c r="AI107" s="15">
        <v>0.2606041088000407</v>
      </c>
      <c r="AJ107" s="11">
        <v>5229</v>
      </c>
      <c r="AK107" s="15">
        <v>0.22858017135862913</v>
      </c>
      <c r="AL107" s="57"/>
      <c r="AM107" s="56"/>
      <c r="AN107" s="57"/>
      <c r="AO107" s="10">
        <v>34582841.839999914</v>
      </c>
      <c r="AP107" s="15">
        <v>0.25912437313098774</v>
      </c>
      <c r="AQ107" s="11">
        <v>4742</v>
      </c>
      <c r="AR107" s="15">
        <v>0.22566982344263076</v>
      </c>
      <c r="AS107" s="57"/>
      <c r="AT107" s="56"/>
      <c r="AU107" s="57"/>
      <c r="AV107" s="10">
        <v>31687240.010000028</v>
      </c>
      <c r="AW107" s="15">
        <v>0.25607194540103745</v>
      </c>
      <c r="AX107" s="11">
        <v>4443</v>
      </c>
      <c r="AY107" s="15">
        <v>0.2256704591629419</v>
      </c>
      <c r="AZ107" s="57"/>
      <c r="BA107" s="56"/>
      <c r="BB107" s="57"/>
      <c r="BC107" s="10">
        <v>29089621.889999915</v>
      </c>
      <c r="BD107" s="15">
        <v>0.26018622473886477</v>
      </c>
      <c r="BE107" s="11">
        <v>4151</v>
      </c>
      <c r="BF107" s="15">
        <v>0.23174408217954445</v>
      </c>
      <c r="BG107" s="57"/>
      <c r="BH107" s="56"/>
      <c r="BI107" s="57"/>
      <c r="BJ107" s="10">
        <v>26980370.820000064</v>
      </c>
      <c r="BK107" s="15">
        <v>0.25883960323968536</v>
      </c>
      <c r="BL107" s="11">
        <v>3940</v>
      </c>
      <c r="BM107" s="15">
        <v>0.2339250727305112</v>
      </c>
      <c r="BN107" s="57"/>
      <c r="BO107" s="56"/>
      <c r="BP107" s="57"/>
      <c r="BQ107" s="10">
        <v>24605590.020000033</v>
      </c>
      <c r="BR107" s="15">
        <v>0.25534744561718264</v>
      </c>
      <c r="BS107" s="11">
        <v>3657</v>
      </c>
      <c r="BT107" s="15">
        <v>0.23191071088845203</v>
      </c>
      <c r="BU107" s="57"/>
      <c r="BV107" s="56"/>
      <c r="BW107" s="57"/>
      <c r="BX107" s="10">
        <v>22615868.940000102</v>
      </c>
      <c r="BY107" s="15">
        <v>0.25136645035271676</v>
      </c>
      <c r="BZ107" s="11">
        <v>3404</v>
      </c>
      <c r="CA107" s="15">
        <v>0.23020220463921012</v>
      </c>
      <c r="CB107" s="57"/>
      <c r="CC107" s="56"/>
      <c r="CD107" s="57"/>
      <c r="CE107" s="10">
        <v>20677277.000000086</v>
      </c>
      <c r="CF107" s="15">
        <v>0.24684785080546134</v>
      </c>
      <c r="CG107" s="11">
        <v>3158</v>
      </c>
      <c r="CH107" s="15">
        <v>0.2278334896472116</v>
      </c>
      <c r="CI107" s="57"/>
      <c r="CJ107" s="56"/>
      <c r="CK107" s="57"/>
      <c r="CL107" s="10">
        <v>19058428.91000003</v>
      </c>
      <c r="CM107" s="15">
        <v>0.24280531991193446</v>
      </c>
      <c r="CN107" s="11">
        <v>2970</v>
      </c>
      <c r="CO107" s="15">
        <v>0.22804054054054054</v>
      </c>
      <c r="CP107" s="57"/>
      <c r="CQ107" s="56"/>
      <c r="CR107" s="57"/>
    </row>
    <row r="108" spans="1:96" ht="12.75">
      <c r="A108" s="9"/>
      <c r="B108" s="9"/>
      <c r="C108" s="9"/>
      <c r="D108" s="10"/>
      <c r="E108" s="9"/>
      <c r="F108" s="11"/>
      <c r="G108" s="9"/>
      <c r="H108" s="9"/>
      <c r="I108" s="9"/>
      <c r="J108" s="10"/>
      <c r="K108" s="9"/>
      <c r="L108" s="11"/>
      <c r="M108" s="9"/>
      <c r="N108" s="55"/>
      <c r="O108" s="56"/>
      <c r="P108" s="55"/>
      <c r="Q108" s="9"/>
      <c r="R108" s="10"/>
      <c r="S108" s="9"/>
      <c r="T108" s="11"/>
      <c r="U108" s="9"/>
      <c r="V108" s="55"/>
      <c r="W108" s="56"/>
      <c r="X108" s="55"/>
      <c r="Y108" s="9"/>
      <c r="Z108" s="10"/>
      <c r="AA108" s="9"/>
      <c r="AB108" s="11"/>
      <c r="AC108" s="9"/>
      <c r="AD108" s="55"/>
      <c r="AE108" s="56"/>
      <c r="AF108" s="55"/>
      <c r="AG108" s="9"/>
      <c r="AH108" s="10"/>
      <c r="AI108" s="9"/>
      <c r="AJ108" s="11"/>
      <c r="AK108" s="9"/>
      <c r="AL108" s="55"/>
      <c r="AM108" s="56"/>
      <c r="AN108" s="55"/>
      <c r="AO108" s="10"/>
      <c r="AP108" s="9"/>
      <c r="AQ108" s="11"/>
      <c r="AR108" s="9"/>
      <c r="AS108" s="55"/>
      <c r="AT108" s="56"/>
      <c r="AU108" s="55"/>
      <c r="AV108" s="10"/>
      <c r="AW108" s="9"/>
      <c r="AX108" s="11"/>
      <c r="AY108" s="9"/>
      <c r="AZ108" s="55"/>
      <c r="BA108" s="56"/>
      <c r="BB108" s="55"/>
      <c r="BC108" s="10"/>
      <c r="BD108" s="9"/>
      <c r="BE108" s="11"/>
      <c r="BF108" s="9"/>
      <c r="BG108" s="55"/>
      <c r="BH108" s="56"/>
      <c r="BI108" s="55"/>
      <c r="BJ108" s="10"/>
      <c r="BK108" s="9"/>
      <c r="BL108" s="11"/>
      <c r="BM108" s="9"/>
      <c r="BN108" s="55"/>
      <c r="BO108" s="56"/>
      <c r="BP108" s="55"/>
      <c r="BQ108" s="10"/>
      <c r="BR108" s="9"/>
      <c r="BS108" s="11"/>
      <c r="BT108" s="9"/>
      <c r="BU108" s="55"/>
      <c r="BV108" s="56"/>
      <c r="BW108" s="55"/>
      <c r="BX108" s="10"/>
      <c r="BY108" s="9"/>
      <c r="BZ108" s="11"/>
      <c r="CA108" s="9"/>
      <c r="CB108" s="55"/>
      <c r="CC108" s="56"/>
      <c r="CD108" s="55"/>
      <c r="CE108" s="10"/>
      <c r="CF108" s="9"/>
      <c r="CG108" s="11"/>
      <c r="CH108" s="9"/>
      <c r="CI108" s="55"/>
      <c r="CJ108" s="56"/>
      <c r="CK108" s="55"/>
      <c r="CL108" s="10"/>
      <c r="CM108" s="9"/>
      <c r="CN108" s="11"/>
      <c r="CO108" s="9"/>
      <c r="CP108" s="55"/>
      <c r="CQ108" s="56"/>
      <c r="CR108" s="55"/>
    </row>
    <row r="109" spans="1:96" ht="13.5" thickBot="1">
      <c r="A109" s="9"/>
      <c r="B109" s="13"/>
      <c r="C109" s="13"/>
      <c r="D109" s="22">
        <f>SUM(D102:D107)</f>
        <v>192477828.52999976</v>
      </c>
      <c r="E109" s="13"/>
      <c r="F109" s="23">
        <f>SUM(F102:F107)</f>
        <v>29950</v>
      </c>
      <c r="G109" s="13"/>
      <c r="H109" s="9"/>
      <c r="I109" s="9"/>
      <c r="J109" s="22">
        <f>SUM(J102:J107)</f>
        <v>178933269.62999976</v>
      </c>
      <c r="K109" s="13"/>
      <c r="L109" s="23">
        <f>SUM(L102:L107)</f>
        <v>27040</v>
      </c>
      <c r="M109" s="13"/>
      <c r="N109" s="54"/>
      <c r="O109" s="32"/>
      <c r="P109" s="54"/>
      <c r="Q109" s="9"/>
      <c r="R109" s="22">
        <f>SUM(R102:R107)</f>
        <v>167032735.0400002</v>
      </c>
      <c r="S109" s="13"/>
      <c r="T109" s="23">
        <f>SUM(T102:T107)</f>
        <v>25634</v>
      </c>
      <c r="U109" s="13"/>
      <c r="V109" s="54"/>
      <c r="W109" s="32"/>
      <c r="X109" s="54"/>
      <c r="Y109" s="9"/>
      <c r="Z109" s="22">
        <f>SUM(Z102:Z107)</f>
        <v>155603165.19999984</v>
      </c>
      <c r="AA109" s="13"/>
      <c r="AB109" s="23">
        <f>SUM(AB102:AB107)</f>
        <v>24239</v>
      </c>
      <c r="AC109" s="13"/>
      <c r="AD109" s="54"/>
      <c r="AE109" s="32"/>
      <c r="AF109" s="54"/>
      <c r="AG109" s="9"/>
      <c r="AH109" s="22">
        <f>SUM(AH102:AH107)</f>
        <v>144131561.06000012</v>
      </c>
      <c r="AI109" s="13"/>
      <c r="AJ109" s="23">
        <f>SUM(AJ102:AJ107)</f>
        <v>22876</v>
      </c>
      <c r="AK109" s="13"/>
      <c r="AL109" s="54"/>
      <c r="AM109" s="32"/>
      <c r="AN109" s="54"/>
      <c r="AO109" s="22">
        <f>SUM(AO102:AO107)</f>
        <v>133460397.49999988</v>
      </c>
      <c r="AP109" s="13"/>
      <c r="AQ109" s="23">
        <f>SUM(AQ102:AQ107)</f>
        <v>21013</v>
      </c>
      <c r="AR109" s="13"/>
      <c r="AS109" s="54"/>
      <c r="AT109" s="32"/>
      <c r="AU109" s="54"/>
      <c r="AV109" s="22">
        <f>SUM(AV102:AV107)</f>
        <v>123743504.8199999</v>
      </c>
      <c r="AW109" s="13"/>
      <c r="AX109" s="23">
        <f>SUM(AX102:AX107)</f>
        <v>19688</v>
      </c>
      <c r="AY109" s="13"/>
      <c r="AZ109" s="54"/>
      <c r="BA109" s="32"/>
      <c r="BB109" s="54"/>
      <c r="BC109" s="22">
        <f>SUM(BC102:BC107)</f>
        <v>111803082.26999965</v>
      </c>
      <c r="BD109" s="13"/>
      <c r="BE109" s="23">
        <f>SUM(BE102:BE107)</f>
        <v>17912</v>
      </c>
      <c r="BF109" s="13"/>
      <c r="BG109" s="54"/>
      <c r="BH109" s="32"/>
      <c r="BI109" s="54"/>
      <c r="BJ109" s="22">
        <f>SUM(BJ102:BJ107)</f>
        <v>104235868.40000002</v>
      </c>
      <c r="BK109" s="13"/>
      <c r="BL109" s="23">
        <f>SUM(BL102:BL107)</f>
        <v>16843</v>
      </c>
      <c r="BM109" s="13"/>
      <c r="BN109" s="54"/>
      <c r="BO109" s="32"/>
      <c r="BP109" s="54"/>
      <c r="BQ109" s="22">
        <f>SUM(BQ102:BQ107)</f>
        <v>96361214.66000009</v>
      </c>
      <c r="BR109" s="13"/>
      <c r="BS109" s="23">
        <f>SUM(BS102:BS107)</f>
        <v>15769</v>
      </c>
      <c r="BT109" s="13"/>
      <c r="BU109" s="54"/>
      <c r="BV109" s="32"/>
      <c r="BW109" s="54"/>
      <c r="BX109" s="22">
        <f>SUM(BX102:BX107)</f>
        <v>89971708.27000013</v>
      </c>
      <c r="BY109" s="13"/>
      <c r="BZ109" s="23">
        <f>SUM(BZ102:BZ107)</f>
        <v>14787</v>
      </c>
      <c r="CA109" s="13"/>
      <c r="CB109" s="54"/>
      <c r="CC109" s="32"/>
      <c r="CD109" s="54"/>
      <c r="CE109" s="22">
        <f>SUM(CE102:CE107)</f>
        <v>83765270.52000007</v>
      </c>
      <c r="CF109" s="13"/>
      <c r="CG109" s="23">
        <f>SUM(CG102:CG107)</f>
        <v>13861</v>
      </c>
      <c r="CH109" s="13"/>
      <c r="CI109" s="54"/>
      <c r="CJ109" s="32"/>
      <c r="CK109" s="54"/>
      <c r="CL109" s="22">
        <f>SUM(CL102:CL107)</f>
        <v>78492633.18000004</v>
      </c>
      <c r="CM109" s="13"/>
      <c r="CN109" s="23">
        <f>SUM(CN102:CN107)</f>
        <v>13024</v>
      </c>
      <c r="CO109" s="13"/>
      <c r="CP109" s="54"/>
      <c r="CQ109" s="32"/>
      <c r="CR109" s="54"/>
    </row>
    <row r="110" spans="1:96" ht="13.5" thickTop="1">
      <c r="A110" s="9"/>
      <c r="B110" s="13"/>
      <c r="C110" s="13"/>
      <c r="D110" s="31"/>
      <c r="E110" s="13"/>
      <c r="F110" s="32"/>
      <c r="G110" s="13"/>
      <c r="H110" s="9"/>
      <c r="I110" s="9"/>
      <c r="J110" s="31"/>
      <c r="K110" s="13"/>
      <c r="L110" s="32"/>
      <c r="M110" s="13"/>
      <c r="N110" s="54"/>
      <c r="O110" s="32"/>
      <c r="P110" s="54"/>
      <c r="Q110" s="9"/>
      <c r="R110" s="31"/>
      <c r="S110" s="13"/>
      <c r="T110" s="32"/>
      <c r="U110" s="13"/>
      <c r="V110" s="54"/>
      <c r="W110" s="32"/>
      <c r="X110" s="54"/>
      <c r="Y110" s="9"/>
      <c r="Z110" s="31"/>
      <c r="AA110" s="13"/>
      <c r="AB110" s="32"/>
      <c r="AC110" s="13"/>
      <c r="AD110" s="54"/>
      <c r="AE110" s="32"/>
      <c r="AF110" s="54"/>
      <c r="AG110" s="9"/>
      <c r="AH110" s="31"/>
      <c r="AI110" s="13"/>
      <c r="AJ110" s="32"/>
      <c r="AK110" s="13"/>
      <c r="AL110" s="54"/>
      <c r="AM110" s="32"/>
      <c r="AN110" s="54"/>
      <c r="AO110" s="31"/>
      <c r="AP110" s="13"/>
      <c r="AQ110" s="32"/>
      <c r="AR110" s="13"/>
      <c r="AS110" s="54"/>
      <c r="AT110" s="32"/>
      <c r="AU110" s="54"/>
      <c r="AV110" s="31"/>
      <c r="AW110" s="13"/>
      <c r="AX110" s="32"/>
      <c r="AY110" s="13"/>
      <c r="AZ110" s="54"/>
      <c r="BA110" s="32"/>
      <c r="BB110" s="54"/>
      <c r="BC110" s="31"/>
      <c r="BD110" s="13"/>
      <c r="BE110" s="32"/>
      <c r="BF110" s="13"/>
      <c r="BG110" s="54"/>
      <c r="BH110" s="32"/>
      <c r="BI110" s="54"/>
      <c r="BJ110" s="31"/>
      <c r="BK110" s="13"/>
      <c r="BL110" s="32"/>
      <c r="BM110" s="13"/>
      <c r="BN110" s="54"/>
      <c r="BO110" s="32"/>
      <c r="BP110" s="54"/>
      <c r="BQ110" s="31"/>
      <c r="BR110" s="13"/>
      <c r="BS110" s="32"/>
      <c r="BT110" s="13"/>
      <c r="BU110" s="54"/>
      <c r="BV110" s="32"/>
      <c r="BW110" s="54"/>
      <c r="BX110" s="31"/>
      <c r="BY110" s="13"/>
      <c r="BZ110" s="32"/>
      <c r="CA110" s="13"/>
      <c r="CB110" s="54"/>
      <c r="CC110" s="32"/>
      <c r="CD110" s="54"/>
      <c r="CE110" s="31"/>
      <c r="CF110" s="13"/>
      <c r="CG110" s="32"/>
      <c r="CH110" s="13"/>
      <c r="CI110" s="54"/>
      <c r="CJ110" s="32"/>
      <c r="CK110" s="54"/>
      <c r="CL110" s="31"/>
      <c r="CM110" s="13"/>
      <c r="CN110" s="32"/>
      <c r="CO110" s="13"/>
      <c r="CP110" s="54"/>
      <c r="CQ110" s="32"/>
      <c r="CR110" s="54"/>
    </row>
    <row r="111" spans="1:96" ht="12.75">
      <c r="A111" s="9"/>
      <c r="B111" s="9"/>
      <c r="C111" s="9"/>
      <c r="D111" s="11"/>
      <c r="E111" s="9"/>
      <c r="F111" s="11"/>
      <c r="G111" s="9"/>
      <c r="H111" s="9"/>
      <c r="I111" s="9"/>
      <c r="J111" s="9"/>
      <c r="K111" s="9"/>
      <c r="L111" s="9"/>
      <c r="M111" s="11"/>
      <c r="N111" s="9"/>
      <c r="O111" s="11"/>
      <c r="P111" s="9"/>
      <c r="Q111" s="9"/>
      <c r="R111" s="9"/>
      <c r="S111" s="9"/>
      <c r="T111" s="9"/>
      <c r="U111" s="11"/>
      <c r="V111" s="9"/>
      <c r="W111" s="11"/>
      <c r="X111" s="9"/>
      <c r="Y111" s="9"/>
      <c r="Z111" s="9"/>
      <c r="AA111" s="9"/>
      <c r="AB111" s="9"/>
      <c r="AC111" s="11"/>
      <c r="AD111" s="9"/>
      <c r="AE111" s="11"/>
      <c r="AF111" s="9"/>
      <c r="AG111" s="9"/>
      <c r="AH111" s="9"/>
      <c r="AI111" s="9"/>
      <c r="AJ111" s="9"/>
      <c r="AK111" s="11"/>
      <c r="AL111" s="9"/>
      <c r="AM111" s="11"/>
      <c r="AN111" s="9"/>
      <c r="AO111" s="9"/>
      <c r="AP111" s="9"/>
      <c r="AQ111" s="9"/>
      <c r="AR111" s="11"/>
      <c r="AS111" s="9"/>
      <c r="AT111" s="11"/>
      <c r="AU111" s="9"/>
      <c r="AV111" s="9"/>
      <c r="AW111" s="9"/>
      <c r="AX111" s="9"/>
      <c r="AY111" s="11"/>
      <c r="AZ111" s="9"/>
      <c r="BA111" s="11"/>
      <c r="BB111" s="9"/>
      <c r="BC111" s="9"/>
      <c r="BD111" s="9"/>
      <c r="BE111" s="9"/>
      <c r="BF111" s="11"/>
      <c r="BG111" s="9"/>
      <c r="BH111" s="11"/>
      <c r="BI111" s="9"/>
      <c r="BJ111" s="9"/>
      <c r="BK111" s="9"/>
      <c r="BL111" s="9"/>
      <c r="BM111" s="11"/>
      <c r="BN111" s="9"/>
      <c r="BO111" s="11"/>
      <c r="BP111" s="9"/>
      <c r="BQ111" s="9"/>
      <c r="BR111" s="9"/>
      <c r="BS111" s="9"/>
      <c r="BT111" s="11"/>
      <c r="BU111" s="9"/>
      <c r="BV111" s="11"/>
      <c r="BW111" s="9"/>
      <c r="BX111" s="9"/>
      <c r="BY111" s="9"/>
      <c r="BZ111" s="9"/>
      <c r="CA111" s="11"/>
      <c r="CB111" s="9"/>
      <c r="CC111" s="11"/>
      <c r="CD111" s="9"/>
      <c r="CE111" s="9"/>
      <c r="CF111" s="9"/>
      <c r="CG111" s="9"/>
      <c r="CH111" s="11"/>
      <c r="CI111" s="9"/>
      <c r="CJ111" s="11"/>
      <c r="CK111" s="9"/>
      <c r="CL111" s="9"/>
      <c r="CM111" s="9"/>
      <c r="CN111" s="9"/>
      <c r="CO111" s="11"/>
      <c r="CP111" s="9"/>
      <c r="CQ111" s="11"/>
      <c r="CR111" s="9"/>
    </row>
    <row r="112" spans="1:96" ht="12.75">
      <c r="A112" s="40"/>
      <c r="B112" s="35"/>
      <c r="C112" s="35"/>
      <c r="D112" s="36"/>
      <c r="E112" s="35"/>
      <c r="F112" s="37"/>
      <c r="G112" s="35"/>
      <c r="H112" s="35"/>
      <c r="I112" s="35"/>
      <c r="J112" s="70"/>
      <c r="K112" s="55"/>
      <c r="L112" s="55"/>
      <c r="M112" s="64"/>
      <c r="N112" s="55"/>
      <c r="O112" s="56"/>
      <c r="P112" s="55"/>
      <c r="Q112" s="35"/>
      <c r="R112" s="70"/>
      <c r="S112" s="55"/>
      <c r="T112" s="55"/>
      <c r="U112" s="64"/>
      <c r="V112" s="55"/>
      <c r="W112" s="56"/>
      <c r="X112" s="55"/>
      <c r="Y112" s="35"/>
      <c r="Z112" s="70"/>
      <c r="AA112" s="55"/>
      <c r="AB112" s="55"/>
      <c r="AC112" s="64"/>
      <c r="AD112" s="55"/>
      <c r="AE112" s="56"/>
      <c r="AF112" s="55"/>
      <c r="AG112" s="35"/>
      <c r="AH112" s="70"/>
      <c r="AI112" s="55"/>
      <c r="AJ112" s="55"/>
      <c r="AK112" s="64"/>
      <c r="AL112" s="55"/>
      <c r="AM112" s="56"/>
      <c r="AN112" s="55"/>
      <c r="AO112" s="70"/>
      <c r="AP112" s="55"/>
      <c r="AQ112" s="55"/>
      <c r="AR112" s="64"/>
      <c r="AS112" s="55"/>
      <c r="AT112" s="56"/>
      <c r="AU112" s="55"/>
      <c r="AV112" s="70"/>
      <c r="AW112" s="55"/>
      <c r="AX112" s="55"/>
      <c r="AY112" s="64"/>
      <c r="AZ112" s="55"/>
      <c r="BA112" s="56"/>
      <c r="BB112" s="55"/>
      <c r="BC112" s="70"/>
      <c r="BD112" s="55"/>
      <c r="BE112" s="55"/>
      <c r="BF112" s="64"/>
      <c r="BG112" s="55"/>
      <c r="BH112" s="56"/>
      <c r="BI112" s="55"/>
      <c r="BJ112" s="70"/>
      <c r="BK112" s="55"/>
      <c r="BL112" s="55"/>
      <c r="BM112" s="64"/>
      <c r="BN112" s="55"/>
      <c r="BO112" s="56"/>
      <c r="BP112" s="55"/>
      <c r="BQ112" s="70"/>
      <c r="BR112" s="55"/>
      <c r="BS112" s="55"/>
      <c r="BT112" s="64"/>
      <c r="BU112" s="55"/>
      <c r="BV112" s="56"/>
      <c r="BW112" s="55"/>
      <c r="BX112" s="70"/>
      <c r="BY112" s="55"/>
      <c r="BZ112" s="55"/>
      <c r="CA112" s="64"/>
      <c r="CB112" s="55"/>
      <c r="CC112" s="56"/>
      <c r="CD112" s="55"/>
      <c r="CE112" s="70"/>
      <c r="CF112" s="55"/>
      <c r="CG112" s="55"/>
      <c r="CH112" s="64"/>
      <c r="CI112" s="55"/>
      <c r="CJ112" s="56"/>
      <c r="CK112" s="55"/>
      <c r="CL112" s="70"/>
      <c r="CM112" s="55"/>
      <c r="CN112" s="55"/>
      <c r="CO112" s="64"/>
      <c r="CP112" s="55"/>
      <c r="CQ112" s="56"/>
      <c r="CR112" s="55"/>
    </row>
    <row r="113" spans="1:96" ht="12.75">
      <c r="A113" s="13" t="s">
        <v>100</v>
      </c>
      <c r="B113" s="35"/>
      <c r="C113" s="35"/>
      <c r="D113" s="36"/>
      <c r="E113" s="35"/>
      <c r="F113" s="37"/>
      <c r="G113" s="35"/>
      <c r="H113" s="35"/>
      <c r="I113" s="35"/>
      <c r="J113" s="70"/>
      <c r="K113" s="55"/>
      <c r="L113" s="55"/>
      <c r="M113" s="64"/>
      <c r="N113" s="55"/>
      <c r="O113" s="56"/>
      <c r="P113" s="55"/>
      <c r="Q113" s="35"/>
      <c r="R113" s="70"/>
      <c r="S113" s="55"/>
      <c r="T113" s="55"/>
      <c r="U113" s="64"/>
      <c r="V113" s="55"/>
      <c r="W113" s="56"/>
      <c r="X113" s="55"/>
      <c r="Y113" s="35"/>
      <c r="Z113" s="70"/>
      <c r="AA113" s="55"/>
      <c r="AB113" s="55"/>
      <c r="AC113" s="64"/>
      <c r="AD113" s="55"/>
      <c r="AE113" s="56"/>
      <c r="AF113" s="55"/>
      <c r="AG113" s="35"/>
      <c r="AH113" s="70"/>
      <c r="AI113" s="55"/>
      <c r="AJ113" s="55"/>
      <c r="AK113" s="64"/>
      <c r="AL113" s="55"/>
      <c r="AM113" s="56"/>
      <c r="AN113" s="55"/>
      <c r="AO113" s="70"/>
      <c r="AP113" s="55"/>
      <c r="AQ113" s="55"/>
      <c r="AR113" s="64"/>
      <c r="AS113" s="55"/>
      <c r="AT113" s="56"/>
      <c r="AU113" s="55"/>
      <c r="AV113" s="70"/>
      <c r="AW113" s="55"/>
      <c r="AX113" s="55"/>
      <c r="AY113" s="64"/>
      <c r="AZ113" s="55"/>
      <c r="BA113" s="56"/>
      <c r="BB113" s="55"/>
      <c r="BC113" s="70"/>
      <c r="BD113" s="55"/>
      <c r="BE113" s="55"/>
      <c r="BF113" s="64"/>
      <c r="BG113" s="55"/>
      <c r="BH113" s="56"/>
      <c r="BI113" s="55"/>
      <c r="BJ113" s="70"/>
      <c r="BK113" s="55"/>
      <c r="BL113" s="55"/>
      <c r="BM113" s="64"/>
      <c r="BN113" s="55"/>
      <c r="BO113" s="56"/>
      <c r="BP113" s="55"/>
      <c r="BQ113" s="70"/>
      <c r="BR113" s="55"/>
      <c r="BS113" s="55"/>
      <c r="BT113" s="64"/>
      <c r="BU113" s="55"/>
      <c r="BV113" s="56"/>
      <c r="BW113" s="55"/>
      <c r="BX113" s="70"/>
      <c r="BY113" s="55"/>
      <c r="BZ113" s="55"/>
      <c r="CA113" s="64"/>
      <c r="CB113" s="55"/>
      <c r="CC113" s="56"/>
      <c r="CD113" s="55"/>
      <c r="CE113" s="70"/>
      <c r="CF113" s="55"/>
      <c r="CG113" s="55"/>
      <c r="CH113" s="64"/>
      <c r="CI113" s="55"/>
      <c r="CJ113" s="56"/>
      <c r="CK113" s="55"/>
      <c r="CL113" s="70"/>
      <c r="CM113" s="55"/>
      <c r="CN113" s="55"/>
      <c r="CO113" s="64"/>
      <c r="CP113" s="55"/>
      <c r="CQ113" s="56"/>
      <c r="CR113" s="55"/>
    </row>
    <row r="114" spans="1:96" ht="12.75">
      <c r="A114" s="13" t="s">
        <v>131</v>
      </c>
      <c r="B114" s="35"/>
      <c r="C114" s="35"/>
      <c r="D114" s="36"/>
      <c r="E114" s="35"/>
      <c r="F114" s="37"/>
      <c r="G114" s="35"/>
      <c r="H114" s="35"/>
      <c r="I114" s="35"/>
      <c r="J114" s="55"/>
      <c r="K114" s="54"/>
      <c r="L114" s="54"/>
      <c r="M114" s="31"/>
      <c r="N114" s="54"/>
      <c r="O114" s="32"/>
      <c r="P114" s="54"/>
      <c r="Q114" s="35"/>
      <c r="R114" s="55"/>
      <c r="S114" s="54"/>
      <c r="T114" s="54"/>
      <c r="U114" s="31"/>
      <c r="V114" s="54"/>
      <c r="W114" s="32"/>
      <c r="X114" s="54"/>
      <c r="Y114" s="35"/>
      <c r="Z114" s="55"/>
      <c r="AA114" s="54"/>
      <c r="AB114" s="54"/>
      <c r="AC114" s="31"/>
      <c r="AD114" s="54"/>
      <c r="AE114" s="32"/>
      <c r="AF114" s="54"/>
      <c r="AG114" s="35"/>
      <c r="AH114" s="55"/>
      <c r="AI114" s="54"/>
      <c r="AJ114" s="54"/>
      <c r="AK114" s="31"/>
      <c r="AL114" s="54"/>
      <c r="AM114" s="32"/>
      <c r="AN114" s="54"/>
      <c r="AO114" s="55"/>
      <c r="AP114" s="54"/>
      <c r="AQ114" s="54"/>
      <c r="AR114" s="31"/>
      <c r="AS114" s="54"/>
      <c r="AT114" s="32"/>
      <c r="AU114" s="54"/>
      <c r="AV114" s="55"/>
      <c r="AW114" s="54"/>
      <c r="AX114" s="54"/>
      <c r="AY114" s="31"/>
      <c r="AZ114" s="54"/>
      <c r="BA114" s="32"/>
      <c r="BB114" s="54"/>
      <c r="BC114" s="55"/>
      <c r="BD114" s="54"/>
      <c r="BE114" s="54"/>
      <c r="BF114" s="31"/>
      <c r="BG114" s="54"/>
      <c r="BH114" s="32"/>
      <c r="BI114" s="54"/>
      <c r="BJ114" s="55"/>
      <c r="BK114" s="54"/>
      <c r="BL114" s="54"/>
      <c r="BM114" s="31"/>
      <c r="BN114" s="54"/>
      <c r="BO114" s="32"/>
      <c r="BP114" s="54"/>
      <c r="BQ114" s="55"/>
      <c r="BR114" s="54"/>
      <c r="BS114" s="54"/>
      <c r="BT114" s="31"/>
      <c r="BU114" s="54"/>
      <c r="BV114" s="32"/>
      <c r="BW114" s="54"/>
      <c r="BX114" s="55"/>
      <c r="BY114" s="54"/>
      <c r="BZ114" s="54"/>
      <c r="CA114" s="31"/>
      <c r="CB114" s="54"/>
      <c r="CC114" s="32"/>
      <c r="CD114" s="54"/>
      <c r="CE114" s="55"/>
      <c r="CF114" s="54"/>
      <c r="CG114" s="54"/>
      <c r="CH114" s="31"/>
      <c r="CI114" s="54"/>
      <c r="CJ114" s="32"/>
      <c r="CK114" s="54"/>
      <c r="CL114" s="55"/>
      <c r="CM114" s="54"/>
      <c r="CN114" s="54"/>
      <c r="CO114" s="31"/>
      <c r="CP114" s="54"/>
      <c r="CQ114" s="32"/>
      <c r="CR114" s="54"/>
    </row>
    <row r="115" spans="1:96" s="1" customFormat="1" ht="12.75">
      <c r="A115" s="35"/>
      <c r="B115" s="40"/>
      <c r="C115" s="40"/>
      <c r="D115" s="41"/>
      <c r="E115" s="42"/>
      <c r="F115" s="43"/>
      <c r="G115" s="42"/>
      <c r="H115" s="40"/>
      <c r="I115" s="40"/>
      <c r="J115" s="54"/>
      <c r="K115" s="55"/>
      <c r="L115" s="55"/>
      <c r="M115" s="64"/>
      <c r="N115" s="55"/>
      <c r="O115" s="56"/>
      <c r="P115" s="55"/>
      <c r="Q115" s="40"/>
      <c r="R115" s="54"/>
      <c r="S115" s="55"/>
      <c r="T115" s="55"/>
      <c r="U115" s="64"/>
      <c r="V115" s="55"/>
      <c r="W115" s="56"/>
      <c r="X115" s="55"/>
      <c r="Y115" s="40"/>
      <c r="Z115" s="54"/>
      <c r="AA115" s="55"/>
      <c r="AB115" s="55"/>
      <c r="AC115" s="64"/>
      <c r="AD115" s="55"/>
      <c r="AE115" s="56"/>
      <c r="AF115" s="55"/>
      <c r="AG115" s="40"/>
      <c r="AH115" s="54"/>
      <c r="AI115" s="55"/>
      <c r="AJ115" s="55"/>
      <c r="AK115" s="64"/>
      <c r="AL115" s="55"/>
      <c r="AM115" s="56"/>
      <c r="AN115" s="55"/>
      <c r="AO115" s="54"/>
      <c r="AP115" s="55"/>
      <c r="AQ115" s="55"/>
      <c r="AR115" s="64"/>
      <c r="AS115" s="55"/>
      <c r="AT115" s="56"/>
      <c r="AU115" s="55"/>
      <c r="AV115" s="54"/>
      <c r="AW115" s="55"/>
      <c r="AX115" s="55"/>
      <c r="AY115" s="64"/>
      <c r="AZ115" s="55"/>
      <c r="BA115" s="56"/>
      <c r="BB115" s="55"/>
      <c r="BC115" s="54"/>
      <c r="BD115" s="55"/>
      <c r="BE115" s="55"/>
      <c r="BF115" s="64"/>
      <c r="BG115" s="55"/>
      <c r="BH115" s="56"/>
      <c r="BI115" s="55"/>
      <c r="BJ115" s="54"/>
      <c r="BK115" s="55"/>
      <c r="BL115" s="55"/>
      <c r="BM115" s="64"/>
      <c r="BN115" s="55"/>
      <c r="BO115" s="56"/>
      <c r="BP115" s="55"/>
      <c r="BQ115" s="54"/>
      <c r="BR115" s="55"/>
      <c r="BS115" s="55"/>
      <c r="BT115" s="64"/>
      <c r="BU115" s="55"/>
      <c r="BV115" s="56"/>
      <c r="BW115" s="55"/>
      <c r="BX115" s="54"/>
      <c r="BY115" s="55"/>
      <c r="BZ115" s="55"/>
      <c r="CA115" s="64"/>
      <c r="CB115" s="55"/>
      <c r="CC115" s="56"/>
      <c r="CD115" s="55"/>
      <c r="CE115" s="54"/>
      <c r="CF115" s="55"/>
      <c r="CG115" s="55"/>
      <c r="CH115" s="64"/>
      <c r="CI115" s="55"/>
      <c r="CJ115" s="56"/>
      <c r="CK115" s="55"/>
      <c r="CL115" s="54"/>
      <c r="CM115" s="55"/>
      <c r="CN115" s="55"/>
      <c r="CO115" s="64"/>
      <c r="CP115" s="55"/>
      <c r="CQ115" s="56"/>
      <c r="CR115" s="55"/>
    </row>
    <row r="116" spans="1:16" ht="12.75">
      <c r="A116" s="1"/>
      <c r="D116" s="2"/>
      <c r="J116" s="50"/>
      <c r="K116" s="50"/>
      <c r="L116" s="50"/>
      <c r="M116" s="51"/>
      <c r="N116" s="62"/>
      <c r="O116" s="52"/>
      <c r="P116" s="62"/>
    </row>
    <row r="117" spans="4:16" ht="12.75">
      <c r="D117" s="2"/>
      <c r="J117" s="50"/>
      <c r="K117" s="50"/>
      <c r="L117" s="50"/>
      <c r="M117" s="51"/>
      <c r="N117" s="62"/>
      <c r="O117" s="52"/>
      <c r="P117" s="62"/>
    </row>
    <row r="118" spans="4:16" ht="12.75">
      <c r="D118" s="2"/>
      <c r="J118" s="50"/>
      <c r="K118" s="50"/>
      <c r="L118" s="50"/>
      <c r="M118" s="51"/>
      <c r="N118" s="62"/>
      <c r="O118" s="52"/>
      <c r="P118" s="62"/>
    </row>
    <row r="119" spans="4:16" ht="12.75">
      <c r="D119" s="2"/>
      <c r="J119" s="50"/>
      <c r="K119" s="50"/>
      <c r="L119" s="50"/>
      <c r="M119" s="51"/>
      <c r="N119" s="62"/>
      <c r="O119" s="52"/>
      <c r="P119" s="62"/>
    </row>
    <row r="120" spans="4:16" ht="12.75">
      <c r="D120" s="2"/>
      <c r="J120" s="50"/>
      <c r="K120" s="50"/>
      <c r="L120" s="50"/>
      <c r="M120" s="51"/>
      <c r="N120" s="62"/>
      <c r="O120" s="52"/>
      <c r="P120" s="62"/>
    </row>
    <row r="121" spans="4:16" ht="12.75">
      <c r="D121" s="2"/>
      <c r="J121" s="50"/>
      <c r="K121" s="50"/>
      <c r="L121" s="50"/>
      <c r="M121" s="51"/>
      <c r="N121" s="62"/>
      <c r="O121" s="52"/>
      <c r="P121" s="62"/>
    </row>
    <row r="122" spans="4:16" ht="12.75">
      <c r="D122" s="2"/>
      <c r="J122" s="50"/>
      <c r="K122" s="50"/>
      <c r="L122" s="50"/>
      <c r="M122" s="51"/>
      <c r="N122" s="62"/>
      <c r="O122" s="52"/>
      <c r="P122" s="62"/>
    </row>
    <row r="123" spans="4:16" ht="12.75">
      <c r="D123" s="2"/>
      <c r="J123" s="50"/>
      <c r="K123" s="50"/>
      <c r="L123" s="50"/>
      <c r="M123" s="51"/>
      <c r="N123" s="62"/>
      <c r="O123" s="52"/>
      <c r="P123" s="62"/>
    </row>
    <row r="124" spans="4:16" ht="12.75">
      <c r="D124" s="2"/>
      <c r="J124" s="50"/>
      <c r="K124" s="50"/>
      <c r="L124" s="50"/>
      <c r="M124" s="51"/>
      <c r="N124" s="62"/>
      <c r="O124" s="52"/>
      <c r="P124" s="62"/>
    </row>
    <row r="125" spans="4:16" ht="12.75">
      <c r="D125" s="2"/>
      <c r="J125" s="50"/>
      <c r="K125" s="50"/>
      <c r="L125" s="50"/>
      <c r="M125" s="51"/>
      <c r="N125" s="50"/>
      <c r="O125" s="52"/>
      <c r="P125" s="50"/>
    </row>
    <row r="126" spans="4:16" ht="12.75">
      <c r="D126" s="2"/>
      <c r="J126" s="50"/>
      <c r="K126" s="61"/>
      <c r="L126" s="61"/>
      <c r="M126" s="48"/>
      <c r="N126" s="61"/>
      <c r="O126" s="49"/>
      <c r="P126" s="63"/>
    </row>
    <row r="127" spans="4:16" ht="12.75">
      <c r="D127" s="2"/>
      <c r="J127" s="50"/>
      <c r="K127" s="50"/>
      <c r="L127" s="50"/>
      <c r="M127" s="50"/>
      <c r="N127" s="50"/>
      <c r="O127" s="50"/>
      <c r="P127" s="50"/>
    </row>
    <row r="128" spans="4:16" ht="12.75">
      <c r="D128" s="2"/>
      <c r="J128" s="50"/>
      <c r="K128" s="50"/>
      <c r="L128" s="50"/>
      <c r="M128" s="50"/>
      <c r="N128" s="50"/>
      <c r="O128" s="50"/>
      <c r="P128" s="50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</sheetData>
  <mergeCells count="26">
    <mergeCell ref="CE1:CK1"/>
    <mergeCell ref="CE3:CK3"/>
    <mergeCell ref="Z1:AF1"/>
    <mergeCell ref="Z3:AF3"/>
    <mergeCell ref="AO1:AU1"/>
    <mergeCell ref="AO3:AU3"/>
    <mergeCell ref="AH1:AN1"/>
    <mergeCell ref="AH3:AN3"/>
    <mergeCell ref="BX1:CD1"/>
    <mergeCell ref="BX3:CD3"/>
    <mergeCell ref="R1:X1"/>
    <mergeCell ref="R3:X3"/>
    <mergeCell ref="A1:G1"/>
    <mergeCell ref="A3:G3"/>
    <mergeCell ref="J1:P1"/>
    <mergeCell ref="J3:P3"/>
    <mergeCell ref="CL1:CR1"/>
    <mergeCell ref="CL3:CR3"/>
    <mergeCell ref="AV1:BB1"/>
    <mergeCell ref="AV3:BB3"/>
    <mergeCell ref="BQ1:BW1"/>
    <mergeCell ref="BQ3:BW3"/>
    <mergeCell ref="BJ1:BP1"/>
    <mergeCell ref="BJ3:BP3"/>
    <mergeCell ref="BC1:BI1"/>
    <mergeCell ref="BC3:BI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10" r:id="rId1"/>
  <colBreaks count="1" manualBreakCount="1">
    <brk id="82" max="1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Q180"/>
  <sheetViews>
    <sheetView view="pageBreakPreview" zoomScale="60" workbookViewId="0" topLeftCell="CD1">
      <selection activeCell="CK1" sqref="CK1:CQ1"/>
    </sheetView>
  </sheetViews>
  <sheetFormatPr defaultColWidth="9.140625" defaultRowHeight="12.75"/>
  <cols>
    <col min="1" max="1" width="14.57421875" style="0" customWidth="1"/>
    <col min="3" max="3" width="16.28125" style="0" customWidth="1"/>
    <col min="4" max="4" width="26.140625" style="0" customWidth="1"/>
    <col min="5" max="5" width="14.00390625" style="0" customWidth="1"/>
    <col min="6" max="6" width="16.7109375" style="3" bestFit="1" customWidth="1"/>
    <col min="7" max="8" width="14.421875" style="0" customWidth="1"/>
    <col min="9" max="9" width="26.421875" style="0" customWidth="1"/>
    <col min="10" max="10" width="12.28125" style="0" customWidth="1"/>
    <col min="11" max="11" width="17.57421875" style="0" bestFit="1" customWidth="1"/>
    <col min="12" max="12" width="13.28125" style="0" customWidth="1"/>
    <col min="13" max="13" width="14.421875" style="0" customWidth="1"/>
    <col min="14" max="14" width="13.7109375" style="0" customWidth="1"/>
    <col min="15" max="15" width="12.00390625" style="0" customWidth="1"/>
    <col min="17" max="17" width="30.28125" style="0" customWidth="1"/>
    <col min="18" max="18" width="14.421875" style="0" customWidth="1"/>
    <col min="19" max="19" width="13.421875" style="0" customWidth="1"/>
    <col min="20" max="20" width="12.7109375" style="0" customWidth="1"/>
    <col min="21" max="21" width="12.00390625" style="0" customWidth="1"/>
    <col min="25" max="25" width="37.28125" style="0" customWidth="1"/>
    <col min="26" max="26" width="14.57421875" style="0" customWidth="1"/>
    <col min="27" max="27" width="14.140625" style="0" bestFit="1" customWidth="1"/>
    <col min="28" max="28" width="13.421875" style="0" bestFit="1" customWidth="1"/>
    <col min="33" max="33" width="37.140625" style="0" customWidth="1"/>
    <col min="34" max="34" width="14.8515625" style="0" customWidth="1"/>
    <col min="35" max="35" width="14.57421875" style="0" customWidth="1"/>
    <col min="36" max="36" width="13.421875" style="0" bestFit="1" customWidth="1"/>
    <col min="40" max="40" width="32.28125" style="0" customWidth="1"/>
    <col min="41" max="41" width="15.57421875" style="0" customWidth="1"/>
    <col min="42" max="42" width="15.8515625" style="0" customWidth="1"/>
    <col min="43" max="43" width="19.140625" style="0" customWidth="1"/>
    <col min="47" max="47" width="31.28125" style="0" customWidth="1"/>
    <col min="48" max="48" width="15.8515625" style="0" customWidth="1"/>
    <col min="49" max="49" width="18.00390625" style="0" customWidth="1"/>
    <col min="50" max="50" width="16.57421875" style="0" customWidth="1"/>
    <col min="54" max="54" width="32.8515625" style="0" customWidth="1"/>
    <col min="55" max="55" width="18.8515625" style="0" customWidth="1"/>
    <col min="56" max="56" width="14.140625" style="0" bestFit="1" customWidth="1"/>
    <col min="57" max="57" width="13.421875" style="0" bestFit="1" customWidth="1"/>
    <col min="61" max="61" width="38.57421875" style="0" customWidth="1"/>
    <col min="62" max="62" width="20.140625" style="0" customWidth="1"/>
    <col min="63" max="63" width="14.140625" style="0" bestFit="1" customWidth="1"/>
    <col min="64" max="64" width="18.421875" style="0" customWidth="1"/>
    <col min="68" max="68" width="29.8515625" style="0" customWidth="1"/>
    <col min="69" max="69" width="19.421875" style="0" customWidth="1"/>
    <col min="70" max="70" width="15.57421875" style="0" customWidth="1"/>
    <col min="71" max="71" width="14.57421875" style="0" customWidth="1"/>
    <col min="75" max="75" width="36.28125" style="0" customWidth="1"/>
    <col min="76" max="76" width="18.8515625" style="0" customWidth="1"/>
    <col min="77" max="77" width="14.140625" style="0" bestFit="1" customWidth="1"/>
    <col min="78" max="78" width="13.421875" style="0" bestFit="1" customWidth="1"/>
    <col min="82" max="82" width="28.28125" style="0" customWidth="1"/>
    <col min="83" max="83" width="15.28125" style="0" customWidth="1"/>
    <col min="84" max="84" width="14.8515625" style="0" customWidth="1"/>
    <col min="85" max="85" width="13.7109375" style="0" customWidth="1"/>
    <col min="87" max="87" width="13.421875" style="0" customWidth="1"/>
    <col min="88" max="88" width="14.140625" style="0" customWidth="1"/>
    <col min="89" max="89" width="30.140625" style="0" customWidth="1"/>
    <col min="90" max="90" width="18.8515625" style="0" customWidth="1"/>
    <col min="91" max="91" width="15.8515625" style="0" customWidth="1"/>
    <col min="92" max="92" width="17.7109375" style="0" customWidth="1"/>
  </cols>
  <sheetData>
    <row r="1" spans="1:95" ht="33.75">
      <c r="A1" s="107" t="s">
        <v>117</v>
      </c>
      <c r="B1" s="107"/>
      <c r="C1" s="107"/>
      <c r="D1" s="107"/>
      <c r="E1" s="107"/>
      <c r="F1" s="107"/>
      <c r="G1" s="107"/>
      <c r="H1" s="8"/>
      <c r="I1" s="107" t="s">
        <v>117</v>
      </c>
      <c r="J1" s="107"/>
      <c r="K1" s="107"/>
      <c r="L1" s="107"/>
      <c r="M1" s="107"/>
      <c r="N1" s="107"/>
      <c r="O1" s="107"/>
      <c r="P1" s="8"/>
      <c r="Q1" s="107" t="s">
        <v>117</v>
      </c>
      <c r="R1" s="107"/>
      <c r="S1" s="107"/>
      <c r="T1" s="107"/>
      <c r="U1" s="107"/>
      <c r="V1" s="107"/>
      <c r="W1" s="107"/>
      <c r="X1" s="8"/>
      <c r="Y1" s="107" t="s">
        <v>117</v>
      </c>
      <c r="Z1" s="107"/>
      <c r="AA1" s="107"/>
      <c r="AB1" s="107"/>
      <c r="AC1" s="107"/>
      <c r="AD1" s="107"/>
      <c r="AE1" s="107"/>
      <c r="AF1" s="8"/>
      <c r="AG1" s="107" t="s">
        <v>117</v>
      </c>
      <c r="AH1" s="107"/>
      <c r="AI1" s="107"/>
      <c r="AJ1" s="107"/>
      <c r="AK1" s="107"/>
      <c r="AL1" s="107"/>
      <c r="AM1" s="107"/>
      <c r="AN1" s="107" t="s">
        <v>117</v>
      </c>
      <c r="AO1" s="107"/>
      <c r="AP1" s="107"/>
      <c r="AQ1" s="107"/>
      <c r="AR1" s="107"/>
      <c r="AS1" s="107"/>
      <c r="AT1" s="107"/>
      <c r="AU1" s="107" t="s">
        <v>117</v>
      </c>
      <c r="AV1" s="107"/>
      <c r="AW1" s="107"/>
      <c r="AX1" s="107"/>
      <c r="AY1" s="107"/>
      <c r="AZ1" s="107"/>
      <c r="BA1" s="107"/>
      <c r="BB1" s="107" t="s">
        <v>117</v>
      </c>
      <c r="BC1" s="107"/>
      <c r="BD1" s="107"/>
      <c r="BE1" s="107"/>
      <c r="BF1" s="107"/>
      <c r="BG1" s="107"/>
      <c r="BH1" s="107"/>
      <c r="BI1" s="107" t="s">
        <v>117</v>
      </c>
      <c r="BJ1" s="107"/>
      <c r="BK1" s="107"/>
      <c r="BL1" s="107"/>
      <c r="BM1" s="107"/>
      <c r="BN1" s="107"/>
      <c r="BO1" s="107"/>
      <c r="BP1" s="107" t="s">
        <v>117</v>
      </c>
      <c r="BQ1" s="107"/>
      <c r="BR1" s="107"/>
      <c r="BS1" s="107"/>
      <c r="BT1" s="107"/>
      <c r="BU1" s="107"/>
      <c r="BV1" s="107"/>
      <c r="BW1" s="107" t="s">
        <v>117</v>
      </c>
      <c r="BX1" s="107"/>
      <c r="BY1" s="107"/>
      <c r="BZ1" s="107"/>
      <c r="CA1" s="107"/>
      <c r="CB1" s="107"/>
      <c r="CC1" s="107"/>
      <c r="CD1" s="107" t="s">
        <v>117</v>
      </c>
      <c r="CE1" s="107"/>
      <c r="CF1" s="107"/>
      <c r="CG1" s="107"/>
      <c r="CH1" s="107"/>
      <c r="CI1" s="107"/>
      <c r="CJ1" s="107"/>
      <c r="CK1" s="107" t="s">
        <v>117</v>
      </c>
      <c r="CL1" s="107"/>
      <c r="CM1" s="107"/>
      <c r="CN1" s="107"/>
      <c r="CO1" s="107"/>
      <c r="CP1" s="107"/>
      <c r="CQ1" s="107"/>
    </row>
    <row r="2" spans="1:95" ht="12.75">
      <c r="A2" s="9"/>
      <c r="B2" s="9"/>
      <c r="C2" s="9"/>
      <c r="D2" s="9"/>
      <c r="E2" s="9"/>
      <c r="F2" s="11"/>
      <c r="G2" s="9"/>
      <c r="H2" s="9"/>
      <c r="I2" s="9"/>
      <c r="J2" s="9"/>
      <c r="K2" s="9"/>
      <c r="L2" s="9"/>
      <c r="M2" s="9"/>
      <c r="N2" s="11"/>
      <c r="O2" s="9"/>
      <c r="P2" s="9"/>
      <c r="Q2" s="9"/>
      <c r="R2" s="9"/>
      <c r="S2" s="9"/>
      <c r="T2" s="9"/>
      <c r="U2" s="9"/>
      <c r="V2" s="11"/>
      <c r="W2" s="9"/>
      <c r="X2" s="9"/>
      <c r="Y2" s="9"/>
      <c r="Z2" s="9"/>
      <c r="AA2" s="9"/>
      <c r="AB2" s="9"/>
      <c r="AC2" s="9"/>
      <c r="AD2" s="11"/>
      <c r="AE2" s="9"/>
      <c r="AF2" s="9"/>
      <c r="AG2" s="9"/>
      <c r="AH2" s="9"/>
      <c r="AI2" s="9"/>
      <c r="AJ2" s="9"/>
      <c r="AK2" s="9"/>
      <c r="AL2" s="11"/>
      <c r="AM2" s="9"/>
      <c r="AN2" s="9"/>
      <c r="AO2" s="9"/>
      <c r="AP2" s="9"/>
      <c r="AQ2" s="9"/>
      <c r="AR2" s="9"/>
      <c r="AS2" s="11"/>
      <c r="AT2" s="9"/>
      <c r="AU2" s="9"/>
      <c r="AV2" s="9"/>
      <c r="AW2" s="9"/>
      <c r="AX2" s="9"/>
      <c r="AY2" s="9"/>
      <c r="AZ2" s="11"/>
      <c r="BA2" s="9"/>
      <c r="BB2" s="9"/>
      <c r="BC2" s="9"/>
      <c r="BD2" s="9"/>
      <c r="BE2" s="9"/>
      <c r="BF2" s="9"/>
      <c r="BG2" s="11"/>
      <c r="BH2" s="9"/>
      <c r="BI2" s="9"/>
      <c r="BJ2" s="9"/>
      <c r="BK2" s="9"/>
      <c r="BL2" s="9"/>
      <c r="BM2" s="9"/>
      <c r="BN2" s="11"/>
      <c r="BO2" s="9"/>
      <c r="BP2" s="9"/>
      <c r="BQ2" s="9"/>
      <c r="BR2" s="9"/>
      <c r="BS2" s="9"/>
      <c r="BT2" s="9"/>
      <c r="BU2" s="11"/>
      <c r="BV2" s="9"/>
      <c r="BW2" s="9"/>
      <c r="BX2" s="9"/>
      <c r="BY2" s="9"/>
      <c r="BZ2" s="9"/>
      <c r="CA2" s="9"/>
      <c r="CB2" s="11"/>
      <c r="CC2" s="9"/>
      <c r="CD2" s="9"/>
      <c r="CE2" s="9"/>
      <c r="CF2" s="9"/>
      <c r="CG2" s="9"/>
      <c r="CH2" s="9"/>
      <c r="CI2" s="11"/>
      <c r="CJ2" s="9"/>
      <c r="CK2" s="9"/>
      <c r="CL2" s="9"/>
      <c r="CM2" s="9"/>
      <c r="CN2" s="9"/>
      <c r="CO2" s="9"/>
      <c r="CP2" s="11"/>
      <c r="CQ2" s="9"/>
    </row>
    <row r="3" spans="1:95" ht="18">
      <c r="A3" s="108" t="s">
        <v>134</v>
      </c>
      <c r="B3" s="108"/>
      <c r="C3" s="108"/>
      <c r="D3" s="108"/>
      <c r="E3" s="108"/>
      <c r="F3" s="108"/>
      <c r="G3" s="108"/>
      <c r="H3" s="12"/>
      <c r="I3" s="108" t="s">
        <v>136</v>
      </c>
      <c r="J3" s="108"/>
      <c r="K3" s="108"/>
      <c r="L3" s="108"/>
      <c r="M3" s="108"/>
      <c r="N3" s="108"/>
      <c r="O3" s="108"/>
      <c r="P3" s="12"/>
      <c r="Q3" s="108" t="s">
        <v>145</v>
      </c>
      <c r="R3" s="108"/>
      <c r="S3" s="108"/>
      <c r="T3" s="108"/>
      <c r="U3" s="108"/>
      <c r="V3" s="108"/>
      <c r="W3" s="108"/>
      <c r="X3" s="12"/>
      <c r="Y3" s="108" t="s">
        <v>147</v>
      </c>
      <c r="Z3" s="108"/>
      <c r="AA3" s="108"/>
      <c r="AB3" s="108"/>
      <c r="AC3" s="108"/>
      <c r="AD3" s="108"/>
      <c r="AE3" s="108"/>
      <c r="AF3" s="12"/>
      <c r="AG3" s="108" t="s">
        <v>149</v>
      </c>
      <c r="AH3" s="108"/>
      <c r="AI3" s="108"/>
      <c r="AJ3" s="108"/>
      <c r="AK3" s="108"/>
      <c r="AL3" s="108"/>
      <c r="AM3" s="108"/>
      <c r="AN3" s="108" t="s">
        <v>151</v>
      </c>
      <c r="AO3" s="108"/>
      <c r="AP3" s="108"/>
      <c r="AQ3" s="108"/>
      <c r="AR3" s="108"/>
      <c r="AS3" s="108"/>
      <c r="AT3" s="108"/>
      <c r="AU3" s="108" t="s">
        <v>153</v>
      </c>
      <c r="AV3" s="108"/>
      <c r="AW3" s="108"/>
      <c r="AX3" s="108"/>
      <c r="AY3" s="108"/>
      <c r="AZ3" s="108"/>
      <c r="BA3" s="108"/>
      <c r="BB3" s="108" t="s">
        <v>155</v>
      </c>
      <c r="BC3" s="108"/>
      <c r="BD3" s="108"/>
      <c r="BE3" s="108"/>
      <c r="BF3" s="108"/>
      <c r="BG3" s="108"/>
      <c r="BH3" s="108"/>
      <c r="BI3" s="108" t="s">
        <v>157</v>
      </c>
      <c r="BJ3" s="108"/>
      <c r="BK3" s="108"/>
      <c r="BL3" s="108"/>
      <c r="BM3" s="108"/>
      <c r="BN3" s="108"/>
      <c r="BO3" s="108"/>
      <c r="BP3" s="108" t="s">
        <v>159</v>
      </c>
      <c r="BQ3" s="108"/>
      <c r="BR3" s="108"/>
      <c r="BS3" s="108"/>
      <c r="BT3" s="108"/>
      <c r="BU3" s="108"/>
      <c r="BV3" s="108"/>
      <c r="BW3" s="108" t="s">
        <v>161</v>
      </c>
      <c r="BX3" s="108"/>
      <c r="BY3" s="108"/>
      <c r="BZ3" s="108"/>
      <c r="CA3" s="108"/>
      <c r="CB3" s="108"/>
      <c r="CC3" s="108"/>
      <c r="CD3" s="108" t="s">
        <v>163</v>
      </c>
      <c r="CE3" s="108"/>
      <c r="CF3" s="108"/>
      <c r="CG3" s="108"/>
      <c r="CH3" s="108"/>
      <c r="CI3" s="108"/>
      <c r="CJ3" s="108"/>
      <c r="CK3" s="108" t="s">
        <v>165</v>
      </c>
      <c r="CL3" s="108"/>
      <c r="CM3" s="108"/>
      <c r="CN3" s="108"/>
      <c r="CO3" s="108"/>
      <c r="CP3" s="108"/>
      <c r="CQ3" s="108"/>
    </row>
    <row r="4" spans="1:95" ht="18">
      <c r="A4" s="9"/>
      <c r="B4" s="9"/>
      <c r="C4" s="9"/>
      <c r="D4" s="11"/>
      <c r="E4" s="9"/>
      <c r="F4" s="11"/>
      <c r="G4" s="9"/>
      <c r="H4" s="9"/>
      <c r="I4" s="9"/>
      <c r="J4" s="59" t="s">
        <v>135</v>
      </c>
      <c r="K4" s="9"/>
      <c r="L4" s="10"/>
      <c r="M4" s="9"/>
      <c r="N4" s="11"/>
      <c r="O4" s="9"/>
      <c r="P4" s="9"/>
      <c r="Q4" s="9"/>
      <c r="R4" s="59" t="s">
        <v>146</v>
      </c>
      <c r="S4" s="9"/>
      <c r="T4" s="10"/>
      <c r="U4" s="9"/>
      <c r="V4" s="11"/>
      <c r="W4" s="9"/>
      <c r="X4" s="9"/>
      <c r="Y4" s="9"/>
      <c r="Z4" s="59" t="s">
        <v>148</v>
      </c>
      <c r="AA4" s="9"/>
      <c r="AB4" s="10"/>
      <c r="AC4" s="9"/>
      <c r="AD4" s="11"/>
      <c r="AE4" s="9"/>
      <c r="AF4" s="9"/>
      <c r="AG4" s="9"/>
      <c r="AH4" s="59" t="s">
        <v>150</v>
      </c>
      <c r="AI4" s="9"/>
      <c r="AJ4" s="10"/>
      <c r="AK4" s="9"/>
      <c r="AL4" s="11"/>
      <c r="AM4" s="9"/>
      <c r="AN4" s="9"/>
      <c r="AO4" s="59" t="s">
        <v>152</v>
      </c>
      <c r="AP4" s="9"/>
      <c r="AQ4" s="10"/>
      <c r="AR4" s="9"/>
      <c r="AS4" s="11"/>
      <c r="AT4" s="9"/>
      <c r="AU4" s="9"/>
      <c r="AV4" s="59" t="s">
        <v>154</v>
      </c>
      <c r="AW4" s="9"/>
      <c r="AX4" s="10"/>
      <c r="AY4" s="9"/>
      <c r="AZ4" s="11"/>
      <c r="BA4" s="9"/>
      <c r="BB4" s="9"/>
      <c r="BC4" s="59" t="s">
        <v>156</v>
      </c>
      <c r="BD4" s="9"/>
      <c r="BE4" s="10"/>
      <c r="BF4" s="9"/>
      <c r="BG4" s="11"/>
      <c r="BH4" s="9"/>
      <c r="BI4" s="9"/>
      <c r="BJ4" s="59" t="s">
        <v>158</v>
      </c>
      <c r="BK4" s="9"/>
      <c r="BL4" s="10"/>
      <c r="BM4" s="9"/>
      <c r="BN4" s="11"/>
      <c r="BO4" s="9"/>
      <c r="BP4" s="9"/>
      <c r="BQ4" s="59" t="s">
        <v>160</v>
      </c>
      <c r="BR4" s="9"/>
      <c r="BS4" s="10"/>
      <c r="BT4" s="9"/>
      <c r="BU4" s="11"/>
      <c r="BV4" s="9"/>
      <c r="BW4" s="9"/>
      <c r="BX4" s="59" t="s">
        <v>162</v>
      </c>
      <c r="BY4" s="9"/>
      <c r="BZ4" s="10"/>
      <c r="CA4" s="9"/>
      <c r="CB4" s="11"/>
      <c r="CC4" s="9"/>
      <c r="CD4" s="9"/>
      <c r="CE4" s="59" t="s">
        <v>164</v>
      </c>
      <c r="CF4" s="9"/>
      <c r="CG4" s="10"/>
      <c r="CH4" s="9"/>
      <c r="CI4" s="11"/>
      <c r="CJ4" s="9"/>
      <c r="CK4" s="9"/>
      <c r="CL4" s="59" t="s">
        <v>166</v>
      </c>
      <c r="CM4" s="9"/>
      <c r="CN4" s="10"/>
      <c r="CO4" s="9"/>
      <c r="CP4" s="11"/>
      <c r="CQ4" s="9"/>
    </row>
    <row r="5" spans="1:95" ht="12.75">
      <c r="A5" s="9"/>
      <c r="B5" s="9"/>
      <c r="C5" s="9"/>
      <c r="D5" s="11"/>
      <c r="E5" s="9"/>
      <c r="F5" s="11"/>
      <c r="G5" s="9"/>
      <c r="H5" s="9"/>
      <c r="I5" s="9"/>
      <c r="J5" s="9"/>
      <c r="K5" s="9"/>
      <c r="L5" s="11"/>
      <c r="M5" s="9"/>
      <c r="N5" s="11"/>
      <c r="O5" s="9"/>
      <c r="P5" s="9"/>
      <c r="Q5" s="9"/>
      <c r="R5" s="9"/>
      <c r="S5" s="9"/>
      <c r="T5" s="11"/>
      <c r="U5" s="9"/>
      <c r="V5" s="11"/>
      <c r="W5" s="9"/>
      <c r="X5" s="9"/>
      <c r="Y5" s="9"/>
      <c r="Z5" s="9"/>
      <c r="AA5" s="9"/>
      <c r="AB5" s="11"/>
      <c r="AC5" s="9"/>
      <c r="AD5" s="11"/>
      <c r="AE5" s="9"/>
      <c r="AF5" s="9"/>
      <c r="AG5" s="9"/>
      <c r="AH5" s="9"/>
      <c r="AI5" s="9"/>
      <c r="AJ5" s="11"/>
      <c r="AK5" s="9"/>
      <c r="AL5" s="11"/>
      <c r="AM5" s="9"/>
      <c r="AN5" s="9"/>
      <c r="AO5" s="9"/>
      <c r="AP5" s="9"/>
      <c r="AQ5" s="11"/>
      <c r="AR5" s="9"/>
      <c r="AS5" s="11"/>
      <c r="AT5" s="9"/>
      <c r="AU5" s="9"/>
      <c r="AV5" s="9"/>
      <c r="AW5" s="9"/>
      <c r="AX5" s="11"/>
      <c r="AY5" s="9"/>
      <c r="AZ5" s="11"/>
      <c r="BA5" s="9"/>
      <c r="BB5" s="9"/>
      <c r="BC5" s="9"/>
      <c r="BD5" s="9"/>
      <c r="BE5" s="11"/>
      <c r="BF5" s="9"/>
      <c r="BG5" s="11"/>
      <c r="BH5" s="9"/>
      <c r="BI5" s="9"/>
      <c r="BJ5" s="9"/>
      <c r="BK5" s="9"/>
      <c r="BL5" s="11"/>
      <c r="BM5" s="9"/>
      <c r="BN5" s="11"/>
      <c r="BO5" s="9"/>
      <c r="BP5" s="9"/>
      <c r="BQ5" s="9"/>
      <c r="BR5" s="9"/>
      <c r="BS5" s="11"/>
      <c r="BT5" s="9"/>
      <c r="BU5" s="11"/>
      <c r="BV5" s="9"/>
      <c r="BW5" s="9"/>
      <c r="BX5" s="9"/>
      <c r="BY5" s="9"/>
      <c r="BZ5" s="11"/>
      <c r="CA5" s="9"/>
      <c r="CB5" s="11"/>
      <c r="CC5" s="9"/>
      <c r="CD5" s="9"/>
      <c r="CE5" s="9"/>
      <c r="CF5" s="9"/>
      <c r="CG5" s="11"/>
      <c r="CH5" s="9"/>
      <c r="CI5" s="11"/>
      <c r="CJ5" s="9"/>
      <c r="CK5" s="9"/>
      <c r="CL5" s="9"/>
      <c r="CM5" s="9"/>
      <c r="CN5" s="11"/>
      <c r="CO5" s="9"/>
      <c r="CP5" s="11"/>
      <c r="CQ5" s="9"/>
    </row>
    <row r="6" spans="1:95" ht="12.75">
      <c r="A6" s="13" t="s">
        <v>118</v>
      </c>
      <c r="B6" s="9"/>
      <c r="C6" s="9"/>
      <c r="D6" s="11"/>
      <c r="E6" s="9"/>
      <c r="F6" s="11"/>
      <c r="G6" s="9"/>
      <c r="H6" s="9"/>
      <c r="I6" s="13" t="s">
        <v>118</v>
      </c>
      <c r="J6" s="9"/>
      <c r="K6" s="9"/>
      <c r="L6" s="11"/>
      <c r="M6" s="9"/>
      <c r="N6" s="11"/>
      <c r="O6" s="9"/>
      <c r="P6" s="9"/>
      <c r="Q6" s="13" t="s">
        <v>118</v>
      </c>
      <c r="R6" s="9"/>
      <c r="S6" s="9"/>
      <c r="T6" s="11"/>
      <c r="U6" s="9"/>
      <c r="V6" s="11"/>
      <c r="W6" s="9"/>
      <c r="X6" s="9"/>
      <c r="Y6" s="13" t="s">
        <v>118</v>
      </c>
      <c r="Z6" s="9"/>
      <c r="AA6" s="9"/>
      <c r="AB6" s="11"/>
      <c r="AC6" s="9"/>
      <c r="AD6" s="11"/>
      <c r="AE6" s="9"/>
      <c r="AF6" s="9"/>
      <c r="AG6" s="13" t="s">
        <v>118</v>
      </c>
      <c r="AH6" s="9"/>
      <c r="AI6" s="9"/>
      <c r="AJ6" s="11"/>
      <c r="AK6" s="9"/>
      <c r="AL6" s="11"/>
      <c r="AM6" s="9"/>
      <c r="AN6" s="13" t="s">
        <v>118</v>
      </c>
      <c r="AO6" s="9"/>
      <c r="AP6" s="9"/>
      <c r="AQ6" s="11"/>
      <c r="AR6" s="9"/>
      <c r="AS6" s="11"/>
      <c r="AT6" s="9"/>
      <c r="AU6" s="13" t="s">
        <v>118</v>
      </c>
      <c r="AV6" s="9"/>
      <c r="AW6" s="9"/>
      <c r="AX6" s="11"/>
      <c r="AY6" s="9"/>
      <c r="AZ6" s="11"/>
      <c r="BA6" s="9"/>
      <c r="BB6" s="13" t="s">
        <v>118</v>
      </c>
      <c r="BC6" s="9"/>
      <c r="BD6" s="9"/>
      <c r="BE6" s="11"/>
      <c r="BF6" s="9"/>
      <c r="BG6" s="11"/>
      <c r="BH6" s="9"/>
      <c r="BI6" s="13" t="s">
        <v>118</v>
      </c>
      <c r="BJ6" s="9"/>
      <c r="BK6" s="9"/>
      <c r="BL6" s="11"/>
      <c r="BM6" s="9"/>
      <c r="BN6" s="11"/>
      <c r="BO6" s="9"/>
      <c r="BP6" s="13" t="s">
        <v>118</v>
      </c>
      <c r="BQ6" s="9"/>
      <c r="BR6" s="9"/>
      <c r="BS6" s="11"/>
      <c r="BT6" s="9"/>
      <c r="BU6" s="11"/>
      <c r="BV6" s="9"/>
      <c r="BW6" s="13" t="s">
        <v>118</v>
      </c>
      <c r="BX6" s="9"/>
      <c r="BY6" s="9"/>
      <c r="BZ6" s="11"/>
      <c r="CA6" s="9"/>
      <c r="CB6" s="11"/>
      <c r="CC6" s="9"/>
      <c r="CD6" s="13" t="s">
        <v>118</v>
      </c>
      <c r="CE6" s="9"/>
      <c r="CF6" s="9"/>
      <c r="CG6" s="11"/>
      <c r="CH6" s="9"/>
      <c r="CI6" s="11"/>
      <c r="CJ6" s="9"/>
      <c r="CK6" s="13" t="s">
        <v>118</v>
      </c>
      <c r="CL6" s="9"/>
      <c r="CM6" s="9"/>
      <c r="CN6" s="11"/>
      <c r="CO6" s="9"/>
      <c r="CP6" s="11"/>
      <c r="CQ6" s="9"/>
    </row>
    <row r="7" spans="1:95" ht="12.75">
      <c r="A7" s="14" t="s">
        <v>11</v>
      </c>
      <c r="B7" s="9"/>
      <c r="C7" s="9"/>
      <c r="D7" s="11"/>
      <c r="E7" s="9"/>
      <c r="F7" s="11"/>
      <c r="G7" s="9"/>
      <c r="H7" s="9"/>
      <c r="I7" s="14" t="s">
        <v>11</v>
      </c>
      <c r="J7" s="9"/>
      <c r="K7" s="9"/>
      <c r="L7" s="11"/>
      <c r="M7" s="9"/>
      <c r="N7" s="11"/>
      <c r="O7" s="9"/>
      <c r="P7" s="9"/>
      <c r="Q7" s="14" t="s">
        <v>11</v>
      </c>
      <c r="R7" s="9"/>
      <c r="S7" s="9"/>
      <c r="T7" s="11"/>
      <c r="U7" s="9"/>
      <c r="V7" s="11"/>
      <c r="W7" s="9"/>
      <c r="X7" s="9"/>
      <c r="Y7" s="14" t="s">
        <v>11</v>
      </c>
      <c r="Z7" s="9"/>
      <c r="AA7" s="9"/>
      <c r="AB7" s="11"/>
      <c r="AC7" s="9"/>
      <c r="AD7" s="11"/>
      <c r="AE7" s="9"/>
      <c r="AF7" s="9"/>
      <c r="AG7" s="14" t="s">
        <v>11</v>
      </c>
      <c r="AH7" s="9"/>
      <c r="AI7" s="9"/>
      <c r="AJ7" s="11"/>
      <c r="AK7" s="9"/>
      <c r="AL7" s="11"/>
      <c r="AM7" s="9"/>
      <c r="AN7" s="14" t="s">
        <v>11</v>
      </c>
      <c r="AO7" s="9"/>
      <c r="AP7" s="9"/>
      <c r="AQ7" s="11"/>
      <c r="AR7" s="9"/>
      <c r="AS7" s="11"/>
      <c r="AT7" s="9"/>
      <c r="AU7" s="14" t="s">
        <v>11</v>
      </c>
      <c r="AV7" s="9"/>
      <c r="AW7" s="9"/>
      <c r="AX7" s="11"/>
      <c r="AY7" s="9"/>
      <c r="AZ7" s="11"/>
      <c r="BA7" s="9"/>
      <c r="BB7" s="14" t="s">
        <v>11</v>
      </c>
      <c r="BC7" s="9"/>
      <c r="BD7" s="9"/>
      <c r="BE7" s="11"/>
      <c r="BF7" s="9"/>
      <c r="BG7" s="11"/>
      <c r="BH7" s="9"/>
      <c r="BI7" s="14" t="s">
        <v>11</v>
      </c>
      <c r="BJ7" s="9"/>
      <c r="BK7" s="9"/>
      <c r="BL7" s="11"/>
      <c r="BM7" s="9"/>
      <c r="BN7" s="11"/>
      <c r="BO7" s="9"/>
      <c r="BP7" s="14" t="s">
        <v>11</v>
      </c>
      <c r="BQ7" s="9"/>
      <c r="BR7" s="9"/>
      <c r="BS7" s="11"/>
      <c r="BT7" s="9"/>
      <c r="BU7" s="11"/>
      <c r="BV7" s="9"/>
      <c r="BW7" s="14" t="s">
        <v>11</v>
      </c>
      <c r="BX7" s="9"/>
      <c r="BY7" s="9"/>
      <c r="BZ7" s="11"/>
      <c r="CA7" s="9"/>
      <c r="CB7" s="11"/>
      <c r="CC7" s="9"/>
      <c r="CD7" s="14" t="s">
        <v>11</v>
      </c>
      <c r="CE7" s="9"/>
      <c r="CF7" s="9"/>
      <c r="CG7" s="11"/>
      <c r="CH7" s="9"/>
      <c r="CI7" s="11"/>
      <c r="CJ7" s="9"/>
      <c r="CK7" s="14" t="s">
        <v>11</v>
      </c>
      <c r="CL7" s="9"/>
      <c r="CM7" s="9"/>
      <c r="CN7" s="11"/>
      <c r="CO7" s="9"/>
      <c r="CP7" s="11"/>
      <c r="CQ7" s="9"/>
    </row>
    <row r="8" spans="1:95" ht="12.75">
      <c r="A8" s="9"/>
      <c r="B8" s="9"/>
      <c r="C8" s="9"/>
      <c r="D8" s="11"/>
      <c r="E8" s="9"/>
      <c r="F8" s="11"/>
      <c r="G8" s="9"/>
      <c r="H8" s="9"/>
      <c r="I8" s="9"/>
      <c r="J8" s="9"/>
      <c r="K8" s="9"/>
      <c r="L8" s="11"/>
      <c r="M8" s="9"/>
      <c r="N8" s="11"/>
      <c r="O8" s="9"/>
      <c r="P8" s="9"/>
      <c r="Q8" s="9"/>
      <c r="R8" s="9"/>
      <c r="S8" s="9"/>
      <c r="T8" s="11"/>
      <c r="U8" s="9"/>
      <c r="V8" s="11"/>
      <c r="W8" s="9"/>
      <c r="X8" s="9"/>
      <c r="Y8" s="9"/>
      <c r="Z8" s="9"/>
      <c r="AA8" s="9"/>
      <c r="AB8" s="11"/>
      <c r="AC8" s="9"/>
      <c r="AD8" s="11"/>
      <c r="AE8" s="9"/>
      <c r="AF8" s="9"/>
      <c r="AG8" s="9"/>
      <c r="AH8" s="9"/>
      <c r="AI8" s="9"/>
      <c r="AJ8" s="11"/>
      <c r="AK8" s="9"/>
      <c r="AL8" s="11"/>
      <c r="AM8" s="9"/>
      <c r="AN8" s="9"/>
      <c r="AO8" s="9"/>
      <c r="AP8" s="9"/>
      <c r="AQ8" s="11"/>
      <c r="AR8" s="9"/>
      <c r="AS8" s="11"/>
      <c r="AT8" s="9"/>
      <c r="AU8" s="9"/>
      <c r="AV8" s="9"/>
      <c r="AW8" s="9"/>
      <c r="AX8" s="11"/>
      <c r="AY8" s="9"/>
      <c r="AZ8" s="11"/>
      <c r="BA8" s="9"/>
      <c r="BB8" s="9"/>
      <c r="BC8" s="9"/>
      <c r="BD8" s="9"/>
      <c r="BE8" s="11"/>
      <c r="BF8" s="9"/>
      <c r="BG8" s="11"/>
      <c r="BH8" s="9"/>
      <c r="BI8" s="9"/>
      <c r="BJ8" s="9"/>
      <c r="BK8" s="9"/>
      <c r="BL8" s="11"/>
      <c r="BM8" s="9"/>
      <c r="BN8" s="11"/>
      <c r="BO8" s="9"/>
      <c r="BP8" s="9"/>
      <c r="BQ8" s="9"/>
      <c r="BR8" s="9"/>
      <c r="BS8" s="11"/>
      <c r="BT8" s="9"/>
      <c r="BU8" s="11"/>
      <c r="BV8" s="9"/>
      <c r="BW8" s="9"/>
      <c r="BX8" s="9"/>
      <c r="BY8" s="9"/>
      <c r="BZ8" s="11"/>
      <c r="CA8" s="9"/>
      <c r="CB8" s="11"/>
      <c r="CC8" s="9"/>
      <c r="CD8" s="9"/>
      <c r="CE8" s="9"/>
      <c r="CF8" s="9"/>
      <c r="CG8" s="11"/>
      <c r="CH8" s="9"/>
      <c r="CI8" s="11"/>
      <c r="CJ8" s="9"/>
      <c r="CK8" s="9"/>
      <c r="CL8" s="9"/>
      <c r="CM8" s="9"/>
      <c r="CN8" s="11"/>
      <c r="CO8" s="9"/>
      <c r="CP8" s="11"/>
      <c r="CQ8" s="9"/>
    </row>
    <row r="9" spans="1:95" ht="12.75">
      <c r="A9" s="9" t="s">
        <v>141</v>
      </c>
      <c r="B9" s="9"/>
      <c r="C9" s="9"/>
      <c r="D9" s="16">
        <v>4994.40622919766</v>
      </c>
      <c r="E9" s="9"/>
      <c r="F9" s="11"/>
      <c r="G9" s="9"/>
      <c r="H9" s="9"/>
      <c r="I9" s="9" t="s">
        <v>141</v>
      </c>
      <c r="J9" s="9"/>
      <c r="K9" s="9"/>
      <c r="L9" s="16">
        <v>4163.216985834209</v>
      </c>
      <c r="M9" s="9"/>
      <c r="N9" s="11"/>
      <c r="O9" s="9"/>
      <c r="P9" s="9"/>
      <c r="Q9" s="9" t="s">
        <v>141</v>
      </c>
      <c r="R9" s="9"/>
      <c r="S9" s="9"/>
      <c r="T9" s="16">
        <v>4338.92694845102</v>
      </c>
      <c r="U9" s="9"/>
      <c r="V9" s="11"/>
      <c r="W9" s="9"/>
      <c r="X9" s="9"/>
      <c r="Y9" s="9" t="s">
        <v>141</v>
      </c>
      <c r="Z9" s="9"/>
      <c r="AA9" s="9"/>
      <c r="AB9" s="16">
        <v>4175.658422085569</v>
      </c>
      <c r="AC9" s="9"/>
      <c r="AD9" s="11"/>
      <c r="AE9" s="9"/>
      <c r="AF9" s="9"/>
      <c r="AG9" s="9" t="s">
        <v>141</v>
      </c>
      <c r="AH9" s="9"/>
      <c r="AI9" s="9"/>
      <c r="AJ9" s="16">
        <v>5035.362610929469</v>
      </c>
      <c r="AK9" s="9"/>
      <c r="AL9" s="11"/>
      <c r="AM9" s="9"/>
      <c r="AN9" s="9" t="s">
        <v>141</v>
      </c>
      <c r="AO9" s="9"/>
      <c r="AP9" s="9"/>
      <c r="AQ9" s="16">
        <v>5689.894321342477</v>
      </c>
      <c r="AR9" s="9"/>
      <c r="AS9" s="11"/>
      <c r="AT9" s="9"/>
      <c r="AU9" s="9" t="s">
        <v>141</v>
      </c>
      <c r="AV9" s="9"/>
      <c r="AW9" s="9"/>
      <c r="AX9" s="16">
        <v>5477.43154231347</v>
      </c>
      <c r="AY9" s="9"/>
      <c r="AZ9" s="11"/>
      <c r="BA9" s="9"/>
      <c r="BB9" s="9" t="s">
        <v>141</v>
      </c>
      <c r="BC9" s="9"/>
      <c r="BD9" s="9"/>
      <c r="BE9" s="16">
        <v>5296.552538570849</v>
      </c>
      <c r="BF9" s="9"/>
      <c r="BG9" s="11"/>
      <c r="BH9" s="9"/>
      <c r="BI9" s="9" t="s">
        <v>141</v>
      </c>
      <c r="BJ9" s="9"/>
      <c r="BK9" s="9"/>
      <c r="BL9" s="16">
        <v>4999.215013862705</v>
      </c>
      <c r="BM9" s="9"/>
      <c r="BN9" s="11"/>
      <c r="BO9" s="9"/>
      <c r="BP9" s="9" t="s">
        <v>141</v>
      </c>
      <c r="BQ9" s="9"/>
      <c r="BR9" s="9"/>
      <c r="BS9" s="16">
        <v>4872.357364395805</v>
      </c>
      <c r="BT9" s="9"/>
      <c r="BU9" s="11"/>
      <c r="BV9" s="9"/>
      <c r="BW9" s="9" t="s">
        <v>141</v>
      </c>
      <c r="BX9" s="9"/>
      <c r="BY9" s="9"/>
      <c r="BZ9" s="16">
        <v>4718.859750226475</v>
      </c>
      <c r="CA9" s="9"/>
      <c r="CB9" s="11"/>
      <c r="CC9" s="9"/>
      <c r="CD9" s="9" t="s">
        <v>141</v>
      </c>
      <c r="CE9" s="9"/>
      <c r="CF9" s="9"/>
      <c r="CG9" s="16">
        <v>4596.623645878762</v>
      </c>
      <c r="CH9" s="9"/>
      <c r="CI9" s="11"/>
      <c r="CJ9" s="9"/>
      <c r="CK9" s="9" t="s">
        <v>141</v>
      </c>
      <c r="CL9" s="9"/>
      <c r="CM9" s="9"/>
      <c r="CN9" s="16">
        <v>4314.387535301672</v>
      </c>
      <c r="CO9" s="9"/>
      <c r="CP9" s="11"/>
      <c r="CQ9" s="9"/>
    </row>
    <row r="10" spans="1:95" ht="12.75">
      <c r="A10" s="9" t="s">
        <v>12</v>
      </c>
      <c r="B10" s="9"/>
      <c r="C10" s="9"/>
      <c r="D10" s="17">
        <v>17.56806423874687</v>
      </c>
      <c r="E10" s="9" t="s">
        <v>10</v>
      </c>
      <c r="F10" s="11"/>
      <c r="G10" s="9"/>
      <c r="H10" s="9"/>
      <c r="I10" s="9" t="s">
        <v>12</v>
      </c>
      <c r="J10" s="9"/>
      <c r="K10" s="9"/>
      <c r="L10" s="17">
        <v>19.48405765657469</v>
      </c>
      <c r="M10" s="9" t="s">
        <v>10</v>
      </c>
      <c r="N10" s="11"/>
      <c r="O10" s="9"/>
      <c r="P10" s="9"/>
      <c r="Q10" s="9" t="s">
        <v>12</v>
      </c>
      <c r="R10" s="9"/>
      <c r="S10" s="9"/>
      <c r="T10" s="17">
        <v>17.347028771083597</v>
      </c>
      <c r="U10" s="9" t="s">
        <v>10</v>
      </c>
      <c r="V10" s="11"/>
      <c r="W10" s="9"/>
      <c r="X10" s="9"/>
      <c r="Y10" s="9" t="s">
        <v>12</v>
      </c>
      <c r="Z10" s="9"/>
      <c r="AA10" s="9"/>
      <c r="AB10" s="17">
        <v>17.676524894063554</v>
      </c>
      <c r="AC10" s="9" t="s">
        <v>10</v>
      </c>
      <c r="AD10" s="11"/>
      <c r="AE10" s="9"/>
      <c r="AF10" s="9"/>
      <c r="AG10" s="9" t="s">
        <v>12</v>
      </c>
      <c r="AH10" s="9"/>
      <c r="AI10" s="9"/>
      <c r="AJ10" s="17">
        <v>11.048803260092916</v>
      </c>
      <c r="AK10" s="9" t="s">
        <v>10</v>
      </c>
      <c r="AL10" s="11"/>
      <c r="AM10" s="9"/>
      <c r="AN10" s="9" t="s">
        <v>12</v>
      </c>
      <c r="AO10" s="9"/>
      <c r="AP10" s="9"/>
      <c r="AQ10" s="17">
        <v>10.661039575743077</v>
      </c>
      <c r="AR10" s="9" t="s">
        <v>10</v>
      </c>
      <c r="AS10" s="11"/>
      <c r="AT10" s="9"/>
      <c r="AU10" s="9" t="s">
        <v>12</v>
      </c>
      <c r="AV10" s="9"/>
      <c r="AW10" s="9"/>
      <c r="AX10" s="17">
        <v>12.491576010968204</v>
      </c>
      <c r="AY10" s="9" t="s">
        <v>10</v>
      </c>
      <c r="AZ10" s="11"/>
      <c r="BA10" s="9"/>
      <c r="BB10" s="9" t="s">
        <v>12</v>
      </c>
      <c r="BC10" s="9"/>
      <c r="BD10" s="9"/>
      <c r="BE10" s="17">
        <v>13.552212826086205</v>
      </c>
      <c r="BF10" s="9" t="s">
        <v>10</v>
      </c>
      <c r="BG10" s="11"/>
      <c r="BH10" s="9"/>
      <c r="BI10" s="9" t="s">
        <v>12</v>
      </c>
      <c r="BJ10" s="9"/>
      <c r="BK10" s="9"/>
      <c r="BL10" s="17">
        <v>15.755464964117106</v>
      </c>
      <c r="BM10" s="9" t="s">
        <v>10</v>
      </c>
      <c r="BN10" s="11"/>
      <c r="BO10" s="9"/>
      <c r="BP10" s="9" t="s">
        <v>12</v>
      </c>
      <c r="BQ10" s="9"/>
      <c r="BR10" s="9"/>
      <c r="BS10" s="17">
        <v>13.93110357098394</v>
      </c>
      <c r="BT10" s="9" t="s">
        <v>10</v>
      </c>
      <c r="BU10" s="11"/>
      <c r="BV10" s="9"/>
      <c r="BW10" s="9" t="s">
        <v>12</v>
      </c>
      <c r="BX10" s="9"/>
      <c r="BY10" s="9"/>
      <c r="BZ10" s="17">
        <v>15.612667956617353</v>
      </c>
      <c r="CA10" s="9" t="s">
        <v>10</v>
      </c>
      <c r="CB10" s="11"/>
      <c r="CC10" s="9"/>
      <c r="CD10" s="9" t="s">
        <v>12</v>
      </c>
      <c r="CE10" s="9"/>
      <c r="CF10" s="9"/>
      <c r="CG10" s="17">
        <v>17.137588686948543</v>
      </c>
      <c r="CH10" s="9" t="s">
        <v>10</v>
      </c>
      <c r="CI10" s="11"/>
      <c r="CJ10" s="9"/>
      <c r="CK10" s="9" t="s">
        <v>12</v>
      </c>
      <c r="CL10" s="9"/>
      <c r="CM10" s="9"/>
      <c r="CN10" s="17">
        <v>15.430305800724888</v>
      </c>
      <c r="CO10" s="9" t="s">
        <v>10</v>
      </c>
      <c r="CP10" s="11"/>
      <c r="CQ10" s="9"/>
    </row>
    <row r="11" spans="1:95" ht="12.75">
      <c r="A11" s="9" t="s">
        <v>13</v>
      </c>
      <c r="B11" s="9"/>
      <c r="C11" s="9"/>
      <c r="D11" s="18">
        <v>0.1325</v>
      </c>
      <c r="E11" s="9"/>
      <c r="F11" s="11"/>
      <c r="G11" s="9"/>
      <c r="H11" s="9"/>
      <c r="I11" s="9" t="s">
        <v>13</v>
      </c>
      <c r="J11" s="9"/>
      <c r="K11" s="9"/>
      <c r="L11" s="18">
        <v>0.1318</v>
      </c>
      <c r="M11" s="9"/>
      <c r="N11" s="11"/>
      <c r="O11" s="9"/>
      <c r="P11" s="9"/>
      <c r="Q11" s="9" t="s">
        <v>13</v>
      </c>
      <c r="R11" s="9"/>
      <c r="S11" s="9"/>
      <c r="T11" s="18">
        <v>0.12713367053262542</v>
      </c>
      <c r="U11" s="9"/>
      <c r="V11" s="11"/>
      <c r="W11" s="9"/>
      <c r="X11" s="9"/>
      <c r="Y11" s="9" t="s">
        <v>13</v>
      </c>
      <c r="Z11" s="9"/>
      <c r="AA11" s="9"/>
      <c r="AB11" s="18">
        <v>0.1278685413951847</v>
      </c>
      <c r="AC11" s="9"/>
      <c r="AD11" s="11"/>
      <c r="AE11" s="9"/>
      <c r="AF11" s="9"/>
      <c r="AG11" s="9" t="s">
        <v>13</v>
      </c>
      <c r="AH11" s="9"/>
      <c r="AI11" s="9"/>
      <c r="AJ11" s="18">
        <v>0.12042982891153091</v>
      </c>
      <c r="AK11" s="9"/>
      <c r="AL11" s="11"/>
      <c r="AM11" s="9"/>
      <c r="AN11" s="9" t="s">
        <v>13</v>
      </c>
      <c r="AO11" s="9"/>
      <c r="AP11" s="9"/>
      <c r="AQ11" s="18">
        <v>0.11778403646339328</v>
      </c>
      <c r="AR11" s="9"/>
      <c r="AS11" s="11"/>
      <c r="AT11" s="9"/>
      <c r="AU11" s="9" t="s">
        <v>13</v>
      </c>
      <c r="AV11" s="9"/>
      <c r="AW11" s="9"/>
      <c r="AX11" s="18">
        <v>0.11708881892896147</v>
      </c>
      <c r="AY11" s="9"/>
      <c r="AZ11" s="11"/>
      <c r="BA11" s="9"/>
      <c r="BB11" s="9" t="s">
        <v>13</v>
      </c>
      <c r="BC11" s="9"/>
      <c r="BD11" s="9"/>
      <c r="BE11" s="18">
        <v>0.11563297955612066</v>
      </c>
      <c r="BF11" s="9"/>
      <c r="BG11" s="11"/>
      <c r="BH11" s="9"/>
      <c r="BI11" s="9" t="s">
        <v>13</v>
      </c>
      <c r="BJ11" s="9"/>
      <c r="BK11" s="9"/>
      <c r="BL11" s="18">
        <v>0.11514378088960088</v>
      </c>
      <c r="BM11" s="9"/>
      <c r="BN11" s="11"/>
      <c r="BO11" s="9"/>
      <c r="BP11" s="9" t="s">
        <v>13</v>
      </c>
      <c r="BQ11" s="9"/>
      <c r="BR11" s="9"/>
      <c r="BS11" s="18">
        <v>0.11428126034347119</v>
      </c>
      <c r="BT11" s="9"/>
      <c r="BU11" s="11"/>
      <c r="BV11" s="9"/>
      <c r="BW11" s="9" t="s">
        <v>13</v>
      </c>
      <c r="BX11" s="9"/>
      <c r="BY11" s="9"/>
      <c r="BZ11" s="18">
        <v>0.11369392025980508</v>
      </c>
      <c r="CA11" s="9"/>
      <c r="CB11" s="11"/>
      <c r="CC11" s="9"/>
      <c r="CD11" s="9" t="s">
        <v>13</v>
      </c>
      <c r="CE11" s="9"/>
      <c r="CF11" s="9"/>
      <c r="CG11" s="18">
        <v>0.1133394860957004</v>
      </c>
      <c r="CH11" s="9"/>
      <c r="CI11" s="11"/>
      <c r="CJ11" s="9"/>
      <c r="CK11" s="9" t="s">
        <v>13</v>
      </c>
      <c r="CL11" s="9"/>
      <c r="CM11" s="9"/>
      <c r="CN11" s="18">
        <v>0.11198550326388598</v>
      </c>
      <c r="CO11" s="9"/>
      <c r="CP11" s="11"/>
      <c r="CQ11" s="9"/>
    </row>
    <row r="12" spans="1:95" ht="12.75">
      <c r="A12" s="9" t="s">
        <v>14</v>
      </c>
      <c r="B12" s="9"/>
      <c r="C12" s="9"/>
      <c r="D12" s="17">
        <v>2.41</v>
      </c>
      <c r="E12" s="9" t="s">
        <v>77</v>
      </c>
      <c r="F12" s="11"/>
      <c r="G12" s="9"/>
      <c r="H12" s="9"/>
      <c r="I12" s="9" t="s">
        <v>14</v>
      </c>
      <c r="J12" s="9"/>
      <c r="K12" s="9"/>
      <c r="L12" s="17">
        <v>2.23</v>
      </c>
      <c r="M12" s="9" t="s">
        <v>77</v>
      </c>
      <c r="N12" s="11"/>
      <c r="O12" s="9"/>
      <c r="P12" s="9"/>
      <c r="Q12" s="9" t="s">
        <v>14</v>
      </c>
      <c r="R12" s="9"/>
      <c r="S12" s="9"/>
      <c r="T12" s="17">
        <v>2.990809872030022</v>
      </c>
      <c r="U12" s="9" t="s">
        <v>77</v>
      </c>
      <c r="V12" s="11"/>
      <c r="W12" s="9"/>
      <c r="X12" s="9"/>
      <c r="Y12" s="9" t="s">
        <v>14</v>
      </c>
      <c r="Z12" s="9"/>
      <c r="AA12" s="9"/>
      <c r="AB12" s="17">
        <v>2.9893890167966024</v>
      </c>
      <c r="AC12" s="9" t="s">
        <v>77</v>
      </c>
      <c r="AD12" s="11"/>
      <c r="AE12" s="9"/>
      <c r="AF12" s="9"/>
      <c r="AG12" s="9" t="s">
        <v>14</v>
      </c>
      <c r="AH12" s="9"/>
      <c r="AI12" s="9"/>
      <c r="AJ12" s="17">
        <v>3.459284134297873</v>
      </c>
      <c r="AK12" s="9" t="s">
        <v>77</v>
      </c>
      <c r="AL12" s="11"/>
      <c r="AM12" s="9"/>
      <c r="AN12" s="9" t="s">
        <v>14</v>
      </c>
      <c r="AO12" s="9"/>
      <c r="AP12" s="9"/>
      <c r="AQ12" s="17">
        <v>3.475105073463934</v>
      </c>
      <c r="AR12" s="9" t="s">
        <v>77</v>
      </c>
      <c r="AS12" s="11"/>
      <c r="AT12" s="9"/>
      <c r="AU12" s="9" t="s">
        <v>14</v>
      </c>
      <c r="AV12" s="9"/>
      <c r="AW12" s="9"/>
      <c r="AX12" s="17">
        <v>3.3181033577669345</v>
      </c>
      <c r="AY12" s="9" t="s">
        <v>77</v>
      </c>
      <c r="AZ12" s="11"/>
      <c r="BA12" s="9"/>
      <c r="BB12" s="9" t="s">
        <v>14</v>
      </c>
      <c r="BC12" s="9"/>
      <c r="BD12" s="9"/>
      <c r="BE12" s="17">
        <v>3.1718519436835684</v>
      </c>
      <c r="BF12" s="9" t="s">
        <v>77</v>
      </c>
      <c r="BG12" s="11"/>
      <c r="BH12" s="9"/>
      <c r="BI12" s="9" t="s">
        <v>14</v>
      </c>
      <c r="BJ12" s="9"/>
      <c r="BK12" s="9"/>
      <c r="BL12" s="17">
        <v>2.9858380962203657</v>
      </c>
      <c r="BM12" s="9" t="s">
        <v>77</v>
      </c>
      <c r="BN12" s="11"/>
      <c r="BO12" s="9"/>
      <c r="BP12" s="9" t="s">
        <v>14</v>
      </c>
      <c r="BQ12" s="9"/>
      <c r="BR12" s="9"/>
      <c r="BS12" s="17">
        <v>2.863525102055372</v>
      </c>
      <c r="BT12" s="9" t="s">
        <v>77</v>
      </c>
      <c r="BU12" s="11"/>
      <c r="BV12" s="9"/>
      <c r="BW12" s="9" t="s">
        <v>14</v>
      </c>
      <c r="BX12" s="9"/>
      <c r="BY12" s="9"/>
      <c r="BZ12" s="17">
        <v>2.722527555051878</v>
      </c>
      <c r="CA12" s="9" t="s">
        <v>77</v>
      </c>
      <c r="CB12" s="11"/>
      <c r="CC12" s="9"/>
      <c r="CD12" s="9" t="s">
        <v>14</v>
      </c>
      <c r="CE12" s="9"/>
      <c r="CF12" s="9"/>
      <c r="CG12" s="17">
        <v>2.422983858515586</v>
      </c>
      <c r="CH12" s="9" t="s">
        <v>77</v>
      </c>
      <c r="CI12" s="11"/>
      <c r="CJ12" s="9"/>
      <c r="CK12" s="9" t="s">
        <v>14</v>
      </c>
      <c r="CL12" s="9"/>
      <c r="CM12" s="9"/>
      <c r="CN12" s="17">
        <v>2.95455376464913</v>
      </c>
      <c r="CO12" s="9" t="s">
        <v>77</v>
      </c>
      <c r="CP12" s="11"/>
      <c r="CQ12" s="9"/>
    </row>
    <row r="13" spans="1:95" ht="12.75">
      <c r="A13" s="9"/>
      <c r="B13" s="9"/>
      <c r="C13" s="9"/>
      <c r="D13" s="11"/>
      <c r="E13" s="9"/>
      <c r="F13" s="11"/>
      <c r="G13" s="9"/>
      <c r="H13" s="9"/>
      <c r="I13" s="9"/>
      <c r="J13" s="9"/>
      <c r="K13" s="9"/>
      <c r="L13" s="11"/>
      <c r="M13" s="9"/>
      <c r="N13" s="11"/>
      <c r="O13" s="9"/>
      <c r="P13" s="9"/>
      <c r="Q13" s="9"/>
      <c r="R13" s="9"/>
      <c r="S13" s="9"/>
      <c r="T13" s="11"/>
      <c r="U13" s="9"/>
      <c r="V13" s="11"/>
      <c r="W13" s="9"/>
      <c r="X13" s="9"/>
      <c r="Y13" s="9"/>
      <c r="Z13" s="9"/>
      <c r="AA13" s="9"/>
      <c r="AB13" s="11"/>
      <c r="AC13" s="9"/>
      <c r="AD13" s="11"/>
      <c r="AE13" s="9"/>
      <c r="AF13" s="9"/>
      <c r="AG13" s="9"/>
      <c r="AH13" s="9"/>
      <c r="AI13" s="9"/>
      <c r="AJ13" s="11"/>
      <c r="AK13" s="9"/>
      <c r="AL13" s="11"/>
      <c r="AM13" s="9"/>
      <c r="AN13" s="9"/>
      <c r="AO13" s="9"/>
      <c r="AP13" s="9"/>
      <c r="AQ13" s="11"/>
      <c r="AR13" s="9"/>
      <c r="AS13" s="11"/>
      <c r="AT13" s="9"/>
      <c r="AU13" s="9"/>
      <c r="AV13" s="9"/>
      <c r="AW13" s="9"/>
      <c r="AX13" s="11"/>
      <c r="AY13" s="9"/>
      <c r="AZ13" s="11"/>
      <c r="BA13" s="9"/>
      <c r="BB13" s="9"/>
      <c r="BC13" s="9"/>
      <c r="BD13" s="9"/>
      <c r="BE13" s="11"/>
      <c r="BF13" s="9"/>
      <c r="BG13" s="11"/>
      <c r="BH13" s="9"/>
      <c r="BI13" s="9"/>
      <c r="BJ13" s="9"/>
      <c r="BK13" s="9"/>
      <c r="BL13" s="11"/>
      <c r="BM13" s="9"/>
      <c r="BN13" s="11"/>
      <c r="BO13" s="9"/>
      <c r="BP13" s="9"/>
      <c r="BQ13" s="9"/>
      <c r="BR13" s="9"/>
      <c r="BS13" s="11"/>
      <c r="BT13" s="9"/>
      <c r="BU13" s="11"/>
      <c r="BV13" s="9"/>
      <c r="BW13" s="9"/>
      <c r="BX13" s="9"/>
      <c r="BY13" s="9"/>
      <c r="BZ13" s="11"/>
      <c r="CA13" s="9"/>
      <c r="CB13" s="11"/>
      <c r="CC13" s="9"/>
      <c r="CD13" s="9"/>
      <c r="CE13" s="9"/>
      <c r="CF13" s="9"/>
      <c r="CG13" s="11"/>
      <c r="CH13" s="9"/>
      <c r="CI13" s="11"/>
      <c r="CJ13" s="9"/>
      <c r="CK13" s="9"/>
      <c r="CL13" s="9"/>
      <c r="CM13" s="9"/>
      <c r="CN13" s="11"/>
      <c r="CO13" s="9"/>
      <c r="CP13" s="11"/>
      <c r="CQ13" s="9"/>
    </row>
    <row r="14" spans="1:95" ht="12.75">
      <c r="A14" s="9"/>
      <c r="B14" s="9"/>
      <c r="C14" s="9"/>
      <c r="D14" s="11"/>
      <c r="E14" s="9"/>
      <c r="F14" s="11"/>
      <c r="G14" s="9"/>
      <c r="H14" s="9"/>
      <c r="I14" s="9"/>
      <c r="J14" s="9"/>
      <c r="K14" s="9"/>
      <c r="L14" s="11"/>
      <c r="M14" s="9"/>
      <c r="N14" s="11"/>
      <c r="O14" s="9"/>
      <c r="P14" s="9"/>
      <c r="Q14" s="9"/>
      <c r="R14" s="9"/>
      <c r="S14" s="9"/>
      <c r="T14" s="11"/>
      <c r="U14" s="9"/>
      <c r="V14" s="11"/>
      <c r="W14" s="9"/>
      <c r="X14" s="9"/>
      <c r="Y14" s="9"/>
      <c r="Z14" s="9"/>
      <c r="AA14" s="9"/>
      <c r="AB14" s="11"/>
      <c r="AC14" s="9"/>
      <c r="AD14" s="11"/>
      <c r="AE14" s="9"/>
      <c r="AF14" s="9"/>
      <c r="AG14" s="9"/>
      <c r="AH14" s="9"/>
      <c r="AI14" s="9"/>
      <c r="AJ14" s="11"/>
      <c r="AK14" s="9"/>
      <c r="AL14" s="11"/>
      <c r="AM14" s="9"/>
      <c r="AN14" s="9"/>
      <c r="AO14" s="9"/>
      <c r="AP14" s="9"/>
      <c r="AQ14" s="11"/>
      <c r="AR14" s="9"/>
      <c r="AS14" s="11"/>
      <c r="AT14" s="9"/>
      <c r="AU14" s="9"/>
      <c r="AV14" s="9"/>
      <c r="AW14" s="9"/>
      <c r="AX14" s="11"/>
      <c r="AY14" s="9"/>
      <c r="AZ14" s="11"/>
      <c r="BA14" s="9"/>
      <c r="BB14" s="9"/>
      <c r="BC14" s="9"/>
      <c r="BD14" s="9"/>
      <c r="BE14" s="11"/>
      <c r="BF14" s="9"/>
      <c r="BG14" s="11"/>
      <c r="BH14" s="9"/>
      <c r="BI14" s="9"/>
      <c r="BJ14" s="9"/>
      <c r="BK14" s="9"/>
      <c r="BL14" s="11"/>
      <c r="BM14" s="9"/>
      <c r="BN14" s="11"/>
      <c r="BO14" s="9"/>
      <c r="BP14" s="9"/>
      <c r="BQ14" s="9"/>
      <c r="BR14" s="9"/>
      <c r="BS14" s="11"/>
      <c r="BT14" s="9"/>
      <c r="BU14" s="11"/>
      <c r="BV14" s="9"/>
      <c r="BW14" s="9"/>
      <c r="BX14" s="9"/>
      <c r="BY14" s="9"/>
      <c r="BZ14" s="11"/>
      <c r="CA14" s="9"/>
      <c r="CB14" s="11"/>
      <c r="CC14" s="9"/>
      <c r="CD14" s="9"/>
      <c r="CE14" s="9"/>
      <c r="CF14" s="9"/>
      <c r="CG14" s="11"/>
      <c r="CH14" s="9"/>
      <c r="CI14" s="11"/>
      <c r="CJ14" s="9"/>
      <c r="CK14" s="9"/>
      <c r="CL14" s="9"/>
      <c r="CM14" s="9"/>
      <c r="CN14" s="11"/>
      <c r="CO14" s="9"/>
      <c r="CP14" s="11"/>
      <c r="CQ14" s="9"/>
    </row>
    <row r="15" spans="1:95" ht="12.75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11"/>
      <c r="M15" s="9"/>
      <c r="N15" s="11"/>
      <c r="O15" s="9"/>
      <c r="P15" s="9"/>
      <c r="Q15" s="9"/>
      <c r="R15" s="9"/>
      <c r="S15" s="9"/>
      <c r="T15" s="11"/>
      <c r="U15" s="9"/>
      <c r="V15" s="11"/>
      <c r="W15" s="9"/>
      <c r="X15" s="9"/>
      <c r="Y15" s="9"/>
      <c r="Z15" s="9"/>
      <c r="AA15" s="9"/>
      <c r="AB15" s="11"/>
      <c r="AC15" s="9"/>
      <c r="AD15" s="11"/>
      <c r="AE15" s="9"/>
      <c r="AF15" s="9"/>
      <c r="AG15" s="9"/>
      <c r="AH15" s="9"/>
      <c r="AI15" s="9"/>
      <c r="AJ15" s="11"/>
      <c r="AK15" s="9"/>
      <c r="AL15" s="11"/>
      <c r="AM15" s="9"/>
      <c r="AN15" s="9"/>
      <c r="AO15" s="9"/>
      <c r="AP15" s="9"/>
      <c r="AQ15" s="11"/>
      <c r="AR15" s="9"/>
      <c r="AS15" s="11"/>
      <c r="AT15" s="9"/>
      <c r="AU15" s="9"/>
      <c r="AV15" s="9"/>
      <c r="AW15" s="9"/>
      <c r="AX15" s="11"/>
      <c r="AY15" s="9"/>
      <c r="AZ15" s="11"/>
      <c r="BA15" s="9"/>
      <c r="BB15" s="9"/>
      <c r="BC15" s="9"/>
      <c r="BD15" s="9"/>
      <c r="BE15" s="11"/>
      <c r="BF15" s="9"/>
      <c r="BG15" s="11"/>
      <c r="BH15" s="9"/>
      <c r="BI15" s="9"/>
      <c r="BJ15" s="9"/>
      <c r="BK15" s="9"/>
      <c r="BL15" s="11"/>
      <c r="BM15" s="9"/>
      <c r="BN15" s="11"/>
      <c r="BO15" s="9"/>
      <c r="BP15" s="9"/>
      <c r="BQ15" s="9"/>
      <c r="BR15" s="9"/>
      <c r="BS15" s="11"/>
      <c r="BT15" s="9"/>
      <c r="BU15" s="11"/>
      <c r="BV15" s="9"/>
      <c r="BW15" s="9"/>
      <c r="BX15" s="9"/>
      <c r="BY15" s="9"/>
      <c r="BZ15" s="11"/>
      <c r="CA15" s="9"/>
      <c r="CB15" s="11"/>
      <c r="CC15" s="9"/>
      <c r="CD15" s="9"/>
      <c r="CE15" s="9"/>
      <c r="CF15" s="9"/>
      <c r="CG15" s="11"/>
      <c r="CH15" s="9"/>
      <c r="CI15" s="11"/>
      <c r="CJ15" s="9"/>
      <c r="CK15" s="9"/>
      <c r="CL15" s="9"/>
      <c r="CM15" s="9"/>
      <c r="CN15" s="11"/>
      <c r="CO15" s="9"/>
      <c r="CP15" s="11"/>
      <c r="CQ15" s="9"/>
    </row>
    <row r="16" spans="1:95" ht="12.75">
      <c r="A16" s="20" t="s">
        <v>106</v>
      </c>
      <c r="B16" s="9"/>
      <c r="C16" s="9"/>
      <c r="D16" s="11"/>
      <c r="E16" s="9"/>
      <c r="F16" s="11"/>
      <c r="G16" s="9"/>
      <c r="H16" s="9"/>
      <c r="I16" s="20" t="s">
        <v>106</v>
      </c>
      <c r="J16" s="9"/>
      <c r="K16" s="9"/>
      <c r="L16" s="11"/>
      <c r="M16" s="9"/>
      <c r="N16" s="11"/>
      <c r="O16" s="9"/>
      <c r="P16" s="9"/>
      <c r="Q16" s="20" t="s">
        <v>106</v>
      </c>
      <c r="R16" s="9"/>
      <c r="S16" s="9"/>
      <c r="T16" s="11"/>
      <c r="U16" s="9"/>
      <c r="V16" s="11"/>
      <c r="W16" s="9"/>
      <c r="X16" s="9"/>
      <c r="Y16" s="20" t="s">
        <v>106</v>
      </c>
      <c r="Z16" s="9"/>
      <c r="AA16" s="9"/>
      <c r="AB16" s="11"/>
      <c r="AC16" s="9"/>
      <c r="AD16" s="11"/>
      <c r="AE16" s="9"/>
      <c r="AF16" s="9"/>
      <c r="AG16" s="20" t="s">
        <v>106</v>
      </c>
      <c r="AH16" s="9"/>
      <c r="AI16" s="9"/>
      <c r="AJ16" s="11"/>
      <c r="AK16" s="9"/>
      <c r="AL16" s="11"/>
      <c r="AM16" s="9"/>
      <c r="AN16" s="20" t="s">
        <v>106</v>
      </c>
      <c r="AO16" s="9"/>
      <c r="AP16" s="9"/>
      <c r="AQ16" s="11"/>
      <c r="AR16" s="9"/>
      <c r="AS16" s="11"/>
      <c r="AT16" s="9"/>
      <c r="AU16" s="20" t="s">
        <v>106</v>
      </c>
      <c r="AV16" s="9"/>
      <c r="AW16" s="9"/>
      <c r="AX16" s="11"/>
      <c r="AY16" s="9"/>
      <c r="AZ16" s="11"/>
      <c r="BA16" s="9"/>
      <c r="BB16" s="20" t="s">
        <v>106</v>
      </c>
      <c r="BC16" s="9"/>
      <c r="BD16" s="9"/>
      <c r="BE16" s="11"/>
      <c r="BF16" s="9"/>
      <c r="BG16" s="11"/>
      <c r="BH16" s="9"/>
      <c r="BI16" s="20" t="s">
        <v>106</v>
      </c>
      <c r="BJ16" s="9"/>
      <c r="BK16" s="9"/>
      <c r="BL16" s="11"/>
      <c r="BM16" s="9"/>
      <c r="BN16" s="11"/>
      <c r="BO16" s="9"/>
      <c r="BP16" s="20" t="s">
        <v>106</v>
      </c>
      <c r="BQ16" s="9"/>
      <c r="BR16" s="9"/>
      <c r="BS16" s="11"/>
      <c r="BT16" s="9"/>
      <c r="BU16" s="11"/>
      <c r="BV16" s="9"/>
      <c r="BW16" s="20" t="s">
        <v>106</v>
      </c>
      <c r="BX16" s="9"/>
      <c r="BY16" s="9"/>
      <c r="BZ16" s="11"/>
      <c r="CA16" s="9"/>
      <c r="CB16" s="11"/>
      <c r="CC16" s="9"/>
      <c r="CD16" s="20" t="s">
        <v>106</v>
      </c>
      <c r="CE16" s="9"/>
      <c r="CF16" s="9"/>
      <c r="CG16" s="11"/>
      <c r="CH16" s="9"/>
      <c r="CI16" s="11"/>
      <c r="CJ16" s="9"/>
      <c r="CK16" s="20" t="s">
        <v>106</v>
      </c>
      <c r="CL16" s="9"/>
      <c r="CM16" s="9"/>
      <c r="CN16" s="11"/>
      <c r="CO16" s="9"/>
      <c r="CP16" s="11"/>
      <c r="CQ16" s="9"/>
    </row>
    <row r="17" spans="1:95" ht="12.75">
      <c r="A17" s="20"/>
      <c r="B17" s="9"/>
      <c r="C17" s="9"/>
      <c r="D17" s="11"/>
      <c r="E17" s="9"/>
      <c r="F17" s="11"/>
      <c r="G17" s="9"/>
      <c r="H17" s="9"/>
      <c r="I17" s="20"/>
      <c r="J17" s="9"/>
      <c r="K17" s="9"/>
      <c r="L17" s="11"/>
      <c r="M17" s="9"/>
      <c r="N17" s="11"/>
      <c r="O17" s="9"/>
      <c r="P17" s="9"/>
      <c r="Q17" s="20"/>
      <c r="R17" s="9"/>
      <c r="S17" s="9"/>
      <c r="T17" s="11"/>
      <c r="U17" s="9"/>
      <c r="V17" s="11"/>
      <c r="W17" s="9"/>
      <c r="X17" s="9"/>
      <c r="Y17" s="20"/>
      <c r="Z17" s="9"/>
      <c r="AA17" s="9"/>
      <c r="AB17" s="11"/>
      <c r="AC17" s="9"/>
      <c r="AD17" s="11"/>
      <c r="AE17" s="9"/>
      <c r="AF17" s="9"/>
      <c r="AG17" s="20"/>
      <c r="AH17" s="9"/>
      <c r="AI17" s="9"/>
      <c r="AJ17" s="11"/>
      <c r="AK17" s="9"/>
      <c r="AL17" s="11"/>
      <c r="AM17" s="9"/>
      <c r="AN17" s="20"/>
      <c r="AO17" s="9"/>
      <c r="AP17" s="9"/>
      <c r="AQ17" s="11"/>
      <c r="AR17" s="9"/>
      <c r="AS17" s="11"/>
      <c r="AT17" s="9"/>
      <c r="AU17" s="20"/>
      <c r="AV17" s="9"/>
      <c r="AW17" s="9"/>
      <c r="AX17" s="11"/>
      <c r="AY17" s="9"/>
      <c r="AZ17" s="11"/>
      <c r="BA17" s="9"/>
      <c r="BB17" s="20"/>
      <c r="BC17" s="9"/>
      <c r="BD17" s="9"/>
      <c r="BE17" s="11"/>
      <c r="BF17" s="9"/>
      <c r="BG17" s="11"/>
      <c r="BH17" s="9"/>
      <c r="BI17" s="20"/>
      <c r="BJ17" s="9"/>
      <c r="BK17" s="9"/>
      <c r="BL17" s="11"/>
      <c r="BM17" s="9"/>
      <c r="BN17" s="11"/>
      <c r="BO17" s="9"/>
      <c r="BP17" s="20"/>
      <c r="BQ17" s="9"/>
      <c r="BR17" s="9"/>
      <c r="BS17" s="11"/>
      <c r="BT17" s="9"/>
      <c r="BU17" s="11"/>
      <c r="BV17" s="9"/>
      <c r="BW17" s="20"/>
      <c r="BX17" s="9"/>
      <c r="BY17" s="9"/>
      <c r="BZ17" s="11"/>
      <c r="CA17" s="9"/>
      <c r="CB17" s="11"/>
      <c r="CC17" s="9"/>
      <c r="CD17" s="20"/>
      <c r="CE17" s="9"/>
      <c r="CF17" s="9"/>
      <c r="CG17" s="11"/>
      <c r="CH17" s="9"/>
      <c r="CI17" s="11"/>
      <c r="CJ17" s="9"/>
      <c r="CK17" s="20"/>
      <c r="CL17" s="9"/>
      <c r="CM17" s="9"/>
      <c r="CN17" s="11"/>
      <c r="CO17" s="9"/>
      <c r="CP17" s="11"/>
      <c r="CQ17" s="9"/>
    </row>
    <row r="18" spans="1:95" s="30" customFormat="1" ht="12.75">
      <c r="A18" s="26"/>
      <c r="B18" s="27"/>
      <c r="C18" s="27"/>
      <c r="D18" s="28" t="s">
        <v>143</v>
      </c>
      <c r="E18" s="27" t="s">
        <v>96</v>
      </c>
      <c r="F18" s="29" t="s">
        <v>97</v>
      </c>
      <c r="G18" s="27" t="s">
        <v>96</v>
      </c>
      <c r="H18" s="27"/>
      <c r="I18" s="28" t="s">
        <v>143</v>
      </c>
      <c r="J18" s="27" t="s">
        <v>96</v>
      </c>
      <c r="K18" s="29" t="s">
        <v>97</v>
      </c>
      <c r="L18" s="27" t="s">
        <v>96</v>
      </c>
      <c r="M18" s="65"/>
      <c r="N18" s="66"/>
      <c r="O18" s="65"/>
      <c r="P18" s="27"/>
      <c r="Q18" s="28" t="s">
        <v>143</v>
      </c>
      <c r="R18" s="27" t="s">
        <v>96</v>
      </c>
      <c r="S18" s="29" t="s">
        <v>97</v>
      </c>
      <c r="T18" s="27" t="s">
        <v>96</v>
      </c>
      <c r="U18" s="65"/>
      <c r="V18" s="66"/>
      <c r="W18" s="65"/>
      <c r="X18" s="27"/>
      <c r="Y18" s="28" t="s">
        <v>143</v>
      </c>
      <c r="Z18" s="27" t="s">
        <v>96</v>
      </c>
      <c r="AA18" s="29" t="s">
        <v>97</v>
      </c>
      <c r="AB18" s="27" t="s">
        <v>96</v>
      </c>
      <c r="AC18" s="65"/>
      <c r="AD18" s="66"/>
      <c r="AE18" s="65"/>
      <c r="AF18" s="27"/>
      <c r="AG18" s="28" t="s">
        <v>143</v>
      </c>
      <c r="AH18" s="27" t="s">
        <v>96</v>
      </c>
      <c r="AI18" s="29" t="s">
        <v>97</v>
      </c>
      <c r="AJ18" s="27" t="s">
        <v>96</v>
      </c>
      <c r="AK18" s="65"/>
      <c r="AL18" s="66"/>
      <c r="AM18" s="65"/>
      <c r="AN18" s="94" t="s">
        <v>143</v>
      </c>
      <c r="AO18" s="45" t="s">
        <v>96</v>
      </c>
      <c r="AP18" s="93" t="s">
        <v>97</v>
      </c>
      <c r="AQ18" s="45" t="s">
        <v>96</v>
      </c>
      <c r="AR18" s="65"/>
      <c r="AS18" s="66"/>
      <c r="AT18" s="65"/>
      <c r="AU18" s="94" t="s">
        <v>143</v>
      </c>
      <c r="AV18" s="45" t="s">
        <v>96</v>
      </c>
      <c r="AW18" s="93" t="s">
        <v>97</v>
      </c>
      <c r="AX18" s="27" t="s">
        <v>96</v>
      </c>
      <c r="AY18" s="65"/>
      <c r="AZ18" s="66"/>
      <c r="BA18" s="65"/>
      <c r="BB18" s="94" t="s">
        <v>143</v>
      </c>
      <c r="BC18" s="45" t="s">
        <v>96</v>
      </c>
      <c r="BD18" s="93" t="s">
        <v>97</v>
      </c>
      <c r="BE18" s="27" t="s">
        <v>96</v>
      </c>
      <c r="BF18" s="65"/>
      <c r="BG18" s="66"/>
      <c r="BH18" s="65"/>
      <c r="BI18" s="94" t="s">
        <v>143</v>
      </c>
      <c r="BJ18" s="45" t="s">
        <v>96</v>
      </c>
      <c r="BK18" s="93" t="s">
        <v>97</v>
      </c>
      <c r="BL18" s="27" t="s">
        <v>96</v>
      </c>
      <c r="BM18" s="65"/>
      <c r="BN18" s="66"/>
      <c r="BO18" s="65"/>
      <c r="BP18" s="94" t="s">
        <v>143</v>
      </c>
      <c r="BQ18" s="45" t="s">
        <v>96</v>
      </c>
      <c r="BR18" s="93" t="s">
        <v>97</v>
      </c>
      <c r="BS18" s="27" t="s">
        <v>96</v>
      </c>
      <c r="BT18" s="65"/>
      <c r="BU18" s="66"/>
      <c r="BV18" s="65"/>
      <c r="BW18" s="94" t="s">
        <v>143</v>
      </c>
      <c r="BX18" s="45" t="s">
        <v>96</v>
      </c>
      <c r="BY18" s="93" t="s">
        <v>97</v>
      </c>
      <c r="BZ18" s="27" t="s">
        <v>96</v>
      </c>
      <c r="CA18" s="65"/>
      <c r="CB18" s="66"/>
      <c r="CC18" s="65"/>
      <c r="CD18" s="94" t="s">
        <v>143</v>
      </c>
      <c r="CE18" s="45" t="s">
        <v>96</v>
      </c>
      <c r="CF18" s="93" t="s">
        <v>97</v>
      </c>
      <c r="CG18" s="27" t="s">
        <v>96</v>
      </c>
      <c r="CH18" s="65"/>
      <c r="CI18" s="66"/>
      <c r="CJ18" s="65"/>
      <c r="CK18" s="94" t="s">
        <v>143</v>
      </c>
      <c r="CL18" s="45" t="s">
        <v>96</v>
      </c>
      <c r="CM18" s="93" t="s">
        <v>97</v>
      </c>
      <c r="CN18" s="27" t="s">
        <v>96</v>
      </c>
      <c r="CO18" s="65"/>
      <c r="CP18" s="66"/>
      <c r="CQ18" s="65"/>
    </row>
    <row r="19" spans="1:95" ht="12.75">
      <c r="A19" s="13"/>
      <c r="B19" s="9"/>
      <c r="C19" s="9"/>
      <c r="D19" s="11"/>
      <c r="E19" s="9"/>
      <c r="F19" s="11"/>
      <c r="G19" s="9"/>
      <c r="H19" s="9"/>
      <c r="I19" s="11"/>
      <c r="J19" s="9"/>
      <c r="K19" s="11"/>
      <c r="L19" s="9"/>
      <c r="M19" s="55"/>
      <c r="N19" s="56"/>
      <c r="O19" s="55"/>
      <c r="P19" s="9"/>
      <c r="Q19" s="11"/>
      <c r="R19" s="9"/>
      <c r="S19" s="11"/>
      <c r="T19" s="9"/>
      <c r="U19" s="55"/>
      <c r="V19" s="56"/>
      <c r="W19" s="55"/>
      <c r="X19" s="9"/>
      <c r="Y19" s="11"/>
      <c r="Z19" s="9"/>
      <c r="AA19" s="11"/>
      <c r="AB19" s="9"/>
      <c r="AC19" s="55"/>
      <c r="AD19" s="56"/>
      <c r="AE19" s="55"/>
      <c r="AF19" s="9"/>
      <c r="AG19" s="11"/>
      <c r="AH19" s="9"/>
      <c r="AI19" s="11"/>
      <c r="AJ19" s="9"/>
      <c r="AK19" s="55"/>
      <c r="AL19" s="56"/>
      <c r="AM19" s="55"/>
      <c r="AN19" s="11"/>
      <c r="AO19" s="9"/>
      <c r="AP19" s="11"/>
      <c r="AQ19" s="9"/>
      <c r="AR19" s="55"/>
      <c r="AS19" s="56"/>
      <c r="AT19" s="55"/>
      <c r="AU19" s="11"/>
      <c r="AV19" s="9"/>
      <c r="AW19" s="11"/>
      <c r="AX19" s="9"/>
      <c r="AY19" s="55"/>
      <c r="AZ19" s="56"/>
      <c r="BA19" s="55"/>
      <c r="BB19" s="11"/>
      <c r="BC19" s="9"/>
      <c r="BD19" s="11"/>
      <c r="BE19" s="9"/>
      <c r="BF19" s="55"/>
      <c r="BG19" s="56"/>
      <c r="BH19" s="55"/>
      <c r="BI19" s="11"/>
      <c r="BJ19" s="9"/>
      <c r="BK19" s="11"/>
      <c r="BL19" s="9"/>
      <c r="BM19" s="55"/>
      <c r="BN19" s="56"/>
      <c r="BO19" s="55"/>
      <c r="BP19" s="11"/>
      <c r="BQ19" s="9"/>
      <c r="BR19" s="11"/>
      <c r="BS19" s="9"/>
      <c r="BT19" s="55"/>
      <c r="BU19" s="56"/>
      <c r="BV19" s="55"/>
      <c r="BW19" s="11"/>
      <c r="BX19" s="9"/>
      <c r="BY19" s="11"/>
      <c r="BZ19" s="9"/>
      <c r="CA19" s="55"/>
      <c r="CB19" s="56"/>
      <c r="CC19" s="55"/>
      <c r="CD19" s="11"/>
      <c r="CE19" s="9"/>
      <c r="CF19" s="11"/>
      <c r="CG19" s="9"/>
      <c r="CH19" s="55"/>
      <c r="CI19" s="56"/>
      <c r="CJ19" s="55"/>
      <c r="CK19" s="11"/>
      <c r="CL19" s="9"/>
      <c r="CM19" s="11"/>
      <c r="CN19" s="9"/>
      <c r="CO19" s="55"/>
      <c r="CP19" s="56"/>
      <c r="CQ19" s="55"/>
    </row>
    <row r="20" spans="1:95" ht="12.75">
      <c r="A20" s="9" t="s">
        <v>24</v>
      </c>
      <c r="B20" s="9"/>
      <c r="C20" s="9"/>
      <c r="D20" s="10">
        <v>3370976.210000006</v>
      </c>
      <c r="E20" s="15">
        <v>0.08713126647870734</v>
      </c>
      <c r="F20" s="11">
        <v>1920</v>
      </c>
      <c r="G20" s="15">
        <v>0.22900763358778625</v>
      </c>
      <c r="H20" s="15"/>
      <c r="I20" s="10">
        <v>2096260.39</v>
      </c>
      <c r="J20" s="15">
        <v>0.06604398859757325</v>
      </c>
      <c r="K20" s="11">
        <v>1709</v>
      </c>
      <c r="L20" s="15">
        <v>0.22416054564533053</v>
      </c>
      <c r="M20" s="57"/>
      <c r="N20" s="56"/>
      <c r="O20" s="57"/>
      <c r="P20" s="15"/>
      <c r="Q20" s="10">
        <v>2781995.89</v>
      </c>
      <c r="R20" s="15">
        <v>0.08041783588649293</v>
      </c>
      <c r="S20" s="11">
        <v>2221</v>
      </c>
      <c r="T20" s="15">
        <v>0.2785651574062461</v>
      </c>
      <c r="U20" s="57"/>
      <c r="V20" s="56"/>
      <c r="W20" s="57"/>
      <c r="X20" s="15"/>
      <c r="Y20" s="10">
        <v>2833194.11</v>
      </c>
      <c r="Z20" s="15">
        <v>0.0887743508892261</v>
      </c>
      <c r="AA20" s="11">
        <v>2442</v>
      </c>
      <c r="AB20" s="15">
        <v>0.3195080465785686</v>
      </c>
      <c r="AC20" s="57"/>
      <c r="AD20" s="56"/>
      <c r="AE20" s="57"/>
      <c r="AF20" s="15"/>
      <c r="AG20" s="10">
        <v>2712161.16</v>
      </c>
      <c r="AH20" s="15">
        <v>0.05031506868050966</v>
      </c>
      <c r="AI20" s="11">
        <v>2646</v>
      </c>
      <c r="AJ20" s="15">
        <v>0.24717421765530126</v>
      </c>
      <c r="AK20" s="57"/>
      <c r="AL20" s="56"/>
      <c r="AM20" s="57"/>
      <c r="AN20" s="10">
        <v>1917391.57</v>
      </c>
      <c r="AO20" s="15">
        <v>0.03124253013324849</v>
      </c>
      <c r="AP20" s="11">
        <v>1308</v>
      </c>
      <c r="AQ20" s="15">
        <v>0.12126831077322454</v>
      </c>
      <c r="AR20" s="57"/>
      <c r="AS20" s="56"/>
      <c r="AT20" s="57"/>
      <c r="AU20" s="10">
        <v>1582938.25</v>
      </c>
      <c r="AV20" s="15">
        <v>0.028942693525055407</v>
      </c>
      <c r="AW20" s="11">
        <v>1176</v>
      </c>
      <c r="AX20" s="15">
        <v>0.11777666499749624</v>
      </c>
      <c r="AY20" s="57"/>
      <c r="AZ20" s="56"/>
      <c r="BA20" s="57"/>
      <c r="BB20" s="10">
        <v>1971914.27</v>
      </c>
      <c r="BC20" s="15">
        <v>0.037789430073405114</v>
      </c>
      <c r="BD20" s="11">
        <v>1161</v>
      </c>
      <c r="BE20" s="15">
        <v>0.11784409257003654</v>
      </c>
      <c r="BF20" s="57"/>
      <c r="BG20" s="56"/>
      <c r="BH20" s="57"/>
      <c r="BI20" s="10">
        <v>2109165.65</v>
      </c>
      <c r="BJ20" s="15">
        <v>0.046789327606841596</v>
      </c>
      <c r="BK20" s="11">
        <v>1215</v>
      </c>
      <c r="BL20" s="15">
        <v>0.13474548075856715</v>
      </c>
      <c r="BM20" s="57"/>
      <c r="BN20" s="56"/>
      <c r="BO20" s="57"/>
      <c r="BP20" s="10">
        <v>1882374.08</v>
      </c>
      <c r="BQ20" s="15">
        <v>0.045456811608704475</v>
      </c>
      <c r="BR20" s="11">
        <v>1228</v>
      </c>
      <c r="BS20" s="15">
        <v>0.1444875867749147</v>
      </c>
      <c r="BT20" s="57"/>
      <c r="BU20" s="56"/>
      <c r="BV20" s="57"/>
      <c r="BW20" s="10">
        <v>1567884.56</v>
      </c>
      <c r="BX20" s="15">
        <v>0.04299976689914677</v>
      </c>
      <c r="BY20" s="11">
        <v>1201</v>
      </c>
      <c r="BZ20" s="15">
        <v>0.1554290151417109</v>
      </c>
      <c r="CA20" s="57"/>
      <c r="CB20" s="56"/>
      <c r="CC20" s="57"/>
      <c r="CD20" s="10">
        <v>1699351.6</v>
      </c>
      <c r="CE20" s="15">
        <v>0.05374263901189921</v>
      </c>
      <c r="CF20" s="11">
        <v>1160</v>
      </c>
      <c r="CG20" s="15">
        <v>0.16862916121529292</v>
      </c>
      <c r="CH20" s="57"/>
      <c r="CI20" s="56"/>
      <c r="CJ20" s="57"/>
      <c r="CK20" s="10">
        <v>4127021.57</v>
      </c>
      <c r="CL20" s="15">
        <v>0.09445757160941033</v>
      </c>
      <c r="CM20" s="11">
        <v>2696</v>
      </c>
      <c r="CN20" s="15">
        <v>0.2662190184654883</v>
      </c>
      <c r="CO20" s="57"/>
      <c r="CP20" s="56"/>
      <c r="CQ20" s="57"/>
    </row>
    <row r="21" spans="1:95" ht="12.75">
      <c r="A21" s="9" t="s">
        <v>25</v>
      </c>
      <c r="B21" s="9"/>
      <c r="C21" s="9"/>
      <c r="D21" s="10">
        <v>7197536.399999991</v>
      </c>
      <c r="E21" s="15">
        <v>0.1860382343245887</v>
      </c>
      <c r="F21" s="11">
        <v>2093</v>
      </c>
      <c r="G21" s="15">
        <v>0.24964217557251908</v>
      </c>
      <c r="H21" s="15"/>
      <c r="I21" s="10">
        <v>5536950.830000003</v>
      </c>
      <c r="J21" s="15">
        <v>0.17444508288488159</v>
      </c>
      <c r="K21" s="11">
        <v>1890</v>
      </c>
      <c r="L21" s="15">
        <v>0.24790136411332633</v>
      </c>
      <c r="M21" s="57"/>
      <c r="N21" s="56"/>
      <c r="O21" s="57"/>
      <c r="P21" s="15"/>
      <c r="Q21" s="10">
        <v>5354804.169999993</v>
      </c>
      <c r="R21" s="15">
        <v>0.15478878473374305</v>
      </c>
      <c r="S21" s="11">
        <v>1714</v>
      </c>
      <c r="T21" s="15">
        <v>0.2149755424557883</v>
      </c>
      <c r="U21" s="57"/>
      <c r="V21" s="56"/>
      <c r="W21" s="57"/>
      <c r="X21" s="15"/>
      <c r="Y21" s="10">
        <v>5237440.26</v>
      </c>
      <c r="Z21" s="15">
        <v>0.16410819073833235</v>
      </c>
      <c r="AA21" s="11">
        <v>1517</v>
      </c>
      <c r="AB21" s="15">
        <v>0.19848227135941385</v>
      </c>
      <c r="AC21" s="57"/>
      <c r="AD21" s="56"/>
      <c r="AE21" s="57"/>
      <c r="AF21" s="15"/>
      <c r="AG21" s="10">
        <v>5755298.1499999985</v>
      </c>
      <c r="AH21" s="15">
        <v>0.10677028561756273</v>
      </c>
      <c r="AI21" s="11">
        <v>1601</v>
      </c>
      <c r="AJ21" s="15">
        <v>0.149556282111163</v>
      </c>
      <c r="AK21" s="57"/>
      <c r="AL21" s="56"/>
      <c r="AM21" s="57"/>
      <c r="AN21" s="10">
        <v>5961100.130000012</v>
      </c>
      <c r="AO21" s="15">
        <v>0.09713188132919405</v>
      </c>
      <c r="AP21" s="11">
        <v>1717</v>
      </c>
      <c r="AQ21" s="15">
        <v>0.15918783608381235</v>
      </c>
      <c r="AR21" s="57"/>
      <c r="AS21" s="56"/>
      <c r="AT21" s="57"/>
      <c r="AU21" s="10">
        <v>5011923.52</v>
      </c>
      <c r="AV21" s="15">
        <v>0.09163880297312729</v>
      </c>
      <c r="AW21" s="11">
        <v>1527</v>
      </c>
      <c r="AX21" s="15">
        <v>0.1529293940911367</v>
      </c>
      <c r="AY21" s="57"/>
      <c r="AZ21" s="56"/>
      <c r="BA21" s="57"/>
      <c r="BB21" s="10">
        <v>4994400.609999991</v>
      </c>
      <c r="BC21" s="15">
        <v>0.09571184482080267</v>
      </c>
      <c r="BD21" s="11">
        <v>1544</v>
      </c>
      <c r="BE21" s="15">
        <v>0.15671944782785222</v>
      </c>
      <c r="BF21" s="57"/>
      <c r="BG21" s="56"/>
      <c r="BH21" s="57"/>
      <c r="BI21" s="10">
        <v>5990641.729999998</v>
      </c>
      <c r="BJ21" s="15">
        <v>0.13289525101083746</v>
      </c>
      <c r="BK21" s="11">
        <v>1698</v>
      </c>
      <c r="BL21" s="15">
        <v>0.1883109681712321</v>
      </c>
      <c r="BM21" s="57"/>
      <c r="BN21" s="56"/>
      <c r="BO21" s="57"/>
      <c r="BP21" s="10">
        <v>6728238.460000001</v>
      </c>
      <c r="BQ21" s="15">
        <v>0.16247794281924022</v>
      </c>
      <c r="BR21" s="11">
        <v>1860</v>
      </c>
      <c r="BS21" s="15">
        <v>0.21884927638545712</v>
      </c>
      <c r="BT21" s="57"/>
      <c r="BU21" s="56"/>
      <c r="BV21" s="57"/>
      <c r="BW21" s="10">
        <v>6985972.469999991</v>
      </c>
      <c r="BX21" s="15">
        <v>0.1915926691527954</v>
      </c>
      <c r="BY21" s="11">
        <v>1947</v>
      </c>
      <c r="BZ21" s="15">
        <v>0.2519735990682024</v>
      </c>
      <c r="CA21" s="57"/>
      <c r="CB21" s="56"/>
      <c r="CC21" s="57"/>
      <c r="CD21" s="10">
        <v>6350792.50000001</v>
      </c>
      <c r="CE21" s="15">
        <v>0.20084622203373192</v>
      </c>
      <c r="CF21" s="11">
        <v>1835</v>
      </c>
      <c r="CG21" s="15">
        <v>0.2667538886466056</v>
      </c>
      <c r="CH21" s="57"/>
      <c r="CI21" s="56"/>
      <c r="CJ21" s="57"/>
      <c r="CK21" s="10">
        <v>10424346.44000002</v>
      </c>
      <c r="CL21" s="15">
        <v>0.23858815216650406</v>
      </c>
      <c r="CM21" s="11">
        <v>2896</v>
      </c>
      <c r="CN21" s="15">
        <v>0.28596820381159277</v>
      </c>
      <c r="CO21" s="57"/>
      <c r="CP21" s="56"/>
      <c r="CQ21" s="57"/>
    </row>
    <row r="22" spans="1:95" ht="12.75">
      <c r="A22" s="9" t="s">
        <v>26</v>
      </c>
      <c r="B22" s="9"/>
      <c r="C22" s="9"/>
      <c r="D22" s="10">
        <v>11195093.940000005</v>
      </c>
      <c r="E22" s="15">
        <v>0.2893650540892724</v>
      </c>
      <c r="F22" s="11">
        <v>2125</v>
      </c>
      <c r="G22" s="15">
        <v>0.25345896946564883</v>
      </c>
      <c r="H22" s="15"/>
      <c r="I22" s="10">
        <v>9086603.499999996</v>
      </c>
      <c r="J22" s="15">
        <v>0.2862791000619295</v>
      </c>
      <c r="K22" s="11">
        <v>1902</v>
      </c>
      <c r="L22" s="15">
        <v>0.24947534102833158</v>
      </c>
      <c r="M22" s="57"/>
      <c r="N22" s="56"/>
      <c r="O22" s="57"/>
      <c r="P22" s="15"/>
      <c r="Q22" s="10">
        <v>7970532.839999991</v>
      </c>
      <c r="R22" s="15">
        <v>0.23040041294058933</v>
      </c>
      <c r="S22" s="11">
        <v>1551</v>
      </c>
      <c r="T22" s="15">
        <v>0.19453154396086794</v>
      </c>
      <c r="U22" s="57"/>
      <c r="V22" s="56"/>
      <c r="W22" s="57"/>
      <c r="X22" s="15"/>
      <c r="Y22" s="10">
        <v>5465785.06</v>
      </c>
      <c r="Z22" s="15">
        <v>0.17126306986482112</v>
      </c>
      <c r="AA22" s="11">
        <v>1055</v>
      </c>
      <c r="AB22" s="15">
        <v>0.13803480308779276</v>
      </c>
      <c r="AC22" s="57"/>
      <c r="AD22" s="56"/>
      <c r="AE22" s="57"/>
      <c r="AF22" s="15"/>
      <c r="AG22" s="10">
        <v>9098023.430000005</v>
      </c>
      <c r="AH22" s="15">
        <v>0.16878336010730888</v>
      </c>
      <c r="AI22" s="11">
        <v>1643</v>
      </c>
      <c r="AJ22" s="15">
        <v>0.15347968239140589</v>
      </c>
      <c r="AK22" s="57"/>
      <c r="AL22" s="56"/>
      <c r="AM22" s="57"/>
      <c r="AN22" s="10">
        <v>12370370.239999974</v>
      </c>
      <c r="AO22" s="15">
        <v>0.2015663733113419</v>
      </c>
      <c r="AP22" s="11">
        <v>2222</v>
      </c>
      <c r="AQ22" s="15">
        <v>0.20600778787316892</v>
      </c>
      <c r="AR22" s="57"/>
      <c r="AS22" s="56"/>
      <c r="AT22" s="57"/>
      <c r="AU22" s="10">
        <v>12457190.320000017</v>
      </c>
      <c r="AV22" s="15">
        <v>0.22776923964977644</v>
      </c>
      <c r="AW22" s="11">
        <v>2327</v>
      </c>
      <c r="AX22" s="15">
        <v>0.2330495743615423</v>
      </c>
      <c r="AY22" s="57"/>
      <c r="AZ22" s="56"/>
      <c r="BA22" s="57"/>
      <c r="BB22" s="10">
        <v>13470827.020000007</v>
      </c>
      <c r="BC22" s="15">
        <v>0.2581526405319974</v>
      </c>
      <c r="BD22" s="11">
        <v>2552</v>
      </c>
      <c r="BE22" s="15">
        <v>0.25903369874137233</v>
      </c>
      <c r="BF22" s="57"/>
      <c r="BG22" s="56"/>
      <c r="BH22" s="57"/>
      <c r="BI22" s="10">
        <v>12413433.879999984</v>
      </c>
      <c r="BJ22" s="15">
        <v>0.2753772443322249</v>
      </c>
      <c r="BK22" s="11">
        <v>2417</v>
      </c>
      <c r="BL22" s="15">
        <v>0.26804924032383276</v>
      </c>
      <c r="BM22" s="57"/>
      <c r="BN22" s="56"/>
      <c r="BO22" s="57"/>
      <c r="BP22" s="10">
        <v>12740551.049999988</v>
      </c>
      <c r="BQ22" s="15">
        <v>0.3076672352346306</v>
      </c>
      <c r="BR22" s="11">
        <v>2423</v>
      </c>
      <c r="BS22" s="15">
        <v>0.28509236380750674</v>
      </c>
      <c r="BT22" s="57"/>
      <c r="BU22" s="56"/>
      <c r="BV22" s="57"/>
      <c r="BW22" s="10">
        <v>11216920.709999997</v>
      </c>
      <c r="BX22" s="15">
        <v>0.30762786251062496</v>
      </c>
      <c r="BY22" s="11">
        <v>2112</v>
      </c>
      <c r="BZ22" s="15">
        <v>0.27332729390449073</v>
      </c>
      <c r="CA22" s="57"/>
      <c r="CB22" s="56"/>
      <c r="CC22" s="57"/>
      <c r="CD22" s="10">
        <v>12348062.030000027</v>
      </c>
      <c r="CE22" s="15">
        <v>0.39051214602959805</v>
      </c>
      <c r="CF22" s="11">
        <v>2296</v>
      </c>
      <c r="CG22" s="15">
        <v>0.33376944323302804</v>
      </c>
      <c r="CH22" s="57"/>
      <c r="CI22" s="56"/>
      <c r="CJ22" s="57"/>
      <c r="CK22" s="10">
        <v>19118078.530000024</v>
      </c>
      <c r="CL22" s="15">
        <v>0.437566715160592</v>
      </c>
      <c r="CM22" s="11">
        <v>3285</v>
      </c>
      <c r="CN22" s="15">
        <v>0.324380369309766</v>
      </c>
      <c r="CO22" s="57"/>
      <c r="CP22" s="56"/>
      <c r="CQ22" s="57"/>
    </row>
    <row r="23" spans="1:95" ht="12.75">
      <c r="A23" s="9" t="s">
        <v>27</v>
      </c>
      <c r="B23" s="9"/>
      <c r="C23" s="9"/>
      <c r="D23" s="10">
        <v>7647772.100000006</v>
      </c>
      <c r="E23" s="15">
        <v>0.1976756960896863</v>
      </c>
      <c r="F23" s="11">
        <v>1089</v>
      </c>
      <c r="G23" s="15">
        <v>0.12989026717557253</v>
      </c>
      <c r="H23" s="15"/>
      <c r="I23" s="10">
        <v>6778992.950000007</v>
      </c>
      <c r="J23" s="15">
        <v>0.21357639309915608</v>
      </c>
      <c r="K23" s="11">
        <v>1034</v>
      </c>
      <c r="L23" s="15">
        <v>0.1356243441762854</v>
      </c>
      <c r="M23" s="57"/>
      <c r="N23" s="56"/>
      <c r="O23" s="57"/>
      <c r="P23" s="15"/>
      <c r="Q23" s="10">
        <v>10790852.350000007</v>
      </c>
      <c r="R23" s="15">
        <v>0.31192605153621494</v>
      </c>
      <c r="S23" s="11">
        <v>1600</v>
      </c>
      <c r="T23" s="15">
        <v>0.200677285839709</v>
      </c>
      <c r="U23" s="57"/>
      <c r="V23" s="56"/>
      <c r="W23" s="57"/>
      <c r="X23" s="15"/>
      <c r="Y23" s="10">
        <v>9897519.409999995</v>
      </c>
      <c r="Z23" s="15">
        <v>0.3101255427346154</v>
      </c>
      <c r="AA23" s="11">
        <v>1564</v>
      </c>
      <c r="AB23" s="15">
        <v>0.20463168912730603</v>
      </c>
      <c r="AC23" s="57"/>
      <c r="AD23" s="56"/>
      <c r="AE23" s="57"/>
      <c r="AF23" s="15"/>
      <c r="AG23" s="10">
        <v>14895704.639999965</v>
      </c>
      <c r="AH23" s="15">
        <v>0.2763399214839376</v>
      </c>
      <c r="AI23" s="11">
        <v>2143</v>
      </c>
      <c r="AJ23" s="15">
        <v>0.20018682858477346</v>
      </c>
      <c r="AK23" s="57"/>
      <c r="AL23" s="56"/>
      <c r="AM23" s="57"/>
      <c r="AN23" s="10">
        <v>18702508.33999999</v>
      </c>
      <c r="AO23" s="15">
        <v>0.304744054121288</v>
      </c>
      <c r="AP23" s="11">
        <v>2659</v>
      </c>
      <c r="AQ23" s="15">
        <v>0.24652327090673096</v>
      </c>
      <c r="AR23" s="57"/>
      <c r="AS23" s="56"/>
      <c r="AT23" s="57"/>
      <c r="AU23" s="10">
        <v>16212452.249999974</v>
      </c>
      <c r="AV23" s="15">
        <v>0.29643104319536445</v>
      </c>
      <c r="AW23" s="11">
        <v>2370</v>
      </c>
      <c r="AX23" s="15">
        <v>0.2373560340510766</v>
      </c>
      <c r="AY23" s="57"/>
      <c r="AZ23" s="56"/>
      <c r="BA23" s="57"/>
      <c r="BB23" s="10">
        <v>20224644.010000005</v>
      </c>
      <c r="BC23" s="15">
        <v>0.3875816419622574</v>
      </c>
      <c r="BD23" s="11">
        <v>2988</v>
      </c>
      <c r="BE23" s="15">
        <v>0.3032886723507917</v>
      </c>
      <c r="BF23" s="57"/>
      <c r="BG23" s="56"/>
      <c r="BH23" s="57"/>
      <c r="BI23" s="10">
        <v>20938023.390000023</v>
      </c>
      <c r="BJ23" s="15">
        <v>0.4644851085235638</v>
      </c>
      <c r="BK23" s="11">
        <v>3127</v>
      </c>
      <c r="BL23" s="15">
        <v>0.34678939780414775</v>
      </c>
      <c r="BM23" s="57"/>
      <c r="BN23" s="56"/>
      <c r="BO23" s="57"/>
      <c r="BP23" s="10">
        <v>17692446.54999996</v>
      </c>
      <c r="BQ23" s="15">
        <v>0.42724887590909744</v>
      </c>
      <c r="BR23" s="11">
        <v>2639</v>
      </c>
      <c r="BS23" s="15">
        <v>0.3105071184845276</v>
      </c>
      <c r="BT23" s="57"/>
      <c r="BU23" s="56"/>
      <c r="BV23" s="57"/>
      <c r="BW23" s="10">
        <v>15139114.949999977</v>
      </c>
      <c r="BX23" s="15">
        <v>0.4151953724892775</v>
      </c>
      <c r="BY23" s="11">
        <v>2274</v>
      </c>
      <c r="BZ23" s="15">
        <v>0.29429273974375564</v>
      </c>
      <c r="CA23" s="57"/>
      <c r="CB23" s="56"/>
      <c r="CC23" s="57"/>
      <c r="CD23" s="10">
        <v>9918870.609999962</v>
      </c>
      <c r="CE23" s="15">
        <v>0.3136880458399337</v>
      </c>
      <c r="CF23" s="11">
        <v>1439</v>
      </c>
      <c r="CG23" s="15">
        <v>0.20918738188690217</v>
      </c>
      <c r="CH23" s="57"/>
      <c r="CI23" s="56"/>
      <c r="CJ23" s="57"/>
      <c r="CK23" s="10">
        <v>8221754.349999993</v>
      </c>
      <c r="CL23" s="15">
        <v>0.1881761306786933</v>
      </c>
      <c r="CM23" s="11">
        <v>1081</v>
      </c>
      <c r="CN23" s="15">
        <v>0.10674434679569468</v>
      </c>
      <c r="CO23" s="57"/>
      <c r="CP23" s="56"/>
      <c r="CQ23" s="57"/>
    </row>
    <row r="24" spans="1:95" ht="12.75">
      <c r="A24" s="9" t="s">
        <v>28</v>
      </c>
      <c r="B24" s="9"/>
      <c r="C24" s="9"/>
      <c r="D24" s="10">
        <v>9277100.770000005</v>
      </c>
      <c r="E24" s="15">
        <v>0.23978974901774522</v>
      </c>
      <c r="F24" s="11">
        <v>1157</v>
      </c>
      <c r="G24" s="15">
        <v>0.13800095419847327</v>
      </c>
      <c r="H24" s="15"/>
      <c r="I24" s="10">
        <v>8241558.629999997</v>
      </c>
      <c r="J24" s="15">
        <v>0.2596554353564595</v>
      </c>
      <c r="K24" s="11">
        <v>1089</v>
      </c>
      <c r="L24" s="15">
        <v>0.14283840503672612</v>
      </c>
      <c r="M24" s="57"/>
      <c r="N24" s="56"/>
      <c r="O24" s="57"/>
      <c r="P24" s="15"/>
      <c r="Q24" s="10">
        <v>7696079.309999997</v>
      </c>
      <c r="R24" s="15">
        <v>0.2224669149029599</v>
      </c>
      <c r="S24" s="11">
        <v>887</v>
      </c>
      <c r="T24" s="15">
        <v>0.11125047033738869</v>
      </c>
      <c r="U24" s="57"/>
      <c r="V24" s="56"/>
      <c r="W24" s="57"/>
      <c r="X24" s="15"/>
      <c r="Y24" s="10">
        <v>8480618.48000001</v>
      </c>
      <c r="Z24" s="15">
        <v>0.265728845773005</v>
      </c>
      <c r="AA24" s="11">
        <v>1065</v>
      </c>
      <c r="AB24" s="15">
        <v>0.13934318984691874</v>
      </c>
      <c r="AC24" s="57"/>
      <c r="AD24" s="56"/>
      <c r="AE24" s="57"/>
      <c r="AF24" s="15"/>
      <c r="AG24" s="10">
        <v>21442369.37000001</v>
      </c>
      <c r="AH24" s="15">
        <v>0.3977913641106813</v>
      </c>
      <c r="AI24" s="11">
        <v>2672</v>
      </c>
      <c r="AJ24" s="15">
        <v>0.24960298925735638</v>
      </c>
      <c r="AK24" s="57"/>
      <c r="AL24" s="56"/>
      <c r="AM24" s="57"/>
      <c r="AN24" s="10">
        <v>22419829.86999999</v>
      </c>
      <c r="AO24" s="15">
        <v>0.36531516110492757</v>
      </c>
      <c r="AP24" s="11">
        <v>2880</v>
      </c>
      <c r="AQ24" s="15">
        <v>0.26701279436306324</v>
      </c>
      <c r="AR24" s="57"/>
      <c r="AS24" s="56"/>
      <c r="AT24" s="57"/>
      <c r="AU24" s="10">
        <v>19427649.610000018</v>
      </c>
      <c r="AV24" s="15">
        <v>0.3552182206566764</v>
      </c>
      <c r="AW24" s="11">
        <v>2585</v>
      </c>
      <c r="AX24" s="15">
        <v>0.2588883324987481</v>
      </c>
      <c r="AY24" s="57"/>
      <c r="AZ24" s="56"/>
      <c r="BA24" s="57"/>
      <c r="BB24" s="10">
        <v>11519849.700000003</v>
      </c>
      <c r="BC24" s="15">
        <v>0.2207644426115374</v>
      </c>
      <c r="BD24" s="11">
        <v>1607</v>
      </c>
      <c r="BE24" s="15">
        <v>0.1631140885099472</v>
      </c>
      <c r="BF24" s="57"/>
      <c r="BG24" s="56"/>
      <c r="BH24" s="57"/>
      <c r="BI24" s="10">
        <v>3626657.13</v>
      </c>
      <c r="BJ24" s="15">
        <v>0.08045306852653224</v>
      </c>
      <c r="BK24" s="11">
        <v>560</v>
      </c>
      <c r="BL24" s="15">
        <v>0.06210491294222025</v>
      </c>
      <c r="BM24" s="57"/>
      <c r="BN24" s="56"/>
      <c r="BO24" s="57"/>
      <c r="BP24" s="10">
        <v>2366555.1</v>
      </c>
      <c r="BQ24" s="15">
        <v>0.05714913442832722</v>
      </c>
      <c r="BR24" s="11">
        <v>349</v>
      </c>
      <c r="BS24" s="15">
        <v>0.041063654547593836</v>
      </c>
      <c r="BT24" s="57"/>
      <c r="BU24" s="56"/>
      <c r="BV24" s="57"/>
      <c r="BW24" s="10">
        <v>1552736.6</v>
      </c>
      <c r="BX24" s="15">
        <v>0.04258432894815528</v>
      </c>
      <c r="BY24" s="11">
        <v>193</v>
      </c>
      <c r="BZ24" s="15">
        <v>0.0249773521418403</v>
      </c>
      <c r="CA24" s="57"/>
      <c r="CB24" s="56"/>
      <c r="CC24" s="57"/>
      <c r="CD24" s="10">
        <v>1303097.32</v>
      </c>
      <c r="CE24" s="15">
        <v>0.04121094708483714</v>
      </c>
      <c r="CF24" s="11">
        <v>149</v>
      </c>
      <c r="CG24" s="15">
        <v>0.021660125018171245</v>
      </c>
      <c r="CH24" s="57"/>
      <c r="CI24" s="56"/>
      <c r="CJ24" s="57"/>
      <c r="CK24" s="10">
        <v>1800601.68</v>
      </c>
      <c r="CL24" s="15">
        <v>0.0412114303848004</v>
      </c>
      <c r="CM24" s="11">
        <v>169</v>
      </c>
      <c r="CN24" s="15">
        <v>0.01668806161745828</v>
      </c>
      <c r="CO24" s="57"/>
      <c r="CP24" s="56"/>
      <c r="CQ24" s="57"/>
    </row>
    <row r="25" spans="1:95" ht="12.75">
      <c r="A25" s="9"/>
      <c r="B25" s="9"/>
      <c r="C25" s="9"/>
      <c r="D25" s="10"/>
      <c r="E25" s="9"/>
      <c r="F25" s="11"/>
      <c r="G25" s="9"/>
      <c r="H25" s="9"/>
      <c r="I25" s="10"/>
      <c r="J25" s="9"/>
      <c r="K25" s="11"/>
      <c r="L25" s="9"/>
      <c r="M25" s="55"/>
      <c r="N25" s="56"/>
      <c r="O25" s="55"/>
      <c r="P25" s="9"/>
      <c r="Q25" s="10"/>
      <c r="R25" s="9"/>
      <c r="S25" s="11"/>
      <c r="T25" s="9"/>
      <c r="U25" s="55"/>
      <c r="V25" s="56"/>
      <c r="W25" s="55"/>
      <c r="X25" s="9"/>
      <c r="Y25" s="10"/>
      <c r="Z25" s="9"/>
      <c r="AA25" s="11"/>
      <c r="AB25" s="9"/>
      <c r="AC25" s="55"/>
      <c r="AD25" s="56"/>
      <c r="AE25" s="55"/>
      <c r="AF25" s="9"/>
      <c r="AG25" s="10"/>
      <c r="AH25" s="9"/>
      <c r="AI25" s="11"/>
      <c r="AJ25" s="9"/>
      <c r="AK25" s="55"/>
      <c r="AL25" s="56"/>
      <c r="AM25" s="55"/>
      <c r="AN25" s="10"/>
      <c r="AO25" s="9"/>
      <c r="AP25" s="11"/>
      <c r="AQ25" s="9"/>
      <c r="AR25" s="55"/>
      <c r="AS25" s="56"/>
      <c r="AT25" s="55"/>
      <c r="AU25" s="10"/>
      <c r="AV25" s="9"/>
      <c r="AW25" s="11"/>
      <c r="AX25" s="9"/>
      <c r="AY25" s="55"/>
      <c r="AZ25" s="56"/>
      <c r="BA25" s="55"/>
      <c r="BB25" s="10"/>
      <c r="BC25" s="9"/>
      <c r="BD25" s="11"/>
      <c r="BE25" s="9"/>
      <c r="BF25" s="55"/>
      <c r="BG25" s="56"/>
      <c r="BH25" s="55"/>
      <c r="BI25" s="10"/>
      <c r="BJ25" s="9"/>
      <c r="BK25" s="11"/>
      <c r="BL25" s="9"/>
      <c r="BM25" s="55"/>
      <c r="BN25" s="56"/>
      <c r="BO25" s="55"/>
      <c r="BP25" s="10"/>
      <c r="BQ25" s="9"/>
      <c r="BR25" s="11"/>
      <c r="BS25" s="9"/>
      <c r="BT25" s="55"/>
      <c r="BU25" s="56"/>
      <c r="BV25" s="55"/>
      <c r="BW25" s="10"/>
      <c r="BX25" s="9"/>
      <c r="BY25" s="11"/>
      <c r="BZ25" s="9"/>
      <c r="CA25" s="55"/>
      <c r="CB25" s="56"/>
      <c r="CC25" s="55"/>
      <c r="CD25" s="10"/>
      <c r="CE25" s="9"/>
      <c r="CF25" s="11"/>
      <c r="CG25" s="9"/>
      <c r="CH25" s="55"/>
      <c r="CI25" s="56"/>
      <c r="CJ25" s="55"/>
      <c r="CK25" s="10"/>
      <c r="CL25" s="9"/>
      <c r="CM25" s="11"/>
      <c r="CN25" s="9"/>
      <c r="CO25" s="55"/>
      <c r="CP25" s="56"/>
      <c r="CQ25" s="55"/>
    </row>
    <row r="26" spans="1:95" ht="13.5" thickBot="1">
      <c r="A26" s="9"/>
      <c r="B26" s="13"/>
      <c r="C26" s="13"/>
      <c r="D26" s="77">
        <f>SUM(D20:D24)</f>
        <v>38688479.42000002</v>
      </c>
      <c r="E26" s="13"/>
      <c r="F26" s="23">
        <f>SUM(F20:F24)</f>
        <v>8384</v>
      </c>
      <c r="G26" s="24"/>
      <c r="H26" s="24"/>
      <c r="I26" s="22">
        <f>SUM(I20:I24)</f>
        <v>31740366.300000004</v>
      </c>
      <c r="J26" s="13"/>
      <c r="K26" s="23">
        <f>SUM(K20:K24)</f>
        <v>7624</v>
      </c>
      <c r="L26" s="24"/>
      <c r="M26" s="54"/>
      <c r="N26" s="32"/>
      <c r="O26" s="58"/>
      <c r="P26" s="24"/>
      <c r="Q26" s="22">
        <f>SUM(Q20:Q24)</f>
        <v>34594264.55999999</v>
      </c>
      <c r="R26" s="13"/>
      <c r="S26" s="23">
        <f>SUM(S20:S24)</f>
        <v>7973</v>
      </c>
      <c r="T26" s="24"/>
      <c r="U26" s="54"/>
      <c r="V26" s="32"/>
      <c r="W26" s="58"/>
      <c r="X26" s="24"/>
      <c r="Y26" s="22">
        <f>SUM(Y20:Y24)</f>
        <v>31914557.320000008</v>
      </c>
      <c r="Z26" s="13"/>
      <c r="AA26" s="23">
        <f>SUM(AA20:AA24)</f>
        <v>7643</v>
      </c>
      <c r="AB26" s="24"/>
      <c r="AC26" s="54"/>
      <c r="AD26" s="32"/>
      <c r="AE26" s="58"/>
      <c r="AF26" s="24"/>
      <c r="AG26" s="22">
        <f>SUM(AG20:AG24)</f>
        <v>53903556.74999997</v>
      </c>
      <c r="AH26" s="13"/>
      <c r="AI26" s="23">
        <f>SUM(AI20:AI24)</f>
        <v>10705</v>
      </c>
      <c r="AJ26" s="24"/>
      <c r="AK26" s="54"/>
      <c r="AL26" s="32"/>
      <c r="AM26" s="58"/>
      <c r="AN26" s="22">
        <f>SUM(AN20:AN24)</f>
        <v>61371200.14999996</v>
      </c>
      <c r="AO26" s="13"/>
      <c r="AP26" s="23">
        <f>SUM(AP20:AP24)</f>
        <v>10786</v>
      </c>
      <c r="AQ26" s="24"/>
      <c r="AR26" s="54"/>
      <c r="AS26" s="32"/>
      <c r="AT26" s="58"/>
      <c r="AU26" s="22">
        <f>SUM(AU20:AU24)</f>
        <v>54692153.95</v>
      </c>
      <c r="AV26" s="13"/>
      <c r="AW26" s="23">
        <f>SUM(AW20:AW24)</f>
        <v>9985</v>
      </c>
      <c r="AX26" s="24"/>
      <c r="AY26" s="54"/>
      <c r="AZ26" s="32"/>
      <c r="BA26" s="58"/>
      <c r="BB26" s="22">
        <f>SUM(BB20:BB24)</f>
        <v>52181635.61000001</v>
      </c>
      <c r="BC26" s="13"/>
      <c r="BD26" s="23">
        <f>SUM(BD20:BD24)</f>
        <v>9852</v>
      </c>
      <c r="BE26" s="24"/>
      <c r="BF26" s="54"/>
      <c r="BG26" s="32"/>
      <c r="BH26" s="58"/>
      <c r="BI26" s="22">
        <f>SUM(BI20:BI24)</f>
        <v>45077921.78000001</v>
      </c>
      <c r="BJ26" s="13"/>
      <c r="BK26" s="23">
        <f>SUM(BK20:BK24)</f>
        <v>9017</v>
      </c>
      <c r="BL26" s="24"/>
      <c r="BM26" s="54"/>
      <c r="BN26" s="32"/>
      <c r="BO26" s="58"/>
      <c r="BP26" s="22">
        <f>SUM(BP20:BP24)</f>
        <v>41410165.23999995</v>
      </c>
      <c r="BQ26" s="13"/>
      <c r="BR26" s="23">
        <f>SUM(BR20:BR24)</f>
        <v>8499</v>
      </c>
      <c r="BS26" s="24"/>
      <c r="BT26" s="54"/>
      <c r="BU26" s="32"/>
      <c r="BV26" s="58"/>
      <c r="BW26" s="22">
        <f>SUM(BW20:BW24)</f>
        <v>36462629.28999997</v>
      </c>
      <c r="BX26" s="13"/>
      <c r="BY26" s="23">
        <f>SUM(BY20:BY24)</f>
        <v>7727</v>
      </c>
      <c r="BZ26" s="24"/>
      <c r="CA26" s="54"/>
      <c r="CB26" s="32"/>
      <c r="CC26" s="58"/>
      <c r="CD26" s="22">
        <f>SUM(CD20:CD24)</f>
        <v>31620174.060000002</v>
      </c>
      <c r="CE26" s="13"/>
      <c r="CF26" s="23">
        <f>SUM(CF20:CF24)</f>
        <v>6879</v>
      </c>
      <c r="CG26" s="24"/>
      <c r="CH26" s="54"/>
      <c r="CI26" s="32"/>
      <c r="CJ26" s="58"/>
      <c r="CK26" s="22">
        <f>SUM(CK20:CK24)</f>
        <v>43691802.57000004</v>
      </c>
      <c r="CL26" s="13"/>
      <c r="CM26" s="23">
        <f>SUM(CM20:CM24)</f>
        <v>10127</v>
      </c>
      <c r="CN26" s="24"/>
      <c r="CO26" s="54"/>
      <c r="CP26" s="32"/>
      <c r="CQ26" s="58"/>
    </row>
    <row r="27" spans="1:95" ht="13.5" thickTop="1">
      <c r="A27" s="9"/>
      <c r="B27" s="9"/>
      <c r="C27" s="9"/>
      <c r="D27" s="10"/>
      <c r="E27" s="9"/>
      <c r="F27" s="11"/>
      <c r="G27" s="9"/>
      <c r="H27" s="9"/>
      <c r="I27" s="9"/>
      <c r="J27" s="9"/>
      <c r="K27" s="9"/>
      <c r="L27" s="10"/>
      <c r="M27" s="55"/>
      <c r="N27" s="56"/>
      <c r="O27" s="55"/>
      <c r="P27" s="9"/>
      <c r="Q27" s="9"/>
      <c r="R27" s="9"/>
      <c r="S27" s="9"/>
      <c r="T27" s="10"/>
      <c r="U27" s="55"/>
      <c r="V27" s="56"/>
      <c r="W27" s="55"/>
      <c r="X27" s="9"/>
      <c r="Y27" s="9"/>
      <c r="Z27" s="9"/>
      <c r="AA27" s="9"/>
      <c r="AB27" s="10"/>
      <c r="AC27" s="55"/>
      <c r="AD27" s="56"/>
      <c r="AE27" s="55"/>
      <c r="AF27" s="9"/>
      <c r="AG27" s="9"/>
      <c r="AH27" s="9"/>
      <c r="AI27" s="9"/>
      <c r="AJ27" s="10"/>
      <c r="AK27" s="55"/>
      <c r="AL27" s="56"/>
      <c r="AM27" s="55"/>
      <c r="AN27" s="9"/>
      <c r="AO27" s="9"/>
      <c r="AP27" s="9"/>
      <c r="AQ27" s="10"/>
      <c r="AR27" s="55"/>
      <c r="AS27" s="56"/>
      <c r="AT27" s="55"/>
      <c r="AU27" s="9"/>
      <c r="AV27" s="9"/>
      <c r="AW27" s="9"/>
      <c r="AX27" s="10"/>
      <c r="AY27" s="55"/>
      <c r="AZ27" s="56"/>
      <c r="BA27" s="55"/>
      <c r="BB27" s="9"/>
      <c r="BC27" s="9"/>
      <c r="BD27" s="9"/>
      <c r="BE27" s="10"/>
      <c r="BF27" s="55"/>
      <c r="BG27" s="56"/>
      <c r="BH27" s="55"/>
      <c r="BI27" s="9"/>
      <c r="BJ27" s="9"/>
      <c r="BK27" s="9"/>
      <c r="BL27" s="10"/>
      <c r="BM27" s="55"/>
      <c r="BN27" s="56"/>
      <c r="BO27" s="55"/>
      <c r="BP27" s="9"/>
      <c r="BQ27" s="9"/>
      <c r="BR27" s="9"/>
      <c r="BS27" s="10"/>
      <c r="BT27" s="55"/>
      <c r="BU27" s="56"/>
      <c r="BV27" s="55"/>
      <c r="BW27" s="9"/>
      <c r="BX27" s="9"/>
      <c r="BY27" s="9"/>
      <c r="BZ27" s="10"/>
      <c r="CA27" s="55"/>
      <c r="CB27" s="56"/>
      <c r="CC27" s="55"/>
      <c r="CD27" s="9"/>
      <c r="CE27" s="9"/>
      <c r="CF27" s="9"/>
      <c r="CG27" s="10"/>
      <c r="CH27" s="55"/>
      <c r="CI27" s="56"/>
      <c r="CJ27" s="55"/>
      <c r="CK27" s="9"/>
      <c r="CL27" s="9"/>
      <c r="CM27" s="9"/>
      <c r="CN27" s="10"/>
      <c r="CO27" s="55"/>
      <c r="CP27" s="56"/>
      <c r="CQ27" s="55"/>
    </row>
    <row r="28" spans="1:95" ht="12.75">
      <c r="A28" s="9"/>
      <c r="B28" s="9"/>
      <c r="C28" s="9"/>
      <c r="D28" s="10"/>
      <c r="E28" s="9"/>
      <c r="F28" s="11"/>
      <c r="G28" s="9"/>
      <c r="H28" s="9"/>
      <c r="I28" s="9"/>
      <c r="J28" s="9"/>
      <c r="K28" s="9"/>
      <c r="L28" s="10"/>
      <c r="M28" s="55"/>
      <c r="N28" s="56"/>
      <c r="O28" s="55"/>
      <c r="P28" s="9"/>
      <c r="Q28" s="9"/>
      <c r="R28" s="9"/>
      <c r="S28" s="9"/>
      <c r="T28" s="10"/>
      <c r="U28" s="55"/>
      <c r="V28" s="56"/>
      <c r="W28" s="55"/>
      <c r="X28" s="9"/>
      <c r="Y28" s="9"/>
      <c r="Z28" s="9"/>
      <c r="AA28" s="9"/>
      <c r="AB28" s="10"/>
      <c r="AC28" s="55"/>
      <c r="AD28" s="56"/>
      <c r="AE28" s="55"/>
      <c r="AF28" s="9"/>
      <c r="AG28" s="9"/>
      <c r="AH28" s="9"/>
      <c r="AI28" s="9"/>
      <c r="AJ28" s="10"/>
      <c r="AK28" s="55"/>
      <c r="AL28" s="56"/>
      <c r="AM28" s="55"/>
      <c r="AN28" s="9"/>
      <c r="AO28" s="9"/>
      <c r="AP28" s="9"/>
      <c r="AQ28" s="10"/>
      <c r="AR28" s="55"/>
      <c r="AS28" s="56"/>
      <c r="AT28" s="55"/>
      <c r="AU28" s="9"/>
      <c r="AV28" s="9"/>
      <c r="AW28" s="9"/>
      <c r="AX28" s="10"/>
      <c r="AY28" s="55"/>
      <c r="AZ28" s="56"/>
      <c r="BA28" s="55"/>
      <c r="BB28" s="9"/>
      <c r="BC28" s="9"/>
      <c r="BD28" s="9"/>
      <c r="BE28" s="10"/>
      <c r="BF28" s="55"/>
      <c r="BG28" s="56"/>
      <c r="BH28" s="55"/>
      <c r="BI28" s="9"/>
      <c r="BJ28" s="9"/>
      <c r="BK28" s="9"/>
      <c r="BL28" s="10"/>
      <c r="BM28" s="55"/>
      <c r="BN28" s="56"/>
      <c r="BO28" s="55"/>
      <c r="BP28" s="9"/>
      <c r="BQ28" s="9"/>
      <c r="BR28" s="9"/>
      <c r="BS28" s="10"/>
      <c r="BT28" s="55"/>
      <c r="BU28" s="56"/>
      <c r="BV28" s="55"/>
      <c r="BW28" s="9"/>
      <c r="BX28" s="9"/>
      <c r="BY28" s="9"/>
      <c r="BZ28" s="10"/>
      <c r="CA28" s="55"/>
      <c r="CB28" s="56"/>
      <c r="CC28" s="55"/>
      <c r="CD28" s="9"/>
      <c r="CE28" s="9"/>
      <c r="CF28" s="9"/>
      <c r="CG28" s="10"/>
      <c r="CH28" s="55"/>
      <c r="CI28" s="56"/>
      <c r="CJ28" s="55"/>
      <c r="CK28" s="9"/>
      <c r="CL28" s="9"/>
      <c r="CM28" s="9"/>
      <c r="CN28" s="10"/>
      <c r="CO28" s="55"/>
      <c r="CP28" s="56"/>
      <c r="CQ28" s="55"/>
    </row>
    <row r="29" spans="1:95" ht="12.75">
      <c r="A29" s="9"/>
      <c r="B29" s="9"/>
      <c r="C29" s="9"/>
      <c r="D29" s="10"/>
      <c r="E29" s="9"/>
      <c r="F29" s="11"/>
      <c r="G29" s="9"/>
      <c r="H29" s="9"/>
      <c r="I29" s="9"/>
      <c r="J29" s="9"/>
      <c r="K29" s="9"/>
      <c r="L29" s="10"/>
      <c r="M29" s="9"/>
      <c r="N29" s="11"/>
      <c r="O29" s="9"/>
      <c r="P29" s="9"/>
      <c r="Q29" s="9"/>
      <c r="R29" s="9"/>
      <c r="S29" s="9"/>
      <c r="T29" s="10"/>
      <c r="U29" s="9"/>
      <c r="V29" s="11"/>
      <c r="W29" s="9"/>
      <c r="X29" s="9"/>
      <c r="Y29" s="9"/>
      <c r="Z29" s="9"/>
      <c r="AA29" s="9"/>
      <c r="AB29" s="10"/>
      <c r="AC29" s="9"/>
      <c r="AD29" s="11"/>
      <c r="AE29" s="9"/>
      <c r="AF29" s="9"/>
      <c r="AG29" s="9"/>
      <c r="AH29" s="9"/>
      <c r="AI29" s="9"/>
      <c r="AJ29" s="10"/>
      <c r="AK29" s="9"/>
      <c r="AL29" s="11"/>
      <c r="AM29" s="9"/>
      <c r="AN29" s="9"/>
      <c r="AO29" s="9"/>
      <c r="AP29" s="9"/>
      <c r="AQ29" s="10"/>
      <c r="AR29" s="9"/>
      <c r="AS29" s="11"/>
      <c r="AT29" s="9"/>
      <c r="AU29" s="9"/>
      <c r="AV29" s="9"/>
      <c r="AW29" s="9"/>
      <c r="AX29" s="10"/>
      <c r="AY29" s="9"/>
      <c r="AZ29" s="11"/>
      <c r="BA29" s="9"/>
      <c r="BB29" s="9"/>
      <c r="BC29" s="9"/>
      <c r="BD29" s="9"/>
      <c r="BE29" s="10"/>
      <c r="BF29" s="9"/>
      <c r="BG29" s="11"/>
      <c r="BH29" s="9"/>
      <c r="BI29" s="9"/>
      <c r="BJ29" s="9"/>
      <c r="BK29" s="9"/>
      <c r="BL29" s="10"/>
      <c r="BM29" s="9"/>
      <c r="BN29" s="11"/>
      <c r="BO29" s="9"/>
      <c r="BP29" s="9"/>
      <c r="BQ29" s="9"/>
      <c r="BR29" s="9"/>
      <c r="BS29" s="10"/>
      <c r="BT29" s="9"/>
      <c r="BU29" s="11"/>
      <c r="BV29" s="9"/>
      <c r="BW29" s="9"/>
      <c r="BX29" s="9"/>
      <c r="BY29" s="9"/>
      <c r="BZ29" s="10"/>
      <c r="CA29" s="9"/>
      <c r="CB29" s="11"/>
      <c r="CC29" s="9"/>
      <c r="CD29" s="9"/>
      <c r="CE29" s="9"/>
      <c r="CF29" s="9"/>
      <c r="CG29" s="10"/>
      <c r="CH29" s="9"/>
      <c r="CI29" s="11"/>
      <c r="CJ29" s="9"/>
      <c r="CK29" s="9"/>
      <c r="CL29" s="9"/>
      <c r="CM29" s="9"/>
      <c r="CN29" s="10"/>
      <c r="CO29" s="9"/>
      <c r="CP29" s="11"/>
      <c r="CQ29" s="9"/>
    </row>
    <row r="30" spans="1:95" ht="12.75">
      <c r="A30" s="9"/>
      <c r="B30" s="9"/>
      <c r="C30" s="9"/>
      <c r="D30" s="10"/>
      <c r="E30" s="9"/>
      <c r="F30" s="11"/>
      <c r="G30" s="9"/>
      <c r="H30" s="9"/>
      <c r="I30" s="9"/>
      <c r="J30" s="9"/>
      <c r="K30" s="9"/>
      <c r="L30" s="10"/>
      <c r="M30" s="9"/>
      <c r="N30" s="11"/>
      <c r="O30" s="9"/>
      <c r="P30" s="9"/>
      <c r="Q30" s="9"/>
      <c r="R30" s="9"/>
      <c r="S30" s="9"/>
      <c r="T30" s="10"/>
      <c r="U30" s="9"/>
      <c r="V30" s="11"/>
      <c r="W30" s="9"/>
      <c r="X30" s="9"/>
      <c r="Y30" s="9"/>
      <c r="Z30" s="9"/>
      <c r="AA30" s="9"/>
      <c r="AB30" s="10"/>
      <c r="AC30" s="9"/>
      <c r="AD30" s="11"/>
      <c r="AE30" s="9"/>
      <c r="AF30" s="9"/>
      <c r="AG30" s="9"/>
      <c r="AH30" s="9"/>
      <c r="AI30" s="9"/>
      <c r="AJ30" s="10"/>
      <c r="AK30" s="9"/>
      <c r="AL30" s="11"/>
      <c r="AM30" s="9"/>
      <c r="AN30" s="9"/>
      <c r="AO30" s="9"/>
      <c r="AP30" s="9"/>
      <c r="AQ30" s="10"/>
      <c r="AR30" s="9"/>
      <c r="AS30" s="11"/>
      <c r="AT30" s="9"/>
      <c r="AU30" s="9"/>
      <c r="AV30" s="9"/>
      <c r="AW30" s="9"/>
      <c r="AX30" s="10"/>
      <c r="AY30" s="9"/>
      <c r="AZ30" s="11"/>
      <c r="BA30" s="9"/>
      <c r="BB30" s="9"/>
      <c r="BC30" s="9"/>
      <c r="BD30" s="9"/>
      <c r="BE30" s="10"/>
      <c r="BF30" s="9"/>
      <c r="BG30" s="11"/>
      <c r="BH30" s="9"/>
      <c r="BI30" s="9"/>
      <c r="BJ30" s="9"/>
      <c r="BK30" s="9"/>
      <c r="BL30" s="10"/>
      <c r="BM30" s="9"/>
      <c r="BN30" s="11"/>
      <c r="BO30" s="9"/>
      <c r="BP30" s="9"/>
      <c r="BQ30" s="9"/>
      <c r="BR30" s="9"/>
      <c r="BS30" s="10"/>
      <c r="BT30" s="9"/>
      <c r="BU30" s="11"/>
      <c r="BV30" s="9"/>
      <c r="BW30" s="9"/>
      <c r="BX30" s="9"/>
      <c r="BY30" s="9"/>
      <c r="BZ30" s="10"/>
      <c r="CA30" s="9"/>
      <c r="CB30" s="11"/>
      <c r="CC30" s="9"/>
      <c r="CD30" s="9"/>
      <c r="CE30" s="9"/>
      <c r="CF30" s="9"/>
      <c r="CG30" s="10"/>
      <c r="CH30" s="9"/>
      <c r="CI30" s="11"/>
      <c r="CJ30" s="9"/>
      <c r="CK30" s="9"/>
      <c r="CL30" s="9"/>
      <c r="CM30" s="9"/>
      <c r="CN30" s="10"/>
      <c r="CO30" s="9"/>
      <c r="CP30" s="11"/>
      <c r="CQ30" s="9"/>
    </row>
    <row r="31" spans="1:95" ht="12.75">
      <c r="A31" s="20" t="s">
        <v>107</v>
      </c>
      <c r="B31" s="9"/>
      <c r="C31" s="9"/>
      <c r="D31" s="10"/>
      <c r="E31" s="9"/>
      <c r="F31" s="11"/>
      <c r="G31" s="9"/>
      <c r="H31" s="9"/>
      <c r="I31" s="20" t="s">
        <v>107</v>
      </c>
      <c r="J31" s="9"/>
      <c r="K31" s="9"/>
      <c r="L31" s="10"/>
      <c r="M31" s="9"/>
      <c r="N31" s="11"/>
      <c r="O31" s="9"/>
      <c r="P31" s="9"/>
      <c r="Q31" s="20" t="s">
        <v>107</v>
      </c>
      <c r="R31" s="9"/>
      <c r="S31" s="9"/>
      <c r="T31" s="10"/>
      <c r="U31" s="9"/>
      <c r="V31" s="11"/>
      <c r="W31" s="9"/>
      <c r="X31" s="9"/>
      <c r="Y31" s="20" t="s">
        <v>107</v>
      </c>
      <c r="Z31" s="9"/>
      <c r="AA31" s="9"/>
      <c r="AB31" s="10"/>
      <c r="AC31" s="9"/>
      <c r="AD31" s="11"/>
      <c r="AE31" s="9"/>
      <c r="AF31" s="9"/>
      <c r="AG31" s="20" t="s">
        <v>107</v>
      </c>
      <c r="AH31" s="9"/>
      <c r="AI31" s="9"/>
      <c r="AJ31" s="10"/>
      <c r="AK31" s="9"/>
      <c r="AL31" s="11"/>
      <c r="AM31" s="9"/>
      <c r="AN31" s="20" t="s">
        <v>107</v>
      </c>
      <c r="AO31" s="9"/>
      <c r="AP31" s="9"/>
      <c r="AQ31" s="10"/>
      <c r="AR31" s="9"/>
      <c r="AS31" s="11"/>
      <c r="AT31" s="9"/>
      <c r="AU31" s="20" t="s">
        <v>107</v>
      </c>
      <c r="AV31" s="9"/>
      <c r="AW31" s="9"/>
      <c r="AX31" s="10"/>
      <c r="AY31" s="9"/>
      <c r="AZ31" s="11"/>
      <c r="BA31" s="9"/>
      <c r="BB31" s="20" t="s">
        <v>107</v>
      </c>
      <c r="BC31" s="9"/>
      <c r="BD31" s="9"/>
      <c r="BE31" s="10"/>
      <c r="BF31" s="9"/>
      <c r="BG31" s="11"/>
      <c r="BH31" s="9"/>
      <c r="BI31" s="20" t="s">
        <v>107</v>
      </c>
      <c r="BJ31" s="9"/>
      <c r="BK31" s="9"/>
      <c r="BL31" s="10"/>
      <c r="BM31" s="9"/>
      <c r="BN31" s="11"/>
      <c r="BO31" s="9"/>
      <c r="BP31" s="20" t="s">
        <v>107</v>
      </c>
      <c r="BQ31" s="9"/>
      <c r="BR31" s="9"/>
      <c r="BS31" s="10"/>
      <c r="BT31" s="9"/>
      <c r="BU31" s="11"/>
      <c r="BV31" s="9"/>
      <c r="BW31" s="20" t="s">
        <v>107</v>
      </c>
      <c r="BX31" s="9"/>
      <c r="BY31" s="9"/>
      <c r="BZ31" s="10"/>
      <c r="CA31" s="9"/>
      <c r="CB31" s="11"/>
      <c r="CC31" s="9"/>
      <c r="CD31" s="20" t="s">
        <v>107</v>
      </c>
      <c r="CE31" s="9"/>
      <c r="CF31" s="9"/>
      <c r="CG31" s="10"/>
      <c r="CH31" s="9"/>
      <c r="CI31" s="11"/>
      <c r="CJ31" s="9"/>
      <c r="CK31" s="20" t="s">
        <v>107</v>
      </c>
      <c r="CL31" s="9"/>
      <c r="CM31" s="9"/>
      <c r="CN31" s="10"/>
      <c r="CO31" s="9"/>
      <c r="CP31" s="11"/>
      <c r="CQ31" s="9"/>
    </row>
    <row r="32" spans="1:95" ht="12.75">
      <c r="A32" s="20"/>
      <c r="B32" s="9"/>
      <c r="C32" s="9"/>
      <c r="D32" s="10"/>
      <c r="E32" s="9"/>
      <c r="F32" s="11"/>
      <c r="G32" s="9"/>
      <c r="H32" s="9"/>
      <c r="I32" s="20"/>
      <c r="J32" s="9"/>
      <c r="K32" s="9"/>
      <c r="L32" s="10"/>
      <c r="M32" s="9"/>
      <c r="N32" s="11"/>
      <c r="O32" s="9"/>
      <c r="P32" s="9"/>
      <c r="Q32" s="20"/>
      <c r="R32" s="9"/>
      <c r="S32" s="9"/>
      <c r="T32" s="10"/>
      <c r="U32" s="9"/>
      <c r="V32" s="11"/>
      <c r="W32" s="9"/>
      <c r="X32" s="9"/>
      <c r="Y32" s="20"/>
      <c r="Z32" s="9"/>
      <c r="AA32" s="9"/>
      <c r="AB32" s="10"/>
      <c r="AC32" s="9"/>
      <c r="AD32" s="11"/>
      <c r="AE32" s="9"/>
      <c r="AF32" s="9"/>
      <c r="AG32" s="20"/>
      <c r="AH32" s="9"/>
      <c r="AI32" s="9"/>
      <c r="AJ32" s="10"/>
      <c r="AK32" s="9"/>
      <c r="AL32" s="11"/>
      <c r="AM32" s="9"/>
      <c r="AN32" s="20"/>
      <c r="AO32" s="9"/>
      <c r="AP32" s="9"/>
      <c r="AQ32" s="10"/>
      <c r="AR32" s="9"/>
      <c r="AS32" s="11"/>
      <c r="AT32" s="9"/>
      <c r="AU32" s="20"/>
      <c r="AV32" s="9"/>
      <c r="AW32" s="9"/>
      <c r="AX32" s="10"/>
      <c r="AY32" s="9"/>
      <c r="AZ32" s="11"/>
      <c r="BA32" s="9"/>
      <c r="BB32" s="20"/>
      <c r="BC32" s="9"/>
      <c r="BD32" s="9"/>
      <c r="BE32" s="10"/>
      <c r="BF32" s="9"/>
      <c r="BG32" s="11"/>
      <c r="BH32" s="9"/>
      <c r="BI32" s="20"/>
      <c r="BJ32" s="9"/>
      <c r="BK32" s="9"/>
      <c r="BL32" s="10"/>
      <c r="BM32" s="9"/>
      <c r="BN32" s="11"/>
      <c r="BO32" s="9"/>
      <c r="BP32" s="20"/>
      <c r="BQ32" s="9"/>
      <c r="BR32" s="9"/>
      <c r="BS32" s="10"/>
      <c r="BT32" s="9"/>
      <c r="BU32" s="11"/>
      <c r="BV32" s="9"/>
      <c r="BW32" s="20"/>
      <c r="BX32" s="9"/>
      <c r="BY32" s="9"/>
      <c r="BZ32" s="10"/>
      <c r="CA32" s="9"/>
      <c r="CB32" s="11"/>
      <c r="CC32" s="9"/>
      <c r="CD32" s="20"/>
      <c r="CE32" s="9"/>
      <c r="CF32" s="9"/>
      <c r="CG32" s="10"/>
      <c r="CH32" s="9"/>
      <c r="CI32" s="11"/>
      <c r="CJ32" s="9"/>
      <c r="CK32" s="20"/>
      <c r="CL32" s="9"/>
      <c r="CM32" s="9"/>
      <c r="CN32" s="10"/>
      <c r="CO32" s="9"/>
      <c r="CP32" s="11"/>
      <c r="CQ32" s="9"/>
    </row>
    <row r="33" spans="1:95" s="30" customFormat="1" ht="12.75">
      <c r="A33" s="26"/>
      <c r="B33" s="27"/>
      <c r="C33" s="27"/>
      <c r="D33" s="28" t="s">
        <v>143</v>
      </c>
      <c r="E33" s="27" t="s">
        <v>96</v>
      </c>
      <c r="F33" s="29" t="s">
        <v>97</v>
      </c>
      <c r="G33" s="27" t="s">
        <v>96</v>
      </c>
      <c r="H33" s="27"/>
      <c r="I33" s="28" t="s">
        <v>143</v>
      </c>
      <c r="J33" s="27" t="s">
        <v>96</v>
      </c>
      <c r="K33" s="29" t="s">
        <v>97</v>
      </c>
      <c r="L33" s="27" t="s">
        <v>96</v>
      </c>
      <c r="M33" s="65"/>
      <c r="N33" s="66"/>
      <c r="O33" s="65"/>
      <c r="P33" s="27"/>
      <c r="Q33" s="28" t="s">
        <v>143</v>
      </c>
      <c r="R33" s="27" t="s">
        <v>96</v>
      </c>
      <c r="S33" s="29" t="s">
        <v>97</v>
      </c>
      <c r="T33" s="27" t="s">
        <v>96</v>
      </c>
      <c r="U33" s="65"/>
      <c r="V33" s="66"/>
      <c r="W33" s="65"/>
      <c r="X33" s="27"/>
      <c r="Y33" s="28" t="s">
        <v>143</v>
      </c>
      <c r="Z33" s="27" t="s">
        <v>96</v>
      </c>
      <c r="AA33" s="29" t="s">
        <v>97</v>
      </c>
      <c r="AB33" s="27" t="s">
        <v>96</v>
      </c>
      <c r="AC33" s="65"/>
      <c r="AD33" s="66"/>
      <c r="AE33" s="65"/>
      <c r="AF33" s="27"/>
      <c r="AG33" s="28" t="s">
        <v>143</v>
      </c>
      <c r="AH33" s="27" t="s">
        <v>96</v>
      </c>
      <c r="AI33" s="29" t="s">
        <v>97</v>
      </c>
      <c r="AJ33" s="27" t="s">
        <v>96</v>
      </c>
      <c r="AK33" s="65"/>
      <c r="AL33" s="66"/>
      <c r="AM33" s="65"/>
      <c r="AN33" s="94" t="s">
        <v>143</v>
      </c>
      <c r="AO33" s="45" t="s">
        <v>96</v>
      </c>
      <c r="AP33" s="93" t="s">
        <v>97</v>
      </c>
      <c r="AQ33" s="45" t="s">
        <v>96</v>
      </c>
      <c r="AR33" s="65"/>
      <c r="AS33" s="66"/>
      <c r="AT33" s="65"/>
      <c r="AU33" s="94" t="s">
        <v>143</v>
      </c>
      <c r="AV33" s="45" t="s">
        <v>96</v>
      </c>
      <c r="AW33" s="93" t="s">
        <v>97</v>
      </c>
      <c r="AX33" s="27" t="s">
        <v>96</v>
      </c>
      <c r="AY33" s="65"/>
      <c r="AZ33" s="66"/>
      <c r="BA33" s="65"/>
      <c r="BB33" s="94" t="s">
        <v>143</v>
      </c>
      <c r="BC33" s="45" t="s">
        <v>96</v>
      </c>
      <c r="BD33" s="93" t="s">
        <v>97</v>
      </c>
      <c r="BE33" s="27" t="s">
        <v>96</v>
      </c>
      <c r="BF33" s="65"/>
      <c r="BG33" s="66"/>
      <c r="BH33" s="65"/>
      <c r="BI33" s="94" t="s">
        <v>143</v>
      </c>
      <c r="BJ33" s="45" t="s">
        <v>96</v>
      </c>
      <c r="BK33" s="93" t="s">
        <v>97</v>
      </c>
      <c r="BL33" s="27" t="s">
        <v>96</v>
      </c>
      <c r="BM33" s="65"/>
      <c r="BN33" s="66"/>
      <c r="BO33" s="65"/>
      <c r="BP33" s="94" t="s">
        <v>143</v>
      </c>
      <c r="BQ33" s="45" t="s">
        <v>96</v>
      </c>
      <c r="BR33" s="93" t="s">
        <v>97</v>
      </c>
      <c r="BS33" s="27" t="s">
        <v>96</v>
      </c>
      <c r="BT33" s="65"/>
      <c r="BU33" s="66"/>
      <c r="BV33" s="65"/>
      <c r="BW33" s="94" t="s">
        <v>143</v>
      </c>
      <c r="BX33" s="45" t="s">
        <v>96</v>
      </c>
      <c r="BY33" s="93" t="s">
        <v>97</v>
      </c>
      <c r="BZ33" s="27" t="s">
        <v>96</v>
      </c>
      <c r="CA33" s="65"/>
      <c r="CB33" s="66"/>
      <c r="CC33" s="65"/>
      <c r="CD33" s="94" t="s">
        <v>143</v>
      </c>
      <c r="CE33" s="45" t="s">
        <v>96</v>
      </c>
      <c r="CF33" s="93" t="s">
        <v>97</v>
      </c>
      <c r="CG33" s="27" t="s">
        <v>96</v>
      </c>
      <c r="CH33" s="65"/>
      <c r="CI33" s="66"/>
      <c r="CJ33" s="65"/>
      <c r="CK33" s="94" t="s">
        <v>143</v>
      </c>
      <c r="CL33" s="45" t="s">
        <v>96</v>
      </c>
      <c r="CM33" s="93" t="s">
        <v>97</v>
      </c>
      <c r="CN33" s="27" t="s">
        <v>96</v>
      </c>
      <c r="CO33" s="65"/>
      <c r="CP33" s="66"/>
      <c r="CQ33" s="65"/>
    </row>
    <row r="34" spans="1:95" ht="12.75">
      <c r="A34" s="13"/>
      <c r="B34" s="9"/>
      <c r="C34" s="9"/>
      <c r="D34" s="10"/>
      <c r="E34" s="9"/>
      <c r="F34" s="11"/>
      <c r="G34" s="9"/>
      <c r="H34" s="9"/>
      <c r="I34" s="10"/>
      <c r="J34" s="9"/>
      <c r="K34" s="11"/>
      <c r="L34" s="9"/>
      <c r="M34" s="55"/>
      <c r="N34" s="56"/>
      <c r="O34" s="55"/>
      <c r="P34" s="9"/>
      <c r="Q34" s="10"/>
      <c r="R34" s="9"/>
      <c r="S34" s="11"/>
      <c r="T34" s="9"/>
      <c r="U34" s="55"/>
      <c r="V34" s="56"/>
      <c r="W34" s="55"/>
      <c r="X34" s="9"/>
      <c r="Y34" s="10"/>
      <c r="Z34" s="9"/>
      <c r="AA34" s="11"/>
      <c r="AB34" s="9"/>
      <c r="AC34" s="55"/>
      <c r="AD34" s="56"/>
      <c r="AE34" s="55"/>
      <c r="AF34" s="9"/>
      <c r="AG34" s="10"/>
      <c r="AH34" s="9"/>
      <c r="AI34" s="11"/>
      <c r="AJ34" s="9"/>
      <c r="AK34" s="55"/>
      <c r="AL34" s="56"/>
      <c r="AM34" s="55"/>
      <c r="AN34" s="10"/>
      <c r="AO34" s="9"/>
      <c r="AP34" s="11"/>
      <c r="AQ34" s="9"/>
      <c r="AR34" s="55"/>
      <c r="AS34" s="56"/>
      <c r="AT34" s="55"/>
      <c r="AU34" s="10"/>
      <c r="AV34" s="9"/>
      <c r="AW34" s="11"/>
      <c r="AX34" s="9"/>
      <c r="AY34" s="55"/>
      <c r="AZ34" s="56"/>
      <c r="BA34" s="55"/>
      <c r="BB34" s="10"/>
      <c r="BC34" s="9"/>
      <c r="BD34" s="11"/>
      <c r="BE34" s="9"/>
      <c r="BF34" s="55"/>
      <c r="BG34" s="56"/>
      <c r="BH34" s="55"/>
      <c r="BI34" s="10"/>
      <c r="BJ34" s="9"/>
      <c r="BK34" s="11"/>
      <c r="BL34" s="9"/>
      <c r="BM34" s="55"/>
      <c r="BN34" s="56"/>
      <c r="BO34" s="55"/>
      <c r="BP34" s="10"/>
      <c r="BQ34" s="9"/>
      <c r="BR34" s="11"/>
      <c r="BS34" s="9"/>
      <c r="BT34" s="55"/>
      <c r="BU34" s="56"/>
      <c r="BV34" s="55"/>
      <c r="BW34" s="10"/>
      <c r="BX34" s="9"/>
      <c r="BY34" s="11"/>
      <c r="BZ34" s="9"/>
      <c r="CA34" s="55"/>
      <c r="CB34" s="56"/>
      <c r="CC34" s="55"/>
      <c r="CD34" s="10"/>
      <c r="CE34" s="9"/>
      <c r="CF34" s="11"/>
      <c r="CG34" s="9"/>
      <c r="CH34" s="55"/>
      <c r="CI34" s="56"/>
      <c r="CJ34" s="55"/>
      <c r="CK34" s="10"/>
      <c r="CL34" s="9"/>
      <c r="CM34" s="11"/>
      <c r="CN34" s="9"/>
      <c r="CO34" s="55"/>
      <c r="CP34" s="56"/>
      <c r="CQ34" s="55"/>
    </row>
    <row r="35" spans="1:95" ht="12.75">
      <c r="A35" s="9" t="s">
        <v>29</v>
      </c>
      <c r="B35" s="9"/>
      <c r="C35" s="9"/>
      <c r="D35" s="10">
        <v>2636345.19</v>
      </c>
      <c r="E35" s="15">
        <v>0.0681429001481289</v>
      </c>
      <c r="F35" s="11">
        <v>480</v>
      </c>
      <c r="G35" s="15">
        <v>0.05725190839694656</v>
      </c>
      <c r="H35" s="15"/>
      <c r="I35" s="10">
        <v>2310515.81</v>
      </c>
      <c r="J35" s="15">
        <v>0.07279423898772082</v>
      </c>
      <c r="K35" s="11">
        <v>458</v>
      </c>
      <c r="L35" s="15">
        <v>0.060073452256033576</v>
      </c>
      <c r="M35" s="57"/>
      <c r="N35" s="56"/>
      <c r="O35" s="57"/>
      <c r="P35" s="15"/>
      <c r="Q35" s="10">
        <v>2717639.56</v>
      </c>
      <c r="R35" s="15">
        <v>0.07855751797488138</v>
      </c>
      <c r="S35" s="11">
        <v>520</v>
      </c>
      <c r="T35" s="15">
        <v>0.06522011789790542</v>
      </c>
      <c r="U35" s="57"/>
      <c r="V35" s="56"/>
      <c r="W35" s="57"/>
      <c r="X35" s="15"/>
      <c r="Y35" s="10">
        <v>2794031.89</v>
      </c>
      <c r="Z35" s="15">
        <v>0.08754725506560773</v>
      </c>
      <c r="AA35" s="11">
        <v>541</v>
      </c>
      <c r="AB35" s="15">
        <v>0.07078372366871648</v>
      </c>
      <c r="AC35" s="57"/>
      <c r="AD35" s="56"/>
      <c r="AE35" s="57"/>
      <c r="AF35" s="15"/>
      <c r="AG35" s="10">
        <v>4903410.41999999</v>
      </c>
      <c r="AH35" s="15">
        <v>0.09097515061510487</v>
      </c>
      <c r="AI35" s="11">
        <v>875</v>
      </c>
      <c r="AJ35" s="15">
        <v>0.08174514200298953</v>
      </c>
      <c r="AK35" s="57"/>
      <c r="AL35" s="56"/>
      <c r="AM35" s="57"/>
      <c r="AN35" s="10">
        <v>6606425.460000001</v>
      </c>
      <c r="AO35" s="15">
        <v>0.107646998003183</v>
      </c>
      <c r="AP35" s="11">
        <v>1246</v>
      </c>
      <c r="AQ35" s="15">
        <v>0.11552011867235305</v>
      </c>
      <c r="AR35" s="57"/>
      <c r="AS35" s="56"/>
      <c r="AT35" s="57"/>
      <c r="AU35" s="10">
        <v>5960338.700000001</v>
      </c>
      <c r="AV35" s="15">
        <v>0.1089797762481432</v>
      </c>
      <c r="AW35" s="11">
        <v>1198</v>
      </c>
      <c r="AX35" s="15">
        <v>0.1199799699549324</v>
      </c>
      <c r="AY35" s="57"/>
      <c r="AZ35" s="56"/>
      <c r="BA35" s="57"/>
      <c r="BB35" s="10">
        <v>5575880.949999996</v>
      </c>
      <c r="BC35" s="15">
        <v>0.10685523527230029</v>
      </c>
      <c r="BD35" s="11">
        <v>1213</v>
      </c>
      <c r="BE35" s="15">
        <v>0.12312220868859115</v>
      </c>
      <c r="BF35" s="57"/>
      <c r="BG35" s="56"/>
      <c r="BH35" s="57"/>
      <c r="BI35" s="10">
        <v>4868367.409999995</v>
      </c>
      <c r="BJ35" s="15">
        <v>0.10799893202175022</v>
      </c>
      <c r="BK35" s="11">
        <v>1122</v>
      </c>
      <c r="BL35" s="15">
        <v>0.12443162914494843</v>
      </c>
      <c r="BM35" s="57"/>
      <c r="BN35" s="56"/>
      <c r="BO35" s="57"/>
      <c r="BP35" s="10">
        <v>4466247.47</v>
      </c>
      <c r="BQ35" s="15">
        <v>0.1078538915291709</v>
      </c>
      <c r="BR35" s="11">
        <v>1091</v>
      </c>
      <c r="BS35" s="15">
        <v>0.12836804329921167</v>
      </c>
      <c r="BT35" s="57"/>
      <c r="BU35" s="56"/>
      <c r="BV35" s="57"/>
      <c r="BW35" s="10">
        <v>3734848.98</v>
      </c>
      <c r="BX35" s="15">
        <v>0.10242950255439462</v>
      </c>
      <c r="BY35" s="11">
        <v>987</v>
      </c>
      <c r="BZ35" s="15">
        <v>0.1277339200207066</v>
      </c>
      <c r="CA35" s="57"/>
      <c r="CB35" s="56"/>
      <c r="CC35" s="57"/>
      <c r="CD35" s="10">
        <v>3217201.48</v>
      </c>
      <c r="CE35" s="15">
        <v>0.10174521727474631</v>
      </c>
      <c r="CF35" s="11">
        <v>882</v>
      </c>
      <c r="CG35" s="15">
        <v>0.1282163105102486</v>
      </c>
      <c r="CH35" s="57"/>
      <c r="CI35" s="56"/>
      <c r="CJ35" s="57"/>
      <c r="CK35" s="10">
        <v>3717745.56</v>
      </c>
      <c r="CL35" s="15">
        <v>0.08509023069129917</v>
      </c>
      <c r="CM35" s="11">
        <v>1172</v>
      </c>
      <c r="CN35" s="15">
        <v>0.11573022612817221</v>
      </c>
      <c r="CO35" s="57"/>
      <c r="CP35" s="56"/>
      <c r="CQ35" s="57"/>
    </row>
    <row r="36" spans="1:95" ht="12.75">
      <c r="A36" s="9" t="s">
        <v>30</v>
      </c>
      <c r="B36" s="9"/>
      <c r="C36" s="9"/>
      <c r="D36" s="10">
        <v>5157848.91</v>
      </c>
      <c r="E36" s="15">
        <v>0.13331743680093192</v>
      </c>
      <c r="F36" s="11">
        <v>1024</v>
      </c>
      <c r="G36" s="15">
        <v>0.12213740458015267</v>
      </c>
      <c r="H36" s="15"/>
      <c r="I36" s="10">
        <v>4231205.06</v>
      </c>
      <c r="J36" s="15">
        <v>0.13330674951914465</v>
      </c>
      <c r="K36" s="11">
        <v>933</v>
      </c>
      <c r="L36" s="15">
        <v>0.12237670514165792</v>
      </c>
      <c r="M36" s="57"/>
      <c r="N36" s="56"/>
      <c r="O36" s="57"/>
      <c r="P36" s="15"/>
      <c r="Q36" s="10">
        <v>4695613.76</v>
      </c>
      <c r="R36" s="15">
        <v>0.1357338801597001</v>
      </c>
      <c r="S36" s="11">
        <v>985</v>
      </c>
      <c r="T36" s="15">
        <v>0.12354195409507086</v>
      </c>
      <c r="U36" s="57"/>
      <c r="V36" s="56"/>
      <c r="W36" s="57"/>
      <c r="X36" s="15"/>
      <c r="Y36" s="10">
        <v>4245627.32</v>
      </c>
      <c r="Z36" s="15">
        <v>0.13303105781571925</v>
      </c>
      <c r="AA36" s="11">
        <v>897</v>
      </c>
      <c r="AB36" s="15">
        <v>0.11736229229360198</v>
      </c>
      <c r="AC36" s="57"/>
      <c r="AD36" s="56"/>
      <c r="AE36" s="57"/>
      <c r="AF36" s="15"/>
      <c r="AG36" s="10">
        <v>6421167.810000009</v>
      </c>
      <c r="AH36" s="15">
        <v>0.11913477734943818</v>
      </c>
      <c r="AI36" s="11">
        <v>1173</v>
      </c>
      <c r="AJ36" s="15">
        <v>0.10958520179372197</v>
      </c>
      <c r="AK36" s="57"/>
      <c r="AL36" s="56"/>
      <c r="AM36" s="57"/>
      <c r="AN36" s="10">
        <v>6587355.38000001</v>
      </c>
      <c r="AO36" s="15">
        <v>0.10733626463063398</v>
      </c>
      <c r="AP36" s="11">
        <v>1106</v>
      </c>
      <c r="AQ36" s="15">
        <v>0.10254033005748192</v>
      </c>
      <c r="AR36" s="57"/>
      <c r="AS36" s="56"/>
      <c r="AT36" s="57"/>
      <c r="AU36" s="10">
        <v>5843213.819999989</v>
      </c>
      <c r="AV36" s="15">
        <v>0.10683824640261749</v>
      </c>
      <c r="AW36" s="11">
        <v>1005</v>
      </c>
      <c r="AX36" s="15">
        <v>0.10065097646469705</v>
      </c>
      <c r="AY36" s="57"/>
      <c r="AZ36" s="56"/>
      <c r="BA36" s="57"/>
      <c r="BB36" s="10">
        <v>5284788.730000005</v>
      </c>
      <c r="BC36" s="15">
        <v>0.10127679342015936</v>
      </c>
      <c r="BD36" s="11">
        <v>927</v>
      </c>
      <c r="BE36" s="15">
        <v>0.0940925700365408</v>
      </c>
      <c r="BF36" s="57"/>
      <c r="BG36" s="56"/>
      <c r="BH36" s="57"/>
      <c r="BI36" s="10">
        <v>4413753.4</v>
      </c>
      <c r="BJ36" s="15">
        <v>0.09791386172461654</v>
      </c>
      <c r="BK36" s="11">
        <v>819</v>
      </c>
      <c r="BL36" s="15">
        <v>0.09082843517799712</v>
      </c>
      <c r="BM36" s="57"/>
      <c r="BN36" s="56"/>
      <c r="BO36" s="57"/>
      <c r="BP36" s="10">
        <v>4362636.12</v>
      </c>
      <c r="BQ36" s="15">
        <v>0.1053518162681933</v>
      </c>
      <c r="BR36" s="11">
        <v>783</v>
      </c>
      <c r="BS36" s="15">
        <v>0.0921284857042005</v>
      </c>
      <c r="BT36" s="57"/>
      <c r="BU36" s="56"/>
      <c r="BV36" s="57"/>
      <c r="BW36" s="10">
        <v>3901893.49</v>
      </c>
      <c r="BX36" s="15">
        <v>0.1070107550107503</v>
      </c>
      <c r="BY36" s="11">
        <v>711</v>
      </c>
      <c r="BZ36" s="15">
        <v>0.09201501229455157</v>
      </c>
      <c r="CA36" s="57"/>
      <c r="CB36" s="56"/>
      <c r="CC36" s="57"/>
      <c r="CD36" s="10">
        <v>3440867.59</v>
      </c>
      <c r="CE36" s="15">
        <v>0.10881874285292917</v>
      </c>
      <c r="CF36" s="11">
        <v>623</v>
      </c>
      <c r="CG36" s="15">
        <v>0.0905654891699375</v>
      </c>
      <c r="CH36" s="57"/>
      <c r="CI36" s="56"/>
      <c r="CJ36" s="57"/>
      <c r="CK36" s="10">
        <v>5539208.349999989</v>
      </c>
      <c r="CL36" s="15">
        <v>0.1267791215783659</v>
      </c>
      <c r="CM36" s="11">
        <v>1030</v>
      </c>
      <c r="CN36" s="15">
        <v>0.10170830453243804</v>
      </c>
      <c r="CO36" s="57"/>
      <c r="CP36" s="56"/>
      <c r="CQ36" s="57"/>
    </row>
    <row r="37" spans="1:95" ht="12.75">
      <c r="A37" s="9" t="s">
        <v>31</v>
      </c>
      <c r="B37" s="9"/>
      <c r="C37" s="9"/>
      <c r="D37" s="10">
        <v>3429926.14</v>
      </c>
      <c r="E37" s="15">
        <v>0.08865497407548416</v>
      </c>
      <c r="F37" s="11">
        <v>805</v>
      </c>
      <c r="G37" s="15">
        <v>0.09601622137404581</v>
      </c>
      <c r="H37" s="15"/>
      <c r="I37" s="10">
        <v>2734966.54</v>
      </c>
      <c r="J37" s="15">
        <v>0.08616682347487589</v>
      </c>
      <c r="K37" s="11">
        <v>713</v>
      </c>
      <c r="L37" s="15">
        <v>0.09352046169989507</v>
      </c>
      <c r="M37" s="57"/>
      <c r="N37" s="56"/>
      <c r="O37" s="57"/>
      <c r="P37" s="15"/>
      <c r="Q37" s="10">
        <v>3423877.65</v>
      </c>
      <c r="R37" s="15">
        <v>0.09897240752326603</v>
      </c>
      <c r="S37" s="11">
        <v>765</v>
      </c>
      <c r="T37" s="15">
        <v>0.09594882729211088</v>
      </c>
      <c r="U37" s="57"/>
      <c r="V37" s="56"/>
      <c r="W37" s="57"/>
      <c r="X37" s="15"/>
      <c r="Y37" s="10">
        <v>3356903.06</v>
      </c>
      <c r="Z37" s="15">
        <v>0.10518407090347816</v>
      </c>
      <c r="AA37" s="11">
        <v>737</v>
      </c>
      <c r="AB37" s="15">
        <v>0.09642810414758603</v>
      </c>
      <c r="AC37" s="57"/>
      <c r="AD37" s="56"/>
      <c r="AE37" s="57"/>
      <c r="AF37" s="15"/>
      <c r="AG37" s="10">
        <v>5719571.849999995</v>
      </c>
      <c r="AH37" s="15">
        <v>0.106117755998011</v>
      </c>
      <c r="AI37" s="11">
        <v>1057</v>
      </c>
      <c r="AJ37" s="15">
        <v>0.09874813153961136</v>
      </c>
      <c r="AK37" s="57"/>
      <c r="AL37" s="56"/>
      <c r="AM37" s="57"/>
      <c r="AN37" s="10">
        <v>6611329.790000008</v>
      </c>
      <c r="AO37" s="15">
        <v>0.10772691056783908</v>
      </c>
      <c r="AP37" s="11">
        <v>1216</v>
      </c>
      <c r="AQ37" s="15">
        <v>0.11273873539773781</v>
      </c>
      <c r="AR37" s="57"/>
      <c r="AS37" s="56"/>
      <c r="AT37" s="57"/>
      <c r="AU37" s="10">
        <v>5849327.600000006</v>
      </c>
      <c r="AV37" s="15">
        <v>0.10695003172388325</v>
      </c>
      <c r="AW37" s="11">
        <v>1127</v>
      </c>
      <c r="AX37" s="15">
        <v>0.1128693039559339</v>
      </c>
      <c r="AY37" s="57"/>
      <c r="AZ37" s="56"/>
      <c r="BA37" s="57"/>
      <c r="BB37" s="10">
        <v>5868681.15000001</v>
      </c>
      <c r="BC37" s="15">
        <v>0.11246640856300298</v>
      </c>
      <c r="BD37" s="11">
        <v>1195</v>
      </c>
      <c r="BE37" s="15">
        <v>0.12129516849370686</v>
      </c>
      <c r="BF37" s="57"/>
      <c r="BG37" s="56"/>
      <c r="BH37" s="57"/>
      <c r="BI37" s="10">
        <v>5021003.6699999925</v>
      </c>
      <c r="BJ37" s="15">
        <v>0.11138498563675336</v>
      </c>
      <c r="BK37" s="11">
        <v>1096</v>
      </c>
      <c r="BL37" s="15">
        <v>0.12154818675834535</v>
      </c>
      <c r="BM37" s="57"/>
      <c r="BN37" s="56"/>
      <c r="BO37" s="57"/>
      <c r="BP37" s="10">
        <v>4544322.180000005</v>
      </c>
      <c r="BQ37" s="15">
        <v>0.1097392911538164</v>
      </c>
      <c r="BR37" s="11">
        <v>1034</v>
      </c>
      <c r="BS37" s="15">
        <v>0.12166137192610896</v>
      </c>
      <c r="BT37" s="57"/>
      <c r="BU37" s="56"/>
      <c r="BV37" s="57"/>
      <c r="BW37" s="10">
        <v>3829721.71</v>
      </c>
      <c r="BX37" s="15">
        <v>0.10503141941687442</v>
      </c>
      <c r="BY37" s="11">
        <v>929</v>
      </c>
      <c r="BZ37" s="15">
        <v>0.12022777274492041</v>
      </c>
      <c r="CA37" s="57"/>
      <c r="CB37" s="56"/>
      <c r="CC37" s="57"/>
      <c r="CD37" s="10">
        <v>3266899.08</v>
      </c>
      <c r="CE37" s="15">
        <v>0.10331692272790731</v>
      </c>
      <c r="CF37" s="11">
        <v>850</v>
      </c>
      <c r="CG37" s="15">
        <v>0.12356447158017153</v>
      </c>
      <c r="CH37" s="57"/>
      <c r="CI37" s="56"/>
      <c r="CJ37" s="57"/>
      <c r="CK37" s="10">
        <v>4956958.180000011</v>
      </c>
      <c r="CL37" s="15">
        <v>0.11345281925730379</v>
      </c>
      <c r="CM37" s="11">
        <v>1272</v>
      </c>
      <c r="CN37" s="15">
        <v>0.12560481880122445</v>
      </c>
      <c r="CO37" s="57"/>
      <c r="CP37" s="56"/>
      <c r="CQ37" s="57"/>
    </row>
    <row r="38" spans="1:95" ht="12.75">
      <c r="A38" s="9" t="s">
        <v>32</v>
      </c>
      <c r="B38" s="9"/>
      <c r="C38" s="9"/>
      <c r="D38" s="10">
        <v>1753879.93</v>
      </c>
      <c r="E38" s="15">
        <v>0.04533339010199847</v>
      </c>
      <c r="F38" s="11">
        <v>368</v>
      </c>
      <c r="G38" s="15">
        <v>0.04389312977099236</v>
      </c>
      <c r="H38" s="15"/>
      <c r="I38" s="10">
        <v>1427463.67</v>
      </c>
      <c r="J38" s="15">
        <v>0.04497313157977006</v>
      </c>
      <c r="K38" s="11">
        <v>328</v>
      </c>
      <c r="L38" s="15">
        <v>0.04302203567681007</v>
      </c>
      <c r="M38" s="57"/>
      <c r="N38" s="56"/>
      <c r="O38" s="57"/>
      <c r="P38" s="15"/>
      <c r="Q38" s="10">
        <v>1527140.49</v>
      </c>
      <c r="R38" s="15">
        <v>0.04414432592869088</v>
      </c>
      <c r="S38" s="11">
        <v>327</v>
      </c>
      <c r="T38" s="15">
        <v>0.04101342029349053</v>
      </c>
      <c r="U38" s="57"/>
      <c r="V38" s="56"/>
      <c r="W38" s="57"/>
      <c r="X38" s="15"/>
      <c r="Y38" s="10">
        <v>1394363.08</v>
      </c>
      <c r="Z38" s="15">
        <v>0.04369050355356776</v>
      </c>
      <c r="AA38" s="11">
        <v>295</v>
      </c>
      <c r="AB38" s="15">
        <v>0.03859740939421693</v>
      </c>
      <c r="AC38" s="57"/>
      <c r="AD38" s="56"/>
      <c r="AE38" s="57"/>
      <c r="AF38" s="15"/>
      <c r="AG38" s="10">
        <v>2569011.44</v>
      </c>
      <c r="AH38" s="15">
        <v>0.04766400987619718</v>
      </c>
      <c r="AI38" s="11">
        <v>465</v>
      </c>
      <c r="AJ38" s="15">
        <v>0.04344170403587444</v>
      </c>
      <c r="AK38" s="57"/>
      <c r="AL38" s="56"/>
      <c r="AM38" s="57"/>
      <c r="AN38" s="10">
        <v>2755725.47</v>
      </c>
      <c r="AO38" s="15">
        <v>0.04490258400136565</v>
      </c>
      <c r="AP38" s="11">
        <v>524</v>
      </c>
      <c r="AQ38" s="15">
        <v>0.04858149452994623</v>
      </c>
      <c r="AR38" s="57"/>
      <c r="AS38" s="56"/>
      <c r="AT38" s="57"/>
      <c r="AU38" s="10">
        <v>2510097.67</v>
      </c>
      <c r="AV38" s="15">
        <v>0.0458950231196737</v>
      </c>
      <c r="AW38" s="11">
        <v>516</v>
      </c>
      <c r="AX38" s="15">
        <v>0.05167751627441162</v>
      </c>
      <c r="AY38" s="57"/>
      <c r="AZ38" s="56"/>
      <c r="BA38" s="57"/>
      <c r="BB38" s="10">
        <v>2456581.28</v>
      </c>
      <c r="BC38" s="15">
        <v>0.04707750631582775</v>
      </c>
      <c r="BD38" s="11">
        <v>546</v>
      </c>
      <c r="BE38" s="15">
        <v>0.055420219244823384</v>
      </c>
      <c r="BF38" s="57"/>
      <c r="BG38" s="56"/>
      <c r="BH38" s="57"/>
      <c r="BI38" s="10">
        <v>2183432.3</v>
      </c>
      <c r="BJ38" s="15">
        <v>0.04843684477416911</v>
      </c>
      <c r="BK38" s="11">
        <v>507</v>
      </c>
      <c r="BL38" s="15">
        <v>0.05622712653876012</v>
      </c>
      <c r="BM38" s="57"/>
      <c r="BN38" s="56"/>
      <c r="BO38" s="57"/>
      <c r="BP38" s="10">
        <v>1994117.19</v>
      </c>
      <c r="BQ38" s="15">
        <v>0.04815525797694211</v>
      </c>
      <c r="BR38" s="11">
        <v>484</v>
      </c>
      <c r="BS38" s="15">
        <v>0.05694787622073185</v>
      </c>
      <c r="BT38" s="57"/>
      <c r="BU38" s="56"/>
      <c r="BV38" s="57"/>
      <c r="BW38" s="10">
        <v>1737157.03</v>
      </c>
      <c r="BX38" s="15">
        <v>0.047642121915668335</v>
      </c>
      <c r="BY38" s="11">
        <v>443</v>
      </c>
      <c r="BZ38" s="15">
        <v>0.057331435227125666</v>
      </c>
      <c r="CA38" s="57"/>
      <c r="CB38" s="56"/>
      <c r="CC38" s="57"/>
      <c r="CD38" s="10">
        <v>1558270.82</v>
      </c>
      <c r="CE38" s="15">
        <v>0.04928090582433688</v>
      </c>
      <c r="CF38" s="11">
        <v>402</v>
      </c>
      <c r="CG38" s="15">
        <v>0.05843872655909289</v>
      </c>
      <c r="CH38" s="57"/>
      <c r="CI38" s="56"/>
      <c r="CJ38" s="57"/>
      <c r="CK38" s="10">
        <v>2106319.05</v>
      </c>
      <c r="CL38" s="15">
        <v>0.04820856376033924</v>
      </c>
      <c r="CM38" s="11">
        <v>542</v>
      </c>
      <c r="CN38" s="15">
        <v>0.053520292287943125</v>
      </c>
      <c r="CO38" s="57"/>
      <c r="CP38" s="56"/>
      <c r="CQ38" s="57"/>
    </row>
    <row r="39" spans="1:95" ht="12.75">
      <c r="A39" s="9" t="s">
        <v>33</v>
      </c>
      <c r="B39" s="9"/>
      <c r="C39" s="9"/>
      <c r="D39" s="10">
        <v>3086377.63</v>
      </c>
      <c r="E39" s="15">
        <v>0.07977510815285487</v>
      </c>
      <c r="F39" s="11">
        <v>639</v>
      </c>
      <c r="G39" s="15">
        <v>0.07621660305343511</v>
      </c>
      <c r="H39" s="15"/>
      <c r="I39" s="10">
        <v>2486194.33</v>
      </c>
      <c r="J39" s="15">
        <v>0.07832910012761886</v>
      </c>
      <c r="K39" s="11">
        <v>564</v>
      </c>
      <c r="L39" s="15">
        <v>0.07397691500524659</v>
      </c>
      <c r="M39" s="57"/>
      <c r="N39" s="56"/>
      <c r="O39" s="57"/>
      <c r="P39" s="15"/>
      <c r="Q39" s="10">
        <v>2601167.98</v>
      </c>
      <c r="R39" s="15">
        <v>0.07519072924613138</v>
      </c>
      <c r="S39" s="11">
        <v>547</v>
      </c>
      <c r="T39" s="15">
        <v>0.06860654709645052</v>
      </c>
      <c r="U39" s="57"/>
      <c r="V39" s="56"/>
      <c r="W39" s="57"/>
      <c r="X39" s="15"/>
      <c r="Y39" s="10">
        <v>2419118.15</v>
      </c>
      <c r="Z39" s="15">
        <v>0.07579983409276388</v>
      </c>
      <c r="AA39" s="11">
        <v>474</v>
      </c>
      <c r="AB39" s="15">
        <v>0.06201753238257229</v>
      </c>
      <c r="AC39" s="57"/>
      <c r="AD39" s="56"/>
      <c r="AE39" s="57"/>
      <c r="AF39" s="15"/>
      <c r="AG39" s="10">
        <v>4046629.79</v>
      </c>
      <c r="AH39" s="15">
        <v>0.07507891917985131</v>
      </c>
      <c r="AI39" s="11">
        <v>698</v>
      </c>
      <c r="AJ39" s="15">
        <v>0.06520926756352766</v>
      </c>
      <c r="AK39" s="57"/>
      <c r="AL39" s="56"/>
      <c r="AM39" s="57"/>
      <c r="AN39" s="10">
        <v>5153428.780000007</v>
      </c>
      <c r="AO39" s="15">
        <v>0.08397145187652</v>
      </c>
      <c r="AP39" s="11">
        <v>822</v>
      </c>
      <c r="AQ39" s="15">
        <v>0.07620990172445763</v>
      </c>
      <c r="AR39" s="57"/>
      <c r="AS39" s="56"/>
      <c r="AT39" s="57"/>
      <c r="AU39" s="10">
        <v>4576645.310000013</v>
      </c>
      <c r="AV39" s="15">
        <v>0.08368010728164077</v>
      </c>
      <c r="AW39" s="11">
        <v>765</v>
      </c>
      <c r="AX39" s="15">
        <v>0.07661492238357537</v>
      </c>
      <c r="AY39" s="57"/>
      <c r="AZ39" s="56"/>
      <c r="BA39" s="57"/>
      <c r="BB39" s="10">
        <v>4258760.43</v>
      </c>
      <c r="BC39" s="15">
        <v>0.08161416138485049</v>
      </c>
      <c r="BD39" s="11">
        <v>735</v>
      </c>
      <c r="BE39" s="15">
        <v>0.0746041412911084</v>
      </c>
      <c r="BF39" s="57"/>
      <c r="BG39" s="56"/>
      <c r="BH39" s="57"/>
      <c r="BI39" s="10">
        <v>3713742.0900000064</v>
      </c>
      <c r="BJ39" s="15">
        <v>0.08238494463264508</v>
      </c>
      <c r="BK39" s="11">
        <v>686</v>
      </c>
      <c r="BL39" s="15">
        <v>0.0760785183542198</v>
      </c>
      <c r="BM39" s="57"/>
      <c r="BN39" s="56"/>
      <c r="BO39" s="57"/>
      <c r="BP39" s="10">
        <v>3414197.7</v>
      </c>
      <c r="BQ39" s="15">
        <v>0.08244829935385214</v>
      </c>
      <c r="BR39" s="11">
        <v>642</v>
      </c>
      <c r="BS39" s="15">
        <v>0.07553829862336746</v>
      </c>
      <c r="BT39" s="57"/>
      <c r="BU39" s="56"/>
      <c r="BV39" s="57"/>
      <c r="BW39" s="10">
        <v>3111604.16</v>
      </c>
      <c r="BX39" s="15">
        <v>0.08533680155789997</v>
      </c>
      <c r="BY39" s="11">
        <v>584</v>
      </c>
      <c r="BZ39" s="15">
        <v>0.0755791380872266</v>
      </c>
      <c r="CA39" s="57"/>
      <c r="CB39" s="56"/>
      <c r="CC39" s="57"/>
      <c r="CD39" s="10">
        <v>2639013.53</v>
      </c>
      <c r="CE39" s="15">
        <v>0.0834598040160187</v>
      </c>
      <c r="CF39" s="11">
        <v>504</v>
      </c>
      <c r="CG39" s="15">
        <v>0.07326646314871348</v>
      </c>
      <c r="CH39" s="57"/>
      <c r="CI39" s="56"/>
      <c r="CJ39" s="57"/>
      <c r="CK39" s="10">
        <v>3441117.16</v>
      </c>
      <c r="CL39" s="15">
        <v>0.0787588736923105</v>
      </c>
      <c r="CM39" s="11">
        <v>720</v>
      </c>
      <c r="CN39" s="15">
        <v>0.0710970672459761</v>
      </c>
      <c r="CO39" s="57"/>
      <c r="CP39" s="56"/>
      <c r="CQ39" s="57"/>
    </row>
    <row r="40" spans="1:95" ht="12.75">
      <c r="A40" s="9" t="s">
        <v>40</v>
      </c>
      <c r="B40" s="9"/>
      <c r="C40" s="9"/>
      <c r="D40" s="10">
        <v>441713.58</v>
      </c>
      <c r="E40" s="15">
        <v>0.01141718637232499</v>
      </c>
      <c r="F40" s="11">
        <v>144</v>
      </c>
      <c r="G40" s="15">
        <v>0.01717557251908397</v>
      </c>
      <c r="H40" s="15"/>
      <c r="I40" s="10">
        <v>322133.64</v>
      </c>
      <c r="J40" s="15">
        <v>0.010149020869995449</v>
      </c>
      <c r="K40" s="11">
        <v>127</v>
      </c>
      <c r="L40" s="15">
        <v>0.01665792235047219</v>
      </c>
      <c r="M40" s="57"/>
      <c r="N40" s="56"/>
      <c r="O40" s="57"/>
      <c r="P40" s="15"/>
      <c r="Q40" s="10">
        <v>299838.74</v>
      </c>
      <c r="R40" s="15">
        <v>0.008667296264673066</v>
      </c>
      <c r="S40" s="11">
        <v>114</v>
      </c>
      <c r="T40" s="15">
        <v>0.014298256616079268</v>
      </c>
      <c r="U40" s="57"/>
      <c r="V40" s="56"/>
      <c r="W40" s="57"/>
      <c r="X40" s="15"/>
      <c r="Y40" s="10">
        <v>261973.45</v>
      </c>
      <c r="Z40" s="15">
        <v>0.008208587929741655</v>
      </c>
      <c r="AA40" s="11">
        <v>73</v>
      </c>
      <c r="AB40" s="15">
        <v>0.009551223341619782</v>
      </c>
      <c r="AC40" s="57"/>
      <c r="AD40" s="56"/>
      <c r="AE40" s="57"/>
      <c r="AF40" s="15"/>
      <c r="AG40" s="10">
        <v>676871.39</v>
      </c>
      <c r="AH40" s="15">
        <v>0.012558295426615657</v>
      </c>
      <c r="AI40" s="11">
        <v>128</v>
      </c>
      <c r="AJ40" s="15">
        <v>0.01195814648729447</v>
      </c>
      <c r="AK40" s="57"/>
      <c r="AL40" s="56"/>
      <c r="AM40" s="57"/>
      <c r="AN40" s="10">
        <v>641064.48</v>
      </c>
      <c r="AO40" s="15">
        <v>0.010445689157669164</v>
      </c>
      <c r="AP40" s="11">
        <v>107</v>
      </c>
      <c r="AQ40" s="15">
        <v>0.009920267012794363</v>
      </c>
      <c r="AR40" s="57"/>
      <c r="AS40" s="56"/>
      <c r="AT40" s="57"/>
      <c r="AU40" s="10">
        <v>554121.72</v>
      </c>
      <c r="AV40" s="15">
        <v>0.010131649239972928</v>
      </c>
      <c r="AW40" s="11">
        <v>95</v>
      </c>
      <c r="AX40" s="15">
        <v>0.009514271407110666</v>
      </c>
      <c r="AY40" s="57"/>
      <c r="AZ40" s="56"/>
      <c r="BA40" s="57"/>
      <c r="BB40" s="10">
        <v>581567.86</v>
      </c>
      <c r="BC40" s="15">
        <v>0.011145067669909314</v>
      </c>
      <c r="BD40" s="11">
        <v>87</v>
      </c>
      <c r="BE40" s="15">
        <v>0.008830694275274055</v>
      </c>
      <c r="BF40" s="57"/>
      <c r="BG40" s="56"/>
      <c r="BH40" s="57"/>
      <c r="BI40" s="10">
        <v>492268.37</v>
      </c>
      <c r="BJ40" s="15">
        <v>0.010920387421640356</v>
      </c>
      <c r="BK40" s="11">
        <v>75</v>
      </c>
      <c r="BL40" s="15">
        <v>0.008317622269047356</v>
      </c>
      <c r="BM40" s="57"/>
      <c r="BN40" s="56"/>
      <c r="BO40" s="57"/>
      <c r="BP40" s="10">
        <v>501737.9</v>
      </c>
      <c r="BQ40" s="15">
        <v>0.012116297945011534</v>
      </c>
      <c r="BR40" s="11">
        <v>69</v>
      </c>
      <c r="BS40" s="15">
        <v>0.008118602188492764</v>
      </c>
      <c r="BT40" s="57"/>
      <c r="BU40" s="56"/>
      <c r="BV40" s="57"/>
      <c r="BW40" s="10">
        <v>425024.72</v>
      </c>
      <c r="BX40" s="15">
        <v>0.011656447389452648</v>
      </c>
      <c r="BY40" s="11">
        <v>63</v>
      </c>
      <c r="BZ40" s="15">
        <v>0.00815322893749191</v>
      </c>
      <c r="CA40" s="57"/>
      <c r="CB40" s="56"/>
      <c r="CC40" s="57"/>
      <c r="CD40" s="10">
        <v>356193.64</v>
      </c>
      <c r="CE40" s="15">
        <v>0.011264758989754913</v>
      </c>
      <c r="CF40" s="11">
        <v>52</v>
      </c>
      <c r="CG40" s="15">
        <v>0.0075592382613751995</v>
      </c>
      <c r="CH40" s="57"/>
      <c r="CI40" s="56"/>
      <c r="CJ40" s="57"/>
      <c r="CK40" s="10">
        <v>530418.32</v>
      </c>
      <c r="CL40" s="15">
        <v>0.012139996264750128</v>
      </c>
      <c r="CM40" s="11">
        <v>79</v>
      </c>
      <c r="CN40" s="15">
        <v>0.007800928211711267</v>
      </c>
      <c r="CO40" s="57"/>
      <c r="CP40" s="56"/>
      <c r="CQ40" s="57"/>
    </row>
    <row r="41" spans="1:95" ht="12.75">
      <c r="A41" s="9" t="s">
        <v>34</v>
      </c>
      <c r="B41" s="9"/>
      <c r="C41" s="9"/>
      <c r="D41" s="10">
        <v>6768129.140000002</v>
      </c>
      <c r="E41" s="15">
        <v>0.17493913540838774</v>
      </c>
      <c r="F41" s="11">
        <v>1434</v>
      </c>
      <c r="G41" s="15">
        <v>0.17104007633587787</v>
      </c>
      <c r="H41" s="15"/>
      <c r="I41" s="10">
        <v>5382084.8900000015</v>
      </c>
      <c r="J41" s="15">
        <v>0.16956593503459352</v>
      </c>
      <c r="K41" s="11">
        <v>1267</v>
      </c>
      <c r="L41" s="15">
        <v>0.1661857292759706</v>
      </c>
      <c r="M41" s="57"/>
      <c r="N41" s="56"/>
      <c r="O41" s="57"/>
      <c r="P41" s="15"/>
      <c r="Q41" s="10">
        <v>5495272.910000001</v>
      </c>
      <c r="R41" s="15">
        <v>0.15884924798644134</v>
      </c>
      <c r="S41" s="11">
        <v>1196</v>
      </c>
      <c r="T41" s="15">
        <v>0.1500062711651825</v>
      </c>
      <c r="U41" s="57"/>
      <c r="V41" s="56"/>
      <c r="W41" s="57"/>
      <c r="X41" s="15"/>
      <c r="Y41" s="10">
        <v>4939540.309999986</v>
      </c>
      <c r="Z41" s="15">
        <v>0.1547738939466508</v>
      </c>
      <c r="AA41" s="11">
        <v>1044</v>
      </c>
      <c r="AB41" s="15">
        <v>0.13659557765275415</v>
      </c>
      <c r="AC41" s="57"/>
      <c r="AD41" s="56"/>
      <c r="AE41" s="57"/>
      <c r="AF41" s="15"/>
      <c r="AG41" s="10">
        <v>8212855.4</v>
      </c>
      <c r="AH41" s="15">
        <v>0.1523767527081853</v>
      </c>
      <c r="AI41" s="11">
        <v>1489</v>
      </c>
      <c r="AJ41" s="15">
        <v>0.13910687593423018</v>
      </c>
      <c r="AK41" s="57"/>
      <c r="AL41" s="56"/>
      <c r="AM41" s="57"/>
      <c r="AN41" s="10">
        <v>8258381.029999999</v>
      </c>
      <c r="AO41" s="15">
        <v>0.13456443755076203</v>
      </c>
      <c r="AP41" s="11">
        <v>1428</v>
      </c>
      <c r="AQ41" s="15">
        <v>0.1323938438716855</v>
      </c>
      <c r="AR41" s="57"/>
      <c r="AS41" s="56"/>
      <c r="AT41" s="57"/>
      <c r="AU41" s="10">
        <v>7174894.550000007</v>
      </c>
      <c r="AV41" s="15">
        <v>0.13118690766063726</v>
      </c>
      <c r="AW41" s="11">
        <v>1280</v>
      </c>
      <c r="AX41" s="15">
        <v>0.12819228843264896</v>
      </c>
      <c r="AY41" s="57"/>
      <c r="AZ41" s="56"/>
      <c r="BA41" s="57"/>
      <c r="BB41" s="10">
        <v>6944722.730000001</v>
      </c>
      <c r="BC41" s="15">
        <v>0.13308748659977077</v>
      </c>
      <c r="BD41" s="11">
        <v>1235</v>
      </c>
      <c r="BE41" s="15">
        <v>0.12535525781567194</v>
      </c>
      <c r="BF41" s="57"/>
      <c r="BG41" s="56"/>
      <c r="BH41" s="57"/>
      <c r="BI41" s="10">
        <v>5957051.940000003</v>
      </c>
      <c r="BJ41" s="15">
        <v>0.1321501015302574</v>
      </c>
      <c r="BK41" s="11">
        <v>1122</v>
      </c>
      <c r="BL41" s="15">
        <v>0.12443162914494843</v>
      </c>
      <c r="BM41" s="57"/>
      <c r="BN41" s="56"/>
      <c r="BO41" s="57"/>
      <c r="BP41" s="10">
        <v>5758813.339999989</v>
      </c>
      <c r="BQ41" s="15">
        <v>0.13906762522254526</v>
      </c>
      <c r="BR41" s="11">
        <v>1062</v>
      </c>
      <c r="BS41" s="15">
        <v>0.12495587716201906</v>
      </c>
      <c r="BT41" s="57"/>
      <c r="BU41" s="56"/>
      <c r="BV41" s="57"/>
      <c r="BW41" s="10">
        <v>5606704.170000002</v>
      </c>
      <c r="BX41" s="15">
        <v>0.15376576728485303</v>
      </c>
      <c r="BY41" s="11">
        <v>994</v>
      </c>
      <c r="BZ41" s="15">
        <v>0.1286398343470946</v>
      </c>
      <c r="CA41" s="57"/>
      <c r="CB41" s="56"/>
      <c r="CC41" s="57"/>
      <c r="CD41" s="10">
        <v>5040663.42</v>
      </c>
      <c r="CE41" s="15">
        <v>0.159412892871343</v>
      </c>
      <c r="CF41" s="11">
        <v>882</v>
      </c>
      <c r="CG41" s="15">
        <v>0.1282163105102486</v>
      </c>
      <c r="CH41" s="57"/>
      <c r="CI41" s="56"/>
      <c r="CJ41" s="57"/>
      <c r="CK41" s="10">
        <v>6883378.750000012</v>
      </c>
      <c r="CL41" s="15">
        <v>0.15754394062757965</v>
      </c>
      <c r="CM41" s="11">
        <v>1317</v>
      </c>
      <c r="CN41" s="15">
        <v>0.13004838550409795</v>
      </c>
      <c r="CO41" s="57"/>
      <c r="CP41" s="56"/>
      <c r="CQ41" s="57"/>
    </row>
    <row r="42" spans="1:95" ht="12.75">
      <c r="A42" s="9" t="s">
        <v>35</v>
      </c>
      <c r="B42" s="9"/>
      <c r="C42" s="9"/>
      <c r="D42" s="10">
        <v>3119965.33</v>
      </c>
      <c r="E42" s="15">
        <v>0.0806432658190007</v>
      </c>
      <c r="F42" s="11">
        <v>893</v>
      </c>
      <c r="G42" s="15">
        <v>0.10651240458015267</v>
      </c>
      <c r="H42" s="15"/>
      <c r="I42" s="10">
        <v>2513826.51</v>
      </c>
      <c r="J42" s="15">
        <v>0.07919966916071786</v>
      </c>
      <c r="K42" s="11">
        <v>815</v>
      </c>
      <c r="L42" s="15">
        <v>0.10689926547743966</v>
      </c>
      <c r="M42" s="57"/>
      <c r="N42" s="56"/>
      <c r="O42" s="57"/>
      <c r="P42" s="15"/>
      <c r="Q42" s="10">
        <v>2359219.62</v>
      </c>
      <c r="R42" s="15">
        <v>0.06819684274276706</v>
      </c>
      <c r="S42" s="11">
        <v>718</v>
      </c>
      <c r="T42" s="15">
        <v>0.09005393202056942</v>
      </c>
      <c r="U42" s="57"/>
      <c r="V42" s="56"/>
      <c r="W42" s="57"/>
      <c r="X42" s="15"/>
      <c r="Y42" s="10">
        <v>2075209.37</v>
      </c>
      <c r="Z42" s="15">
        <v>0.06502391210356918</v>
      </c>
      <c r="AA42" s="11">
        <v>604</v>
      </c>
      <c r="AB42" s="15">
        <v>0.07902656025121026</v>
      </c>
      <c r="AC42" s="57"/>
      <c r="AD42" s="56"/>
      <c r="AE42" s="57"/>
      <c r="AF42" s="15"/>
      <c r="AG42" s="10">
        <v>2984659</v>
      </c>
      <c r="AH42" s="15">
        <v>0.05537570360258135</v>
      </c>
      <c r="AI42" s="11">
        <v>732</v>
      </c>
      <c r="AJ42" s="15">
        <v>0.06838565022421525</v>
      </c>
      <c r="AK42" s="57"/>
      <c r="AL42" s="56"/>
      <c r="AM42" s="57"/>
      <c r="AN42" s="10">
        <v>3472883.6299999943</v>
      </c>
      <c r="AO42" s="15">
        <v>0.056588165483349946</v>
      </c>
      <c r="AP42" s="11">
        <v>743</v>
      </c>
      <c r="AQ42" s="15">
        <v>0.06888559243463749</v>
      </c>
      <c r="AR42" s="57"/>
      <c r="AS42" s="56"/>
      <c r="AT42" s="57"/>
      <c r="AU42" s="10">
        <v>3031015.08</v>
      </c>
      <c r="AV42" s="15">
        <v>0.0554195594997224</v>
      </c>
      <c r="AW42" s="11">
        <v>657</v>
      </c>
      <c r="AX42" s="15">
        <v>0.0657986980470706</v>
      </c>
      <c r="AY42" s="57"/>
      <c r="AZ42" s="56"/>
      <c r="BA42" s="57"/>
      <c r="BB42" s="10">
        <v>2710964.77</v>
      </c>
      <c r="BC42" s="15">
        <v>0.05195246830247834</v>
      </c>
      <c r="BD42" s="11">
        <v>612</v>
      </c>
      <c r="BE42" s="15">
        <v>0.06211936662606577</v>
      </c>
      <c r="BF42" s="57"/>
      <c r="BG42" s="56"/>
      <c r="BH42" s="57"/>
      <c r="BI42" s="10">
        <v>2286535.71</v>
      </c>
      <c r="BJ42" s="15">
        <v>0.05072407111311146</v>
      </c>
      <c r="BK42" s="11">
        <v>545</v>
      </c>
      <c r="BL42" s="15">
        <v>0.06044138848841078</v>
      </c>
      <c r="BM42" s="57"/>
      <c r="BN42" s="56"/>
      <c r="BO42" s="57"/>
      <c r="BP42" s="10">
        <v>2000983.22</v>
      </c>
      <c r="BQ42" s="15">
        <v>0.04832106340080862</v>
      </c>
      <c r="BR42" s="11">
        <v>480</v>
      </c>
      <c r="BS42" s="15">
        <v>0.056477232615601836</v>
      </c>
      <c r="BT42" s="57"/>
      <c r="BU42" s="56"/>
      <c r="BV42" s="57"/>
      <c r="BW42" s="10">
        <v>1746671.34</v>
      </c>
      <c r="BX42" s="15">
        <v>0.04790305510082976</v>
      </c>
      <c r="BY42" s="11">
        <v>426</v>
      </c>
      <c r="BZ42" s="15">
        <v>0.055131357577326255</v>
      </c>
      <c r="CA42" s="57"/>
      <c r="CB42" s="56"/>
      <c r="CC42" s="57"/>
      <c r="CD42" s="10">
        <v>1532498.51</v>
      </c>
      <c r="CE42" s="15">
        <v>0.04846584674366587</v>
      </c>
      <c r="CF42" s="11">
        <v>364</v>
      </c>
      <c r="CG42" s="15">
        <v>0.0529146678296264</v>
      </c>
      <c r="CH42" s="57"/>
      <c r="CI42" s="56"/>
      <c r="CJ42" s="57"/>
      <c r="CK42" s="10">
        <v>2142613.42</v>
      </c>
      <c r="CL42" s="15">
        <v>0.049039254367389644</v>
      </c>
      <c r="CM42" s="11">
        <v>622</v>
      </c>
      <c r="CN42" s="15">
        <v>0.06141996642638491</v>
      </c>
      <c r="CO42" s="57"/>
      <c r="CP42" s="56"/>
      <c r="CQ42" s="57"/>
    </row>
    <row r="43" spans="1:95" ht="12.75">
      <c r="A43" s="9" t="s">
        <v>36</v>
      </c>
      <c r="B43" s="9"/>
      <c r="C43" s="9"/>
      <c r="D43" s="10">
        <v>1120004.72</v>
      </c>
      <c r="E43" s="15">
        <v>0.02894930834167172</v>
      </c>
      <c r="F43" s="11">
        <v>230</v>
      </c>
      <c r="G43" s="15">
        <v>0.02743320610687023</v>
      </c>
      <c r="H43" s="15"/>
      <c r="I43" s="10">
        <v>883035.07</v>
      </c>
      <c r="J43" s="15">
        <v>0.02782056960697394</v>
      </c>
      <c r="K43" s="11">
        <v>209</v>
      </c>
      <c r="L43" s="15">
        <v>0.02741343126967471</v>
      </c>
      <c r="M43" s="57"/>
      <c r="N43" s="56"/>
      <c r="O43" s="57"/>
      <c r="P43" s="15"/>
      <c r="Q43" s="10">
        <v>795019.76</v>
      </c>
      <c r="R43" s="15">
        <v>0.0229812591801489</v>
      </c>
      <c r="S43" s="11">
        <v>172</v>
      </c>
      <c r="T43" s="15">
        <v>0.02157280822776872</v>
      </c>
      <c r="U43" s="57"/>
      <c r="V43" s="56"/>
      <c r="W43" s="57"/>
      <c r="X43" s="15"/>
      <c r="Y43" s="10">
        <v>652181.4699999992</v>
      </c>
      <c r="Z43" s="15">
        <v>0.020435234725668425</v>
      </c>
      <c r="AA43" s="11">
        <v>282</v>
      </c>
      <c r="AB43" s="15">
        <v>0.036896506607353136</v>
      </c>
      <c r="AC43" s="57"/>
      <c r="AD43" s="56"/>
      <c r="AE43" s="57"/>
      <c r="AF43" s="15"/>
      <c r="AG43" s="10">
        <v>1239920.66</v>
      </c>
      <c r="AH43" s="15">
        <v>0.023004798524346344</v>
      </c>
      <c r="AI43" s="11">
        <v>355</v>
      </c>
      <c r="AJ43" s="15">
        <v>0.03316517189835576</v>
      </c>
      <c r="AK43" s="57"/>
      <c r="AL43" s="56"/>
      <c r="AM43" s="57"/>
      <c r="AN43" s="10">
        <v>986094.58</v>
      </c>
      <c r="AO43" s="15">
        <v>0.01606770891867591</v>
      </c>
      <c r="AP43" s="11">
        <v>119</v>
      </c>
      <c r="AQ43" s="15">
        <v>0.01103282032264046</v>
      </c>
      <c r="AR43" s="57"/>
      <c r="AS43" s="56"/>
      <c r="AT43" s="57"/>
      <c r="AU43" s="10">
        <v>833143.39</v>
      </c>
      <c r="AV43" s="15">
        <v>0.015233325620374473</v>
      </c>
      <c r="AW43" s="11">
        <v>98</v>
      </c>
      <c r="AX43" s="15">
        <v>0.009814722083124687</v>
      </c>
      <c r="AY43" s="57"/>
      <c r="AZ43" s="56"/>
      <c r="BA43" s="57"/>
      <c r="BB43" s="10">
        <v>752151.48</v>
      </c>
      <c r="BC43" s="15">
        <v>0.01441410318414508</v>
      </c>
      <c r="BD43" s="11">
        <v>86</v>
      </c>
      <c r="BE43" s="15">
        <v>0.008729192042224929</v>
      </c>
      <c r="BF43" s="57"/>
      <c r="BG43" s="56"/>
      <c r="BH43" s="57"/>
      <c r="BI43" s="10">
        <v>603784.54</v>
      </c>
      <c r="BJ43" s="15">
        <v>0.01339424082030074</v>
      </c>
      <c r="BK43" s="11">
        <v>75</v>
      </c>
      <c r="BL43" s="15">
        <v>0.008317622269047356</v>
      </c>
      <c r="BM43" s="57"/>
      <c r="BN43" s="56"/>
      <c r="BO43" s="57"/>
      <c r="BP43" s="10">
        <v>554656.05</v>
      </c>
      <c r="BQ43" s="15">
        <v>0.013394200356009016</v>
      </c>
      <c r="BR43" s="11">
        <v>70</v>
      </c>
      <c r="BS43" s="15">
        <v>0.008236263089775268</v>
      </c>
      <c r="BT43" s="57"/>
      <c r="BU43" s="56"/>
      <c r="BV43" s="57"/>
      <c r="BW43" s="10">
        <v>632773.39</v>
      </c>
      <c r="BX43" s="15">
        <v>0.01735402526700236</v>
      </c>
      <c r="BY43" s="11">
        <v>70</v>
      </c>
      <c r="BZ43" s="15">
        <v>0.009059143263879901</v>
      </c>
      <c r="CA43" s="57"/>
      <c r="CB43" s="56"/>
      <c r="CC43" s="57"/>
      <c r="CD43" s="10">
        <v>586846.47</v>
      </c>
      <c r="CE43" s="15">
        <v>0.018559242238402784</v>
      </c>
      <c r="CF43" s="11">
        <v>57</v>
      </c>
      <c r="CG43" s="15">
        <v>0.008286088094199739</v>
      </c>
      <c r="CH43" s="57"/>
      <c r="CI43" s="56"/>
      <c r="CJ43" s="57"/>
      <c r="CK43" s="10">
        <v>936536.45</v>
      </c>
      <c r="CL43" s="15">
        <v>0.021435060924747736</v>
      </c>
      <c r="CM43" s="11">
        <v>97</v>
      </c>
      <c r="CN43" s="15">
        <v>0.00957835489286067</v>
      </c>
      <c r="CO43" s="57"/>
      <c r="CP43" s="56"/>
      <c r="CQ43" s="57"/>
    </row>
    <row r="44" spans="1:95" ht="12.75">
      <c r="A44" s="9" t="s">
        <v>37</v>
      </c>
      <c r="B44" s="9"/>
      <c r="C44" s="9"/>
      <c r="D44" s="10">
        <v>2072167.68</v>
      </c>
      <c r="E44" s="15">
        <v>0.053560328838584303</v>
      </c>
      <c r="F44" s="11">
        <v>558</v>
      </c>
      <c r="G44" s="15">
        <v>0.06655534351145038</v>
      </c>
      <c r="H44" s="15"/>
      <c r="I44" s="10">
        <v>1618085.22</v>
      </c>
      <c r="J44" s="15">
        <v>0.05097878218248538</v>
      </c>
      <c r="K44" s="11">
        <v>503</v>
      </c>
      <c r="L44" s="15">
        <v>0.06597586568730325</v>
      </c>
      <c r="M44" s="57"/>
      <c r="N44" s="56"/>
      <c r="O44" s="57"/>
      <c r="P44" s="15"/>
      <c r="Q44" s="10">
        <v>1605614.19</v>
      </c>
      <c r="R44" s="15">
        <v>0.046412727960013035</v>
      </c>
      <c r="S44" s="11">
        <v>468</v>
      </c>
      <c r="T44" s="15">
        <v>0.058698106108114885</v>
      </c>
      <c r="U44" s="57"/>
      <c r="V44" s="56"/>
      <c r="W44" s="57"/>
      <c r="X44" s="15"/>
      <c r="Y44" s="10">
        <v>1348030.67</v>
      </c>
      <c r="Z44" s="15">
        <v>0.04223873940921707</v>
      </c>
      <c r="AA44" s="11">
        <v>380</v>
      </c>
      <c r="AB44" s="15">
        <v>0.04971869684678791</v>
      </c>
      <c r="AC44" s="57"/>
      <c r="AD44" s="56"/>
      <c r="AE44" s="57"/>
      <c r="AF44" s="15"/>
      <c r="AG44" s="10">
        <v>2035537.37</v>
      </c>
      <c r="AH44" s="15">
        <v>0.037766228595326294</v>
      </c>
      <c r="AI44" s="11">
        <v>470</v>
      </c>
      <c r="AJ44" s="15">
        <v>0.04390881913303438</v>
      </c>
      <c r="AK44" s="57"/>
      <c r="AL44" s="56"/>
      <c r="AM44" s="57"/>
      <c r="AN44" s="10">
        <v>1885363.57</v>
      </c>
      <c r="AO44" s="15">
        <v>0.03072065668248136</v>
      </c>
      <c r="AP44" s="11">
        <v>399</v>
      </c>
      <c r="AQ44" s="15">
        <v>0.03699239755238272</v>
      </c>
      <c r="AR44" s="57"/>
      <c r="AS44" s="56"/>
      <c r="AT44" s="57"/>
      <c r="AU44" s="10">
        <v>1628855.59</v>
      </c>
      <c r="AV44" s="15">
        <v>0.02978225343783522</v>
      </c>
      <c r="AW44" s="11">
        <v>343</v>
      </c>
      <c r="AX44" s="15">
        <v>0.03435152729093641</v>
      </c>
      <c r="AY44" s="57"/>
      <c r="AZ44" s="56"/>
      <c r="BA44" s="57"/>
      <c r="BB44" s="10">
        <v>1620167.66</v>
      </c>
      <c r="BC44" s="15">
        <v>0.03104861779552028</v>
      </c>
      <c r="BD44" s="11">
        <v>333</v>
      </c>
      <c r="BE44" s="15">
        <v>0.03380024360535932</v>
      </c>
      <c r="BF44" s="57"/>
      <c r="BG44" s="56"/>
      <c r="BH44" s="57"/>
      <c r="BI44" s="10">
        <v>1430660.29</v>
      </c>
      <c r="BJ44" s="15">
        <v>0.03173749439874909</v>
      </c>
      <c r="BK44" s="11">
        <v>311</v>
      </c>
      <c r="BL44" s="15">
        <v>0.03449040700898303</v>
      </c>
      <c r="BM44" s="57"/>
      <c r="BN44" s="56"/>
      <c r="BO44" s="57"/>
      <c r="BP44" s="10">
        <v>1370604.77</v>
      </c>
      <c r="BQ44" s="15">
        <v>0.033098268554506254</v>
      </c>
      <c r="BR44" s="11">
        <v>299</v>
      </c>
      <c r="BS44" s="15">
        <v>0.03518060948346864</v>
      </c>
      <c r="BT44" s="57"/>
      <c r="BU44" s="56"/>
      <c r="BV44" s="57"/>
      <c r="BW44" s="10">
        <v>1125829.75</v>
      </c>
      <c r="BX44" s="15">
        <v>0.030876263503816052</v>
      </c>
      <c r="BY44" s="11">
        <v>266</v>
      </c>
      <c r="BZ44" s="15">
        <v>0.03442474440274362</v>
      </c>
      <c r="CA44" s="57"/>
      <c r="CB44" s="56"/>
      <c r="CC44" s="57"/>
      <c r="CD44" s="10">
        <v>1024543.92</v>
      </c>
      <c r="CE44" s="15">
        <v>0.032401590138495265</v>
      </c>
      <c r="CF44" s="11">
        <v>227</v>
      </c>
      <c r="CG44" s="15">
        <v>0.032998982410234044</v>
      </c>
      <c r="CH44" s="57"/>
      <c r="CI44" s="56"/>
      <c r="CJ44" s="57"/>
      <c r="CK44" s="10">
        <v>1711195.29</v>
      </c>
      <c r="CL44" s="15">
        <v>0.03916513371721023</v>
      </c>
      <c r="CM44" s="11">
        <v>418</v>
      </c>
      <c r="CN44" s="15">
        <v>0.04127579737335835</v>
      </c>
      <c r="CO44" s="57"/>
      <c r="CP44" s="56"/>
      <c r="CQ44" s="57"/>
    </row>
    <row r="45" spans="1:95" ht="12.75">
      <c r="A45" s="9" t="s">
        <v>38</v>
      </c>
      <c r="B45" s="9"/>
      <c r="C45" s="9"/>
      <c r="D45" s="10">
        <v>7621349.409999997</v>
      </c>
      <c r="E45" s="15">
        <v>0.1969927359321375</v>
      </c>
      <c r="F45" s="11">
        <v>1493</v>
      </c>
      <c r="G45" s="15">
        <v>0.17807729007633588</v>
      </c>
      <c r="H45" s="15"/>
      <c r="I45" s="10">
        <v>6628131.340000003</v>
      </c>
      <c r="J45" s="15">
        <v>0.2088234041583825</v>
      </c>
      <c r="K45" s="11">
        <v>1412</v>
      </c>
      <c r="L45" s="15">
        <v>0.1852046169989507</v>
      </c>
      <c r="M45" s="57"/>
      <c r="N45" s="56"/>
      <c r="O45" s="57"/>
      <c r="P45" s="15"/>
      <c r="Q45" s="10">
        <v>7961587.790000001</v>
      </c>
      <c r="R45" s="15">
        <v>0.23014184262224993</v>
      </c>
      <c r="S45" s="11">
        <v>1578</v>
      </c>
      <c r="T45" s="15">
        <v>0.197917973159413</v>
      </c>
      <c r="U45" s="57"/>
      <c r="V45" s="56"/>
      <c r="W45" s="57"/>
      <c r="X45" s="15"/>
      <c r="Y45" s="10">
        <v>7378600.190000007</v>
      </c>
      <c r="Z45" s="15">
        <v>0.2311985754969579</v>
      </c>
      <c r="AA45" s="11">
        <v>1469</v>
      </c>
      <c r="AB45" s="15">
        <v>0.19220201491560907</v>
      </c>
      <c r="AC45" s="57"/>
      <c r="AD45" s="56"/>
      <c r="AE45" s="57"/>
      <c r="AF45" s="15"/>
      <c r="AG45" s="10">
        <v>12891746.76000001</v>
      </c>
      <c r="AH45" s="15">
        <v>0.2391863015176269</v>
      </c>
      <c r="AI45" s="11">
        <v>2246</v>
      </c>
      <c r="AJ45" s="15">
        <v>0.20982810164424515</v>
      </c>
      <c r="AK45" s="57"/>
      <c r="AL45" s="56"/>
      <c r="AM45" s="57"/>
      <c r="AN45" s="10">
        <v>16570172.390000043</v>
      </c>
      <c r="AO45" s="15">
        <v>0.26999915839188665</v>
      </c>
      <c r="AP45" s="11">
        <v>2797</v>
      </c>
      <c r="AQ45" s="15">
        <v>0.25931763396996105</v>
      </c>
      <c r="AR45" s="57"/>
      <c r="AS45" s="56"/>
      <c r="AT45" s="57"/>
      <c r="AU45" s="10">
        <v>14941864.459999962</v>
      </c>
      <c r="AV45" s="15">
        <v>0.2731994149226584</v>
      </c>
      <c r="AW45" s="11">
        <v>2633</v>
      </c>
      <c r="AX45" s="15">
        <v>0.26369554331497247</v>
      </c>
      <c r="AY45" s="57"/>
      <c r="AZ45" s="56"/>
      <c r="BA45" s="57"/>
      <c r="BB45" s="10">
        <v>14415075.15000002</v>
      </c>
      <c r="BC45" s="15">
        <v>0.2762480512825767</v>
      </c>
      <c r="BD45" s="11">
        <v>2628</v>
      </c>
      <c r="BE45" s="15">
        <v>0.26674786845310594</v>
      </c>
      <c r="BF45" s="57"/>
      <c r="BG45" s="56"/>
      <c r="BH45" s="57"/>
      <c r="BI45" s="10">
        <v>12555172.190000026</v>
      </c>
      <c r="BJ45" s="15">
        <v>0.2785215399076018</v>
      </c>
      <c r="BK45" s="11">
        <v>2425</v>
      </c>
      <c r="BL45" s="15">
        <v>0.26893645336586447</v>
      </c>
      <c r="BM45" s="57"/>
      <c r="BN45" s="56"/>
      <c r="BO45" s="57"/>
      <c r="BP45" s="10">
        <v>11029167.869999984</v>
      </c>
      <c r="BQ45" s="15">
        <v>0.26633962472930206</v>
      </c>
      <c r="BR45" s="11">
        <v>2276</v>
      </c>
      <c r="BS45" s="15">
        <v>0.2677962113189787</v>
      </c>
      <c r="BT45" s="57"/>
      <c r="BU45" s="56"/>
      <c r="BV45" s="57"/>
      <c r="BW45" s="10">
        <v>9394222.279999994</v>
      </c>
      <c r="BX45" s="15">
        <v>0.25763973862895284</v>
      </c>
      <c r="BY45" s="11">
        <v>2069</v>
      </c>
      <c r="BZ45" s="15">
        <v>0.26776239161382165</v>
      </c>
      <c r="CA45" s="57"/>
      <c r="CB45" s="56"/>
      <c r="CC45" s="57"/>
      <c r="CD45" s="10">
        <v>7885537.450000007</v>
      </c>
      <c r="CE45" s="15">
        <v>0.24938311329460178</v>
      </c>
      <c r="CF45" s="11">
        <v>1864</v>
      </c>
      <c r="CG45" s="15">
        <v>0.27096961767698796</v>
      </c>
      <c r="CH45" s="57"/>
      <c r="CI45" s="56"/>
      <c r="CJ45" s="57"/>
      <c r="CK45" s="10">
        <v>10086491.850000003</v>
      </c>
      <c r="CL45" s="15">
        <v>0.23085547532263334</v>
      </c>
      <c r="CM45" s="11">
        <v>2581</v>
      </c>
      <c r="CN45" s="15">
        <v>0.2548632368914782</v>
      </c>
      <c r="CO45" s="57"/>
      <c r="CP45" s="56"/>
      <c r="CQ45" s="57"/>
    </row>
    <row r="46" spans="1:95" ht="12.75">
      <c r="A46" s="9" t="s">
        <v>39</v>
      </c>
      <c r="B46" s="9"/>
      <c r="C46" s="9"/>
      <c r="D46" s="10">
        <v>0</v>
      </c>
      <c r="E46" s="15">
        <v>0</v>
      </c>
      <c r="F46" s="11">
        <v>0</v>
      </c>
      <c r="G46" s="15">
        <v>0</v>
      </c>
      <c r="H46" s="15"/>
      <c r="I46" s="10">
        <v>0</v>
      </c>
      <c r="J46" s="15">
        <v>0</v>
      </c>
      <c r="K46" s="11">
        <v>0</v>
      </c>
      <c r="L46" s="15">
        <v>0</v>
      </c>
      <c r="M46" s="57"/>
      <c r="N46" s="56"/>
      <c r="O46" s="57"/>
      <c r="P46" s="15"/>
      <c r="Q46" s="10">
        <v>10404.6</v>
      </c>
      <c r="R46" s="15">
        <v>0.00030076083802719225</v>
      </c>
      <c r="S46" s="11">
        <v>4</v>
      </c>
      <c r="T46" s="15">
        <v>0.0005016932145992726</v>
      </c>
      <c r="U46" s="57"/>
      <c r="V46" s="56"/>
      <c r="W46" s="57"/>
      <c r="X46" s="15"/>
      <c r="Y46" s="10">
        <v>7429.84</v>
      </c>
      <c r="Z46" s="15">
        <v>0.00023280410646159649</v>
      </c>
      <c r="AA46" s="11">
        <v>3</v>
      </c>
      <c r="AB46" s="15">
        <v>0.0003925160277377993</v>
      </c>
      <c r="AC46" s="57"/>
      <c r="AD46" s="56"/>
      <c r="AE46" s="57"/>
      <c r="AF46" s="15"/>
      <c r="AG46" s="10">
        <v>8750.71</v>
      </c>
      <c r="AH46" s="15">
        <v>6.573448100767076E-05</v>
      </c>
      <c r="AI46" s="11">
        <v>3</v>
      </c>
      <c r="AJ46" s="15">
        <v>0.0001868460388639761</v>
      </c>
      <c r="AK46" s="57"/>
      <c r="AL46" s="56"/>
      <c r="AM46" s="57"/>
      <c r="AN46" s="10">
        <v>0</v>
      </c>
      <c r="AO46" s="15">
        <v>0</v>
      </c>
      <c r="AP46" s="11">
        <v>0</v>
      </c>
      <c r="AQ46" s="15">
        <v>0</v>
      </c>
      <c r="AR46" s="57"/>
      <c r="AS46" s="56"/>
      <c r="AT46" s="57"/>
      <c r="AU46" s="10">
        <v>0</v>
      </c>
      <c r="AV46" s="15">
        <v>0</v>
      </c>
      <c r="AW46" s="11">
        <v>0</v>
      </c>
      <c r="AX46" s="15">
        <v>0</v>
      </c>
      <c r="AY46" s="57"/>
      <c r="AZ46" s="56"/>
      <c r="BA46" s="57"/>
      <c r="BB46" s="10">
        <v>0</v>
      </c>
      <c r="BC46" s="15">
        <v>0</v>
      </c>
      <c r="BD46" s="11">
        <v>0</v>
      </c>
      <c r="BE46" s="15">
        <v>0</v>
      </c>
      <c r="BF46" s="57"/>
      <c r="BG46" s="56"/>
      <c r="BH46" s="57"/>
      <c r="BI46" s="10">
        <v>0</v>
      </c>
      <c r="BJ46" s="15">
        <v>0</v>
      </c>
      <c r="BK46" s="11">
        <v>0</v>
      </c>
      <c r="BL46" s="15">
        <v>0</v>
      </c>
      <c r="BM46" s="57"/>
      <c r="BN46" s="56"/>
      <c r="BO46" s="57"/>
      <c r="BP46" s="10">
        <v>0</v>
      </c>
      <c r="BQ46" s="15">
        <v>0</v>
      </c>
      <c r="BR46" s="11">
        <v>0</v>
      </c>
      <c r="BS46" s="15">
        <v>0</v>
      </c>
      <c r="BT46" s="57"/>
      <c r="BU46" s="56"/>
      <c r="BV46" s="57"/>
      <c r="BW46" s="10">
        <v>0</v>
      </c>
      <c r="BX46" s="15">
        <v>0</v>
      </c>
      <c r="BY46" s="11">
        <v>0</v>
      </c>
      <c r="BZ46" s="15">
        <v>0</v>
      </c>
      <c r="CA46" s="57"/>
      <c r="CB46" s="56"/>
      <c r="CC46" s="57"/>
      <c r="CD46" s="10">
        <v>0</v>
      </c>
      <c r="CE46" s="15">
        <v>0</v>
      </c>
      <c r="CF46" s="11">
        <v>0</v>
      </c>
      <c r="CG46" s="15">
        <v>0</v>
      </c>
      <c r="CH46" s="57"/>
      <c r="CI46" s="56"/>
      <c r="CJ46" s="57"/>
      <c r="CK46" s="10">
        <v>0</v>
      </c>
      <c r="CL46" s="15">
        <v>0</v>
      </c>
      <c r="CM46" s="11">
        <v>0</v>
      </c>
      <c r="CN46" s="15">
        <v>0</v>
      </c>
      <c r="CO46" s="57"/>
      <c r="CP46" s="56"/>
      <c r="CQ46" s="57"/>
    </row>
    <row r="47" spans="1:95" ht="12.75">
      <c r="A47" s="9" t="s">
        <v>101</v>
      </c>
      <c r="B47" s="9"/>
      <c r="C47" s="9"/>
      <c r="D47" s="10">
        <v>1480771.76</v>
      </c>
      <c r="E47" s="15">
        <v>0.03827423000849485</v>
      </c>
      <c r="F47" s="11">
        <v>316</v>
      </c>
      <c r="G47" s="15">
        <v>0.03769083969465649</v>
      </c>
      <c r="H47" s="15"/>
      <c r="I47" s="10">
        <v>1202724.22</v>
      </c>
      <c r="J47" s="15">
        <v>0.037892575297721116</v>
      </c>
      <c r="K47" s="11">
        <v>295</v>
      </c>
      <c r="L47" s="15">
        <v>0.03869359916054565</v>
      </c>
      <c r="M47" s="57"/>
      <c r="N47" s="56"/>
      <c r="O47" s="57"/>
      <c r="P47" s="15"/>
      <c r="Q47" s="10">
        <v>1101867.51</v>
      </c>
      <c r="R47" s="15">
        <v>0.03185116157300957</v>
      </c>
      <c r="S47" s="11">
        <v>579</v>
      </c>
      <c r="T47" s="15">
        <v>0.0726200928132447</v>
      </c>
      <c r="U47" s="57"/>
      <c r="V47" s="56"/>
      <c r="W47" s="57"/>
      <c r="X47" s="15"/>
      <c r="Y47" s="10">
        <v>1041548.5199999936</v>
      </c>
      <c r="Z47" s="15">
        <v>0.03263553085059662</v>
      </c>
      <c r="AA47" s="11">
        <v>844</v>
      </c>
      <c r="AB47" s="15">
        <v>0.1104278424702342</v>
      </c>
      <c r="AC47" s="57"/>
      <c r="AD47" s="56"/>
      <c r="AE47" s="57"/>
      <c r="AF47" s="15"/>
      <c r="AG47" s="10">
        <v>2193424.15</v>
      </c>
      <c r="AH47" s="15">
        <v>0.04069557212570813</v>
      </c>
      <c r="AI47" s="11">
        <v>1014</v>
      </c>
      <c r="AJ47" s="15">
        <v>0.09473094170403587</v>
      </c>
      <c r="AK47" s="57"/>
      <c r="AL47" s="56"/>
      <c r="AM47" s="57"/>
      <c r="AN47" s="10">
        <v>1842975.59</v>
      </c>
      <c r="AO47" s="15">
        <v>0.030029974735633354</v>
      </c>
      <c r="AP47" s="11">
        <v>279</v>
      </c>
      <c r="AQ47" s="15">
        <v>0.02586686445392175</v>
      </c>
      <c r="AR47" s="57"/>
      <c r="AS47" s="56"/>
      <c r="AT47" s="57"/>
      <c r="AU47" s="10">
        <v>1788636.06</v>
      </c>
      <c r="AV47" s="15">
        <v>0.03270370484284062</v>
      </c>
      <c r="AW47" s="11">
        <v>268</v>
      </c>
      <c r="AX47" s="15">
        <v>0.026840260390585877</v>
      </c>
      <c r="AY47" s="57"/>
      <c r="AZ47" s="56"/>
      <c r="BA47" s="57"/>
      <c r="BB47" s="10">
        <v>1712293.42</v>
      </c>
      <c r="BC47" s="15">
        <v>0.03281410020945869</v>
      </c>
      <c r="BD47" s="11">
        <v>255</v>
      </c>
      <c r="BE47" s="15">
        <v>0.025883069427527404</v>
      </c>
      <c r="BF47" s="57"/>
      <c r="BG47" s="56"/>
      <c r="BH47" s="57"/>
      <c r="BI47" s="10">
        <v>1552149.87</v>
      </c>
      <c r="BJ47" s="15">
        <v>0.03443259601840497</v>
      </c>
      <c r="BK47" s="11">
        <v>234</v>
      </c>
      <c r="BL47" s="15">
        <v>0.02595098147942775</v>
      </c>
      <c r="BM47" s="57"/>
      <c r="BN47" s="56"/>
      <c r="BO47" s="57"/>
      <c r="BP47" s="10">
        <v>1412681.43</v>
      </c>
      <c r="BQ47" s="15">
        <v>0.03411436350984242</v>
      </c>
      <c r="BR47" s="11">
        <v>209</v>
      </c>
      <c r="BS47" s="15">
        <v>0.024591128368043298</v>
      </c>
      <c r="BT47" s="57"/>
      <c r="BU47" s="56"/>
      <c r="BV47" s="57"/>
      <c r="BW47" s="10">
        <v>1216178.27</v>
      </c>
      <c r="BX47" s="15">
        <v>0.033354102369505784</v>
      </c>
      <c r="BY47" s="11">
        <v>185</v>
      </c>
      <c r="BZ47" s="15">
        <v>0.02394202148311117</v>
      </c>
      <c r="CA47" s="57"/>
      <c r="CB47" s="56"/>
      <c r="CC47" s="57"/>
      <c r="CD47" s="10">
        <v>1071638.15</v>
      </c>
      <c r="CE47" s="15">
        <v>0.0338909630277981</v>
      </c>
      <c r="CF47" s="11">
        <v>172</v>
      </c>
      <c r="CG47" s="15">
        <v>0.025003634249164124</v>
      </c>
      <c r="CH47" s="57"/>
      <c r="CI47" s="56"/>
      <c r="CJ47" s="57"/>
      <c r="CK47" s="10">
        <v>1639820.19</v>
      </c>
      <c r="CL47" s="15">
        <v>0.03753152979607084</v>
      </c>
      <c r="CM47" s="11">
        <v>277</v>
      </c>
      <c r="CN47" s="15">
        <v>0.027352621704354697</v>
      </c>
      <c r="CO47" s="57"/>
      <c r="CP47" s="56"/>
      <c r="CQ47" s="57"/>
    </row>
    <row r="48" spans="1:95" ht="12.75">
      <c r="A48" s="9"/>
      <c r="B48" s="9"/>
      <c r="C48" s="9"/>
      <c r="D48" s="10"/>
      <c r="E48" s="9"/>
      <c r="F48" s="11"/>
      <c r="G48" s="9"/>
      <c r="H48" s="9"/>
      <c r="I48" s="10"/>
      <c r="J48" s="9"/>
      <c r="K48" s="11"/>
      <c r="L48" s="9"/>
      <c r="M48" s="55"/>
      <c r="N48" s="56"/>
      <c r="O48" s="55"/>
      <c r="P48" s="9"/>
      <c r="Q48" s="10"/>
      <c r="R48" s="9"/>
      <c r="S48" s="11"/>
      <c r="T48" s="9"/>
      <c r="U48" s="55"/>
      <c r="V48" s="56"/>
      <c r="W48" s="55"/>
      <c r="X48" s="9"/>
      <c r="Y48" s="10"/>
      <c r="Z48" s="9"/>
      <c r="AA48" s="11"/>
      <c r="AB48" s="9"/>
      <c r="AC48" s="55"/>
      <c r="AD48" s="56"/>
      <c r="AE48" s="55"/>
      <c r="AF48" s="9"/>
      <c r="AG48" s="10"/>
      <c r="AH48" s="9"/>
      <c r="AI48" s="11"/>
      <c r="AJ48" s="9"/>
      <c r="AK48" s="55"/>
      <c r="AL48" s="56"/>
      <c r="AM48" s="55"/>
      <c r="AN48" s="10"/>
      <c r="AO48" s="9"/>
      <c r="AP48" s="11"/>
      <c r="AQ48" s="9"/>
      <c r="AR48" s="55"/>
      <c r="AS48" s="56"/>
      <c r="AT48" s="55"/>
      <c r="AU48" s="10"/>
      <c r="AV48" s="9"/>
      <c r="AW48" s="11"/>
      <c r="AX48" s="9"/>
      <c r="AY48" s="55"/>
      <c r="AZ48" s="56"/>
      <c r="BA48" s="55"/>
      <c r="BB48" s="10"/>
      <c r="BC48" s="9"/>
      <c r="BD48" s="11"/>
      <c r="BE48" s="9"/>
      <c r="BF48" s="55"/>
      <c r="BG48" s="56"/>
      <c r="BH48" s="55"/>
      <c r="BI48" s="10"/>
      <c r="BJ48" s="9"/>
      <c r="BK48" s="11"/>
      <c r="BL48" s="9"/>
      <c r="BM48" s="55"/>
      <c r="BN48" s="56"/>
      <c r="BO48" s="55"/>
      <c r="BP48" s="10"/>
      <c r="BQ48" s="9"/>
      <c r="BR48" s="11"/>
      <c r="BS48" s="9"/>
      <c r="BT48" s="55"/>
      <c r="BU48" s="56"/>
      <c r="BV48" s="55"/>
      <c r="BW48" s="10"/>
      <c r="BX48" s="9"/>
      <c r="BY48" s="11"/>
      <c r="BZ48" s="9"/>
      <c r="CA48" s="55"/>
      <c r="CB48" s="56"/>
      <c r="CC48" s="55"/>
      <c r="CD48" s="10"/>
      <c r="CE48" s="9"/>
      <c r="CF48" s="11"/>
      <c r="CG48" s="9"/>
      <c r="CH48" s="55"/>
      <c r="CI48" s="56"/>
      <c r="CJ48" s="55"/>
      <c r="CK48" s="10"/>
      <c r="CL48" s="9"/>
      <c r="CM48" s="11"/>
      <c r="CN48" s="9"/>
      <c r="CO48" s="55"/>
      <c r="CP48" s="56"/>
      <c r="CQ48" s="55"/>
    </row>
    <row r="49" spans="1:95" ht="13.5" thickBot="1">
      <c r="A49" s="9"/>
      <c r="B49" s="13"/>
      <c r="C49" s="13"/>
      <c r="D49" s="22">
        <f>SUM(D35:D47)</f>
        <v>38688479.419999994</v>
      </c>
      <c r="E49" s="24"/>
      <c r="F49" s="23">
        <f>SUM(F35:F47)</f>
        <v>8384</v>
      </c>
      <c r="G49" s="24"/>
      <c r="H49" s="24"/>
      <c r="I49" s="22">
        <f>SUM(I35:I48)</f>
        <v>31740366.300000004</v>
      </c>
      <c r="J49" s="24"/>
      <c r="K49" s="23">
        <f>SUM(K35:K48)</f>
        <v>7624</v>
      </c>
      <c r="L49" s="24"/>
      <c r="M49" s="58"/>
      <c r="N49" s="32"/>
      <c r="O49" s="58"/>
      <c r="P49" s="24"/>
      <c r="Q49" s="22">
        <f>SUM(Q35:Q48)</f>
        <v>34594264.56000001</v>
      </c>
      <c r="R49" s="24"/>
      <c r="S49" s="23">
        <f>SUM(S35:S48)</f>
        <v>7973</v>
      </c>
      <c r="T49" s="24"/>
      <c r="U49" s="58"/>
      <c r="V49" s="32"/>
      <c r="W49" s="58"/>
      <c r="X49" s="24"/>
      <c r="Y49" s="22">
        <f>SUM(Y35:Y48)</f>
        <v>31914557.319999985</v>
      </c>
      <c r="Z49" s="24"/>
      <c r="AA49" s="23">
        <f>SUM(AA35:AA48)</f>
        <v>7643</v>
      </c>
      <c r="AB49" s="24"/>
      <c r="AC49" s="58"/>
      <c r="AD49" s="32"/>
      <c r="AE49" s="58"/>
      <c r="AF49" s="24"/>
      <c r="AG49" s="22">
        <f>SUM(AG35:AG48)</f>
        <v>53903556.75</v>
      </c>
      <c r="AH49" s="24"/>
      <c r="AI49" s="23">
        <f>SUM(AI35:AI48)</f>
        <v>10705</v>
      </c>
      <c r="AJ49" s="24"/>
      <c r="AK49" s="58"/>
      <c r="AL49" s="32"/>
      <c r="AM49" s="58"/>
      <c r="AN49" s="22">
        <f>SUM(AN35:AN48)</f>
        <v>61371200.150000066</v>
      </c>
      <c r="AO49" s="24"/>
      <c r="AP49" s="23">
        <f>SUM(AP35:AP48)</f>
        <v>10786</v>
      </c>
      <c r="AQ49" s="24"/>
      <c r="AR49" s="58"/>
      <c r="AS49" s="32"/>
      <c r="AT49" s="58"/>
      <c r="AU49" s="22">
        <f>SUM(AU35:AU48)</f>
        <v>54692153.94999999</v>
      </c>
      <c r="AV49" s="24"/>
      <c r="AW49" s="23">
        <f>SUM(AW35:AW48)</f>
        <v>9985</v>
      </c>
      <c r="AX49" s="24"/>
      <c r="AY49" s="58"/>
      <c r="AZ49" s="32"/>
      <c r="BA49" s="58"/>
      <c r="BB49" s="22">
        <f>SUM(BB35:BB48)</f>
        <v>52181635.61000003</v>
      </c>
      <c r="BC49" s="24"/>
      <c r="BD49" s="23">
        <f>SUM(BD35:BD48)</f>
        <v>9852</v>
      </c>
      <c r="BE49" s="24"/>
      <c r="BF49" s="58"/>
      <c r="BG49" s="32"/>
      <c r="BH49" s="58"/>
      <c r="BI49" s="22">
        <f>SUM(BI35:BI48)</f>
        <v>45077921.78000002</v>
      </c>
      <c r="BJ49" s="24"/>
      <c r="BK49" s="23">
        <f>SUM(BK35:BK48)</f>
        <v>9017</v>
      </c>
      <c r="BL49" s="24"/>
      <c r="BM49" s="58"/>
      <c r="BN49" s="32"/>
      <c r="BO49" s="58"/>
      <c r="BP49" s="22">
        <f>SUM(BP35:BP48)</f>
        <v>41410165.23999997</v>
      </c>
      <c r="BQ49" s="24"/>
      <c r="BR49" s="23">
        <f>SUM(BR35:BR48)</f>
        <v>8499</v>
      </c>
      <c r="BS49" s="24"/>
      <c r="BT49" s="58"/>
      <c r="BU49" s="32"/>
      <c r="BV49" s="58"/>
      <c r="BW49" s="22">
        <f>SUM(BW35:BW48)</f>
        <v>36462629.29</v>
      </c>
      <c r="BX49" s="24"/>
      <c r="BY49" s="23">
        <f>SUM(BY35:BY48)</f>
        <v>7727</v>
      </c>
      <c r="BZ49" s="24"/>
      <c r="CA49" s="58"/>
      <c r="CB49" s="32"/>
      <c r="CC49" s="58"/>
      <c r="CD49" s="22">
        <f>SUM(CD35:CD48)</f>
        <v>31620174.06000001</v>
      </c>
      <c r="CE49" s="24"/>
      <c r="CF49" s="23">
        <f>SUM(CF35:CF48)</f>
        <v>6879</v>
      </c>
      <c r="CG49" s="24"/>
      <c r="CH49" s="58"/>
      <c r="CI49" s="32"/>
      <c r="CJ49" s="58"/>
      <c r="CK49" s="22">
        <f>SUM(CK35:CK48)</f>
        <v>43691802.570000015</v>
      </c>
      <c r="CL49" s="24"/>
      <c r="CM49" s="23">
        <f>SUM(CM35:CM48)</f>
        <v>10127</v>
      </c>
      <c r="CN49" s="24"/>
      <c r="CO49" s="58"/>
      <c r="CP49" s="32"/>
      <c r="CQ49" s="58"/>
    </row>
    <row r="50" spans="1:95" ht="13.5" thickTop="1">
      <c r="A50" s="9"/>
      <c r="B50" s="9"/>
      <c r="C50" s="9"/>
      <c r="D50" s="10"/>
      <c r="E50" s="9"/>
      <c r="F50" s="11"/>
      <c r="G50" s="9"/>
      <c r="H50" s="9"/>
      <c r="I50" s="10"/>
      <c r="J50" s="9"/>
      <c r="K50" s="11"/>
      <c r="L50" s="9"/>
      <c r="M50" s="55"/>
      <c r="N50" s="56"/>
      <c r="O50" s="55"/>
      <c r="P50" s="9"/>
      <c r="Q50" s="10"/>
      <c r="R50" s="9"/>
      <c r="S50" s="11"/>
      <c r="T50" s="9"/>
      <c r="U50" s="55"/>
      <c r="V50" s="56"/>
      <c r="W50" s="55"/>
      <c r="X50" s="9"/>
      <c r="Y50" s="10"/>
      <c r="Z50" s="9"/>
      <c r="AA50" s="11"/>
      <c r="AB50" s="9"/>
      <c r="AC50" s="55"/>
      <c r="AD50" s="56"/>
      <c r="AE50" s="55"/>
      <c r="AF50" s="9"/>
      <c r="AG50" s="10"/>
      <c r="AH50" s="9"/>
      <c r="AI50" s="11"/>
      <c r="AJ50" s="9"/>
      <c r="AK50" s="55"/>
      <c r="AL50" s="56"/>
      <c r="AM50" s="55"/>
      <c r="AN50" s="10"/>
      <c r="AO50" s="9"/>
      <c r="AP50" s="11"/>
      <c r="AQ50" s="9"/>
      <c r="AR50" s="55"/>
      <c r="AS50" s="56"/>
      <c r="AT50" s="55"/>
      <c r="AU50" s="10"/>
      <c r="AV50" s="9"/>
      <c r="AW50" s="11"/>
      <c r="AX50" s="9"/>
      <c r="AY50" s="55"/>
      <c r="AZ50" s="56"/>
      <c r="BA50" s="55"/>
      <c r="BB50" s="10"/>
      <c r="BC50" s="9"/>
      <c r="BD50" s="11"/>
      <c r="BE50" s="9"/>
      <c r="BF50" s="55"/>
      <c r="BG50" s="56"/>
      <c r="BH50" s="55"/>
      <c r="BI50" s="10"/>
      <c r="BJ50" s="9"/>
      <c r="BK50" s="11"/>
      <c r="BL50" s="9"/>
      <c r="BM50" s="55"/>
      <c r="BN50" s="56"/>
      <c r="BO50" s="55"/>
      <c r="BP50" s="10"/>
      <c r="BQ50" s="9"/>
      <c r="BR50" s="11"/>
      <c r="BS50" s="9"/>
      <c r="BT50" s="55"/>
      <c r="BU50" s="56"/>
      <c r="BV50" s="55"/>
      <c r="BW50" s="10"/>
      <c r="BX50" s="9"/>
      <c r="BY50" s="11"/>
      <c r="BZ50" s="9"/>
      <c r="CA50" s="55"/>
      <c r="CB50" s="56"/>
      <c r="CC50" s="55"/>
      <c r="CD50" s="10"/>
      <c r="CE50" s="9"/>
      <c r="CF50" s="11"/>
      <c r="CG50" s="9"/>
      <c r="CH50" s="55"/>
      <c r="CI50" s="56"/>
      <c r="CJ50" s="55"/>
      <c r="CK50" s="10"/>
      <c r="CL50" s="9"/>
      <c r="CM50" s="11"/>
      <c r="CN50" s="9"/>
      <c r="CO50" s="55"/>
      <c r="CP50" s="56"/>
      <c r="CQ50" s="55"/>
    </row>
    <row r="51" spans="1:95" ht="12.75">
      <c r="A51" s="9"/>
      <c r="B51" s="9"/>
      <c r="C51" s="9"/>
      <c r="D51" s="10"/>
      <c r="E51" s="9"/>
      <c r="F51" s="11"/>
      <c r="G51" s="9"/>
      <c r="H51" s="9"/>
      <c r="I51" s="9"/>
      <c r="J51" s="9"/>
      <c r="K51" s="9"/>
      <c r="L51" s="10"/>
      <c r="M51" s="55"/>
      <c r="N51" s="56"/>
      <c r="O51" s="55"/>
      <c r="P51" s="9"/>
      <c r="Q51" s="9"/>
      <c r="R51" s="9"/>
      <c r="S51" s="9"/>
      <c r="T51" s="10"/>
      <c r="U51" s="55"/>
      <c r="V51" s="56"/>
      <c r="W51" s="55"/>
      <c r="X51" s="9"/>
      <c r="Y51" s="9"/>
      <c r="Z51" s="9"/>
      <c r="AA51" s="9"/>
      <c r="AB51" s="10"/>
      <c r="AC51" s="55"/>
      <c r="AD51" s="56"/>
      <c r="AE51" s="55"/>
      <c r="AF51" s="9"/>
      <c r="AG51" s="9"/>
      <c r="AH51" s="9"/>
      <c r="AI51" s="9"/>
      <c r="AJ51" s="10"/>
      <c r="AK51" s="55"/>
      <c r="AL51" s="56"/>
      <c r="AM51" s="55"/>
      <c r="AN51" s="9"/>
      <c r="AO51" s="9"/>
      <c r="AP51" s="9"/>
      <c r="AQ51" s="10"/>
      <c r="AR51" s="55"/>
      <c r="AS51" s="56"/>
      <c r="AT51" s="55"/>
      <c r="AU51" s="9"/>
      <c r="AV51" s="9"/>
      <c r="AW51" s="9"/>
      <c r="AX51" s="10"/>
      <c r="AY51" s="55"/>
      <c r="AZ51" s="56"/>
      <c r="BA51" s="55"/>
      <c r="BB51" s="9"/>
      <c r="BC51" s="9"/>
      <c r="BD51" s="9"/>
      <c r="BE51" s="10"/>
      <c r="BF51" s="55"/>
      <c r="BG51" s="56"/>
      <c r="BH51" s="55"/>
      <c r="BI51" s="9"/>
      <c r="BJ51" s="9"/>
      <c r="BK51" s="9"/>
      <c r="BL51" s="10"/>
      <c r="BM51" s="55"/>
      <c r="BN51" s="56"/>
      <c r="BO51" s="55"/>
      <c r="BP51" s="9"/>
      <c r="BQ51" s="9"/>
      <c r="BR51" s="9"/>
      <c r="BS51" s="10"/>
      <c r="BT51" s="55"/>
      <c r="BU51" s="56"/>
      <c r="BV51" s="55"/>
      <c r="BW51" s="9"/>
      <c r="BX51" s="9"/>
      <c r="BY51" s="9"/>
      <c r="BZ51" s="10"/>
      <c r="CA51" s="55"/>
      <c r="CB51" s="56"/>
      <c r="CC51" s="55"/>
      <c r="CD51" s="9"/>
      <c r="CE51" s="9"/>
      <c r="CF51" s="9"/>
      <c r="CG51" s="10"/>
      <c r="CH51" s="55"/>
      <c r="CI51" s="56"/>
      <c r="CJ51" s="55"/>
      <c r="CK51" s="9"/>
      <c r="CL51" s="9"/>
      <c r="CM51" s="9"/>
      <c r="CN51" s="10"/>
      <c r="CO51" s="55"/>
      <c r="CP51" s="56"/>
      <c r="CQ51" s="55"/>
    </row>
    <row r="52" spans="1:95" ht="12.75">
      <c r="A52" s="9"/>
      <c r="B52" s="9"/>
      <c r="C52" s="9"/>
      <c r="D52" s="10"/>
      <c r="E52" s="9"/>
      <c r="F52" s="11"/>
      <c r="G52" s="9"/>
      <c r="H52" s="9"/>
      <c r="I52" s="9"/>
      <c r="J52" s="9"/>
      <c r="K52" s="9"/>
      <c r="L52" s="10"/>
      <c r="M52" s="9"/>
      <c r="N52" s="11"/>
      <c r="O52" s="9"/>
      <c r="P52" s="9"/>
      <c r="Q52" s="9"/>
      <c r="R52" s="9"/>
      <c r="S52" s="9"/>
      <c r="T52" s="10"/>
      <c r="U52" s="9"/>
      <c r="V52" s="11"/>
      <c r="W52" s="9"/>
      <c r="X52" s="9"/>
      <c r="Y52" s="9"/>
      <c r="Z52" s="9"/>
      <c r="AA52" s="9"/>
      <c r="AB52" s="10"/>
      <c r="AC52" s="9"/>
      <c r="AD52" s="11"/>
      <c r="AE52" s="9"/>
      <c r="AF52" s="9"/>
      <c r="AG52" s="9"/>
      <c r="AH52" s="9"/>
      <c r="AI52" s="9"/>
      <c r="AJ52" s="10"/>
      <c r="AK52" s="9"/>
      <c r="AL52" s="11"/>
      <c r="AM52" s="9"/>
      <c r="AN52" s="9"/>
      <c r="AO52" s="9"/>
      <c r="AP52" s="9"/>
      <c r="AQ52" s="10"/>
      <c r="AR52" s="9"/>
      <c r="AS52" s="11"/>
      <c r="AT52" s="9"/>
      <c r="AU52" s="9"/>
      <c r="AV52" s="9"/>
      <c r="AW52" s="9"/>
      <c r="AX52" s="10"/>
      <c r="AY52" s="9"/>
      <c r="AZ52" s="11"/>
      <c r="BA52" s="9"/>
      <c r="BB52" s="9"/>
      <c r="BC52" s="9"/>
      <c r="BD52" s="9"/>
      <c r="BE52" s="10"/>
      <c r="BF52" s="9"/>
      <c r="BG52" s="11"/>
      <c r="BH52" s="9"/>
      <c r="BI52" s="9"/>
      <c r="BJ52" s="9"/>
      <c r="BK52" s="9"/>
      <c r="BL52" s="10"/>
      <c r="BM52" s="9"/>
      <c r="BN52" s="11"/>
      <c r="BO52" s="9"/>
      <c r="BP52" s="9"/>
      <c r="BQ52" s="9"/>
      <c r="BR52" s="9"/>
      <c r="BS52" s="10"/>
      <c r="BT52" s="9"/>
      <c r="BU52" s="11"/>
      <c r="BV52" s="9"/>
      <c r="BW52" s="9"/>
      <c r="BX52" s="9"/>
      <c r="BY52" s="9"/>
      <c r="BZ52" s="10"/>
      <c r="CA52" s="9"/>
      <c r="CB52" s="11"/>
      <c r="CC52" s="9"/>
      <c r="CD52" s="9"/>
      <c r="CE52" s="9"/>
      <c r="CF52" s="9"/>
      <c r="CG52" s="10"/>
      <c r="CH52" s="9"/>
      <c r="CI52" s="11"/>
      <c r="CJ52" s="9"/>
      <c r="CK52" s="9"/>
      <c r="CL52" s="9"/>
      <c r="CM52" s="9"/>
      <c r="CN52" s="10"/>
      <c r="CO52" s="9"/>
      <c r="CP52" s="11"/>
      <c r="CQ52" s="9"/>
    </row>
    <row r="53" spans="1:95" ht="12.75">
      <c r="A53" s="9"/>
      <c r="B53" s="9"/>
      <c r="C53" s="9"/>
      <c r="D53" s="10"/>
      <c r="E53" s="9"/>
      <c r="F53" s="11"/>
      <c r="G53" s="9"/>
      <c r="H53" s="9"/>
      <c r="I53" s="9"/>
      <c r="J53" s="9"/>
      <c r="K53" s="9"/>
      <c r="L53" s="10"/>
      <c r="M53" s="9"/>
      <c r="N53" s="11"/>
      <c r="O53" s="9"/>
      <c r="P53" s="9"/>
      <c r="Q53" s="9"/>
      <c r="R53" s="9"/>
      <c r="S53" s="9"/>
      <c r="T53" s="10"/>
      <c r="U53" s="9"/>
      <c r="V53" s="11"/>
      <c r="W53" s="9"/>
      <c r="X53" s="9"/>
      <c r="Y53" s="9"/>
      <c r="Z53" s="9"/>
      <c r="AA53" s="9"/>
      <c r="AB53" s="10"/>
      <c r="AC53" s="9"/>
      <c r="AD53" s="11"/>
      <c r="AE53" s="9"/>
      <c r="AF53" s="9"/>
      <c r="AG53" s="9"/>
      <c r="AH53" s="9"/>
      <c r="AI53" s="9"/>
      <c r="AJ53" s="10"/>
      <c r="AK53" s="9"/>
      <c r="AL53" s="11"/>
      <c r="AM53" s="9"/>
      <c r="AN53" s="9"/>
      <c r="AO53" s="9"/>
      <c r="AP53" s="9"/>
      <c r="AQ53" s="10"/>
      <c r="AR53" s="9"/>
      <c r="AS53" s="11"/>
      <c r="AT53" s="9"/>
      <c r="AU53" s="9"/>
      <c r="AV53" s="9"/>
      <c r="AW53" s="9"/>
      <c r="AX53" s="10"/>
      <c r="AY53" s="9"/>
      <c r="AZ53" s="11"/>
      <c r="BA53" s="9"/>
      <c r="BB53" s="9"/>
      <c r="BC53" s="9"/>
      <c r="BD53" s="9"/>
      <c r="BE53" s="10"/>
      <c r="BF53" s="9"/>
      <c r="BG53" s="11"/>
      <c r="BH53" s="9"/>
      <c r="BI53" s="9"/>
      <c r="BJ53" s="9"/>
      <c r="BK53" s="9"/>
      <c r="BL53" s="10"/>
      <c r="BM53" s="9"/>
      <c r="BN53" s="11"/>
      <c r="BO53" s="9"/>
      <c r="BP53" s="9"/>
      <c r="BQ53" s="9"/>
      <c r="BR53" s="9"/>
      <c r="BS53" s="10"/>
      <c r="BT53" s="9"/>
      <c r="BU53" s="11"/>
      <c r="BV53" s="9"/>
      <c r="BW53" s="9"/>
      <c r="BX53" s="9"/>
      <c r="BY53" s="9"/>
      <c r="BZ53" s="10"/>
      <c r="CA53" s="9"/>
      <c r="CB53" s="11"/>
      <c r="CC53" s="9"/>
      <c r="CD53" s="9"/>
      <c r="CE53" s="9"/>
      <c r="CF53" s="9"/>
      <c r="CG53" s="10"/>
      <c r="CH53" s="9"/>
      <c r="CI53" s="11"/>
      <c r="CJ53" s="9"/>
      <c r="CK53" s="9"/>
      <c r="CL53" s="9"/>
      <c r="CM53" s="9"/>
      <c r="CN53" s="10"/>
      <c r="CO53" s="9"/>
      <c r="CP53" s="11"/>
      <c r="CQ53" s="9"/>
    </row>
    <row r="54" spans="1:95" ht="12.75">
      <c r="A54" s="20" t="s">
        <v>121</v>
      </c>
      <c r="B54" s="9"/>
      <c r="C54" s="9"/>
      <c r="D54" s="10"/>
      <c r="E54" s="9"/>
      <c r="F54" s="11"/>
      <c r="G54" s="9"/>
      <c r="H54" s="9"/>
      <c r="I54" s="20" t="s">
        <v>121</v>
      </c>
      <c r="J54" s="9"/>
      <c r="K54" s="9"/>
      <c r="L54" s="10"/>
      <c r="M54" s="9"/>
      <c r="N54" s="11"/>
      <c r="O54" s="9"/>
      <c r="P54" s="9"/>
      <c r="Q54" s="20" t="s">
        <v>121</v>
      </c>
      <c r="R54" s="9"/>
      <c r="S54" s="9"/>
      <c r="T54" s="10"/>
      <c r="U54" s="9"/>
      <c r="V54" s="11"/>
      <c r="W54" s="9"/>
      <c r="X54" s="9"/>
      <c r="Y54" s="20" t="s">
        <v>121</v>
      </c>
      <c r="Z54" s="9"/>
      <c r="AA54" s="9"/>
      <c r="AB54" s="10"/>
      <c r="AC54" s="9"/>
      <c r="AD54" s="11"/>
      <c r="AE54" s="9"/>
      <c r="AF54" s="9"/>
      <c r="AG54" s="20" t="s">
        <v>121</v>
      </c>
      <c r="AH54" s="9"/>
      <c r="AI54" s="9"/>
      <c r="AJ54" s="10"/>
      <c r="AK54" s="9"/>
      <c r="AL54" s="11"/>
      <c r="AM54" s="9"/>
      <c r="AN54" s="20" t="s">
        <v>121</v>
      </c>
      <c r="AO54" s="9"/>
      <c r="AP54" s="9"/>
      <c r="AQ54" s="10"/>
      <c r="AR54" s="9"/>
      <c r="AS54" s="11"/>
      <c r="AT54" s="9"/>
      <c r="AU54" s="20" t="s">
        <v>121</v>
      </c>
      <c r="AV54" s="9"/>
      <c r="AW54" s="9"/>
      <c r="AX54" s="10"/>
      <c r="AY54" s="9"/>
      <c r="AZ54" s="11"/>
      <c r="BA54" s="9"/>
      <c r="BB54" s="20" t="s">
        <v>121</v>
      </c>
      <c r="BC54" s="9"/>
      <c r="BD54" s="9"/>
      <c r="BE54" s="10"/>
      <c r="BF54" s="9"/>
      <c r="BG54" s="11"/>
      <c r="BH54" s="9"/>
      <c r="BI54" s="20" t="s">
        <v>121</v>
      </c>
      <c r="BJ54" s="9"/>
      <c r="BK54" s="9"/>
      <c r="BL54" s="10"/>
      <c r="BM54" s="9"/>
      <c r="BN54" s="11"/>
      <c r="BO54" s="9"/>
      <c r="BP54" s="20" t="s">
        <v>121</v>
      </c>
      <c r="BQ54" s="9"/>
      <c r="BR54" s="9"/>
      <c r="BS54" s="10"/>
      <c r="BT54" s="9"/>
      <c r="BU54" s="11"/>
      <c r="BV54" s="9"/>
      <c r="BW54" s="20" t="s">
        <v>121</v>
      </c>
      <c r="BX54" s="9"/>
      <c r="BY54" s="9"/>
      <c r="BZ54" s="10"/>
      <c r="CA54" s="9"/>
      <c r="CB54" s="11"/>
      <c r="CC54" s="9"/>
      <c r="CD54" s="20" t="s">
        <v>121</v>
      </c>
      <c r="CE54" s="9"/>
      <c r="CF54" s="9"/>
      <c r="CG54" s="10"/>
      <c r="CH54" s="9"/>
      <c r="CI54" s="11"/>
      <c r="CJ54" s="9"/>
      <c r="CK54" s="20" t="s">
        <v>121</v>
      </c>
      <c r="CL54" s="9"/>
      <c r="CM54" s="9"/>
      <c r="CN54" s="10"/>
      <c r="CO54" s="9"/>
      <c r="CP54" s="11"/>
      <c r="CQ54" s="9"/>
    </row>
    <row r="55" spans="1:95" ht="12.75">
      <c r="A55" s="20"/>
      <c r="B55" s="9"/>
      <c r="C55" s="9"/>
      <c r="D55" s="10"/>
      <c r="E55" s="9"/>
      <c r="F55" s="11"/>
      <c r="G55" s="9"/>
      <c r="H55" s="9"/>
      <c r="I55" s="20"/>
      <c r="J55" s="9"/>
      <c r="K55" s="9"/>
      <c r="L55" s="10"/>
      <c r="M55" s="9"/>
      <c r="N55" s="11"/>
      <c r="O55" s="9"/>
      <c r="P55" s="9"/>
      <c r="Q55" s="20"/>
      <c r="R55" s="9"/>
      <c r="S55" s="9"/>
      <c r="T55" s="10"/>
      <c r="U55" s="9"/>
      <c r="V55" s="11"/>
      <c r="W55" s="9"/>
      <c r="X55" s="9"/>
      <c r="Y55" s="20"/>
      <c r="Z55" s="9"/>
      <c r="AA55" s="9"/>
      <c r="AB55" s="10"/>
      <c r="AC55" s="9"/>
      <c r="AD55" s="11"/>
      <c r="AE55" s="9"/>
      <c r="AF55" s="9"/>
      <c r="AG55" s="20"/>
      <c r="AH55" s="9"/>
      <c r="AI55" s="9"/>
      <c r="AJ55" s="10"/>
      <c r="AK55" s="9"/>
      <c r="AL55" s="11"/>
      <c r="AM55" s="9"/>
      <c r="AN55" s="20"/>
      <c r="AO55" s="9"/>
      <c r="AP55" s="9"/>
      <c r="AQ55" s="10"/>
      <c r="AR55" s="9"/>
      <c r="AS55" s="11"/>
      <c r="AT55" s="9"/>
      <c r="AU55" s="20"/>
      <c r="AV55" s="9"/>
      <c r="AW55" s="9"/>
      <c r="AX55" s="10"/>
      <c r="AY55" s="9"/>
      <c r="AZ55" s="11"/>
      <c r="BA55" s="9"/>
      <c r="BB55" s="20"/>
      <c r="BC55" s="9"/>
      <c r="BD55" s="9"/>
      <c r="BE55" s="10"/>
      <c r="BF55" s="9"/>
      <c r="BG55" s="11"/>
      <c r="BH55" s="9"/>
      <c r="BI55" s="20"/>
      <c r="BJ55" s="9"/>
      <c r="BK55" s="9"/>
      <c r="BL55" s="10"/>
      <c r="BM55" s="9"/>
      <c r="BN55" s="11"/>
      <c r="BO55" s="9"/>
      <c r="BP55" s="20"/>
      <c r="BQ55" s="9"/>
      <c r="BR55" s="9"/>
      <c r="BS55" s="10"/>
      <c r="BT55" s="9"/>
      <c r="BU55" s="11"/>
      <c r="BV55" s="9"/>
      <c r="BW55" s="20"/>
      <c r="BX55" s="9"/>
      <c r="BY55" s="9"/>
      <c r="BZ55" s="10"/>
      <c r="CA55" s="9"/>
      <c r="CB55" s="11"/>
      <c r="CC55" s="9"/>
      <c r="CD55" s="20"/>
      <c r="CE55" s="9"/>
      <c r="CF55" s="9"/>
      <c r="CG55" s="10"/>
      <c r="CH55" s="9"/>
      <c r="CI55" s="11"/>
      <c r="CJ55" s="9"/>
      <c r="CK55" s="20"/>
      <c r="CL55" s="9"/>
      <c r="CM55" s="9"/>
      <c r="CN55" s="10"/>
      <c r="CO55" s="9"/>
      <c r="CP55" s="11"/>
      <c r="CQ55" s="9"/>
    </row>
    <row r="56" spans="1:95" s="30" customFormat="1" ht="12.75">
      <c r="A56" s="26"/>
      <c r="B56" s="27"/>
      <c r="C56" s="27"/>
      <c r="D56" s="28" t="s">
        <v>143</v>
      </c>
      <c r="E56" s="27" t="s">
        <v>96</v>
      </c>
      <c r="F56" s="29" t="s">
        <v>97</v>
      </c>
      <c r="G56" s="27" t="s">
        <v>96</v>
      </c>
      <c r="H56" s="27"/>
      <c r="I56" s="28" t="s">
        <v>143</v>
      </c>
      <c r="J56" s="27" t="s">
        <v>96</v>
      </c>
      <c r="K56" s="29" t="s">
        <v>97</v>
      </c>
      <c r="L56" s="27" t="s">
        <v>96</v>
      </c>
      <c r="M56" s="27"/>
      <c r="N56" s="29"/>
      <c r="O56" s="27"/>
      <c r="P56" s="27"/>
      <c r="Q56" s="28" t="s">
        <v>143</v>
      </c>
      <c r="R56" s="27" t="s">
        <v>96</v>
      </c>
      <c r="S56" s="29" t="s">
        <v>97</v>
      </c>
      <c r="T56" s="27" t="s">
        <v>96</v>
      </c>
      <c r="U56" s="27"/>
      <c r="V56" s="29"/>
      <c r="W56" s="27"/>
      <c r="X56" s="27"/>
      <c r="Y56" s="28" t="s">
        <v>143</v>
      </c>
      <c r="Z56" s="27" t="s">
        <v>96</v>
      </c>
      <c r="AA56" s="29" t="s">
        <v>97</v>
      </c>
      <c r="AB56" s="27" t="s">
        <v>96</v>
      </c>
      <c r="AC56" s="27"/>
      <c r="AD56" s="29"/>
      <c r="AE56" s="27"/>
      <c r="AF56" s="27"/>
      <c r="AG56" s="28" t="s">
        <v>143</v>
      </c>
      <c r="AH56" s="27" t="s">
        <v>96</v>
      </c>
      <c r="AI56" s="29" t="s">
        <v>97</v>
      </c>
      <c r="AJ56" s="27" t="s">
        <v>96</v>
      </c>
      <c r="AK56" s="27"/>
      <c r="AL56" s="29"/>
      <c r="AM56" s="27"/>
      <c r="AN56" s="94" t="s">
        <v>143</v>
      </c>
      <c r="AO56" s="45" t="s">
        <v>96</v>
      </c>
      <c r="AP56" s="93" t="s">
        <v>97</v>
      </c>
      <c r="AQ56" s="45" t="s">
        <v>96</v>
      </c>
      <c r="AR56" s="27"/>
      <c r="AS56" s="29"/>
      <c r="AT56" s="27"/>
      <c r="AU56" s="94" t="s">
        <v>143</v>
      </c>
      <c r="AV56" s="45" t="s">
        <v>96</v>
      </c>
      <c r="AW56" s="93" t="s">
        <v>97</v>
      </c>
      <c r="AX56" s="27" t="s">
        <v>96</v>
      </c>
      <c r="AY56" s="27"/>
      <c r="AZ56" s="29"/>
      <c r="BA56" s="27"/>
      <c r="BB56" s="94" t="s">
        <v>143</v>
      </c>
      <c r="BC56" s="45" t="s">
        <v>96</v>
      </c>
      <c r="BD56" s="93" t="s">
        <v>97</v>
      </c>
      <c r="BE56" s="27" t="s">
        <v>96</v>
      </c>
      <c r="BF56" s="27"/>
      <c r="BG56" s="29"/>
      <c r="BH56" s="27"/>
      <c r="BI56" s="94" t="s">
        <v>143</v>
      </c>
      <c r="BJ56" s="45" t="s">
        <v>96</v>
      </c>
      <c r="BK56" s="93" t="s">
        <v>97</v>
      </c>
      <c r="BL56" s="27" t="s">
        <v>96</v>
      </c>
      <c r="BM56" s="27"/>
      <c r="BN56" s="29"/>
      <c r="BO56" s="27"/>
      <c r="BP56" s="94" t="s">
        <v>143</v>
      </c>
      <c r="BQ56" s="45" t="s">
        <v>96</v>
      </c>
      <c r="BR56" s="93" t="s">
        <v>97</v>
      </c>
      <c r="BS56" s="27" t="s">
        <v>96</v>
      </c>
      <c r="BT56" s="27"/>
      <c r="BU56" s="29"/>
      <c r="BV56" s="27"/>
      <c r="BW56" s="94" t="s">
        <v>143</v>
      </c>
      <c r="BX56" s="45" t="s">
        <v>96</v>
      </c>
      <c r="BY56" s="93" t="s">
        <v>97</v>
      </c>
      <c r="BZ56" s="27" t="s">
        <v>96</v>
      </c>
      <c r="CA56" s="27"/>
      <c r="CB56" s="29"/>
      <c r="CC56" s="27"/>
      <c r="CD56" s="94" t="s">
        <v>143</v>
      </c>
      <c r="CE56" s="45" t="s">
        <v>96</v>
      </c>
      <c r="CF56" s="93" t="s">
        <v>97</v>
      </c>
      <c r="CG56" s="27" t="s">
        <v>96</v>
      </c>
      <c r="CH56" s="27"/>
      <c r="CI56" s="29"/>
      <c r="CJ56" s="27"/>
      <c r="CK56" s="94" t="s">
        <v>143</v>
      </c>
      <c r="CL56" s="45" t="s">
        <v>96</v>
      </c>
      <c r="CM56" s="93" t="s">
        <v>97</v>
      </c>
      <c r="CN56" s="27" t="s">
        <v>96</v>
      </c>
      <c r="CO56" s="27"/>
      <c r="CP56" s="29"/>
      <c r="CQ56" s="27"/>
    </row>
    <row r="57" spans="1:95" ht="12.75">
      <c r="A57" s="13"/>
      <c r="B57" s="9"/>
      <c r="C57" s="9"/>
      <c r="D57" s="10"/>
      <c r="E57" s="9"/>
      <c r="F57" s="11"/>
      <c r="G57" s="9"/>
      <c r="H57" s="9"/>
      <c r="I57" s="10"/>
      <c r="J57" s="9"/>
      <c r="K57" s="11"/>
      <c r="L57" s="9"/>
      <c r="M57" s="9"/>
      <c r="N57" s="11"/>
      <c r="O57" s="9"/>
      <c r="P57" s="9"/>
      <c r="Q57" s="10"/>
      <c r="R57" s="9"/>
      <c r="S57" s="11"/>
      <c r="T57" s="9"/>
      <c r="U57" s="9"/>
      <c r="V57" s="11"/>
      <c r="W57" s="9"/>
      <c r="X57" s="9"/>
      <c r="Y57" s="10"/>
      <c r="Z57" s="9"/>
      <c r="AA57" s="11"/>
      <c r="AB57" s="9"/>
      <c r="AC57" s="9"/>
      <c r="AD57" s="11"/>
      <c r="AE57" s="9"/>
      <c r="AF57" s="9"/>
      <c r="AG57" s="10"/>
      <c r="AH57" s="9"/>
      <c r="AI57" s="11"/>
      <c r="AJ57" s="9"/>
      <c r="AK57" s="9"/>
      <c r="AL57" s="11"/>
      <c r="AM57" s="9"/>
      <c r="AN57" s="10"/>
      <c r="AO57" s="9"/>
      <c r="AP57" s="11"/>
      <c r="AQ57" s="9"/>
      <c r="AR57" s="9"/>
      <c r="AS57" s="11"/>
      <c r="AT57" s="9"/>
      <c r="AU57" s="10"/>
      <c r="AV57" s="9"/>
      <c r="AW57" s="11"/>
      <c r="AX57" s="9"/>
      <c r="AY57" s="9"/>
      <c r="AZ57" s="11"/>
      <c r="BA57" s="9"/>
      <c r="BB57" s="10"/>
      <c r="BC57" s="9"/>
      <c r="BD57" s="11"/>
      <c r="BE57" s="9"/>
      <c r="BF57" s="9"/>
      <c r="BG57" s="11"/>
      <c r="BH57" s="9"/>
      <c r="BI57" s="10"/>
      <c r="BJ57" s="9"/>
      <c r="BK57" s="11"/>
      <c r="BL57" s="9"/>
      <c r="BM57" s="9"/>
      <c r="BN57" s="11"/>
      <c r="BO57" s="9"/>
      <c r="BP57" s="10"/>
      <c r="BQ57" s="9"/>
      <c r="BR57" s="11"/>
      <c r="BS57" s="9"/>
      <c r="BT57" s="9"/>
      <c r="BU57" s="11"/>
      <c r="BV57" s="9"/>
      <c r="BW57" s="10"/>
      <c r="BX57" s="9"/>
      <c r="BY57" s="11"/>
      <c r="BZ57" s="9"/>
      <c r="CA57" s="9"/>
      <c r="CB57" s="11"/>
      <c r="CC57" s="9"/>
      <c r="CD57" s="10"/>
      <c r="CE57" s="9"/>
      <c r="CF57" s="11"/>
      <c r="CG57" s="9"/>
      <c r="CH57" s="9"/>
      <c r="CI57" s="11"/>
      <c r="CJ57" s="9"/>
      <c r="CK57" s="10"/>
      <c r="CL57" s="9"/>
      <c r="CM57" s="11"/>
      <c r="CN57" s="9"/>
      <c r="CO57" s="9"/>
      <c r="CP57" s="11"/>
      <c r="CQ57" s="9"/>
    </row>
    <row r="58" spans="1:95" ht="12.75">
      <c r="A58" s="9" t="s">
        <v>15</v>
      </c>
      <c r="B58" s="9"/>
      <c r="C58" s="9"/>
      <c r="D58" s="10">
        <v>2215786.03</v>
      </c>
      <c r="E58" s="15">
        <v>0.057272502388774404</v>
      </c>
      <c r="F58" s="11">
        <v>2009</v>
      </c>
      <c r="G58" s="15">
        <v>0.23962309160305342</v>
      </c>
      <c r="H58" s="15"/>
      <c r="I58" s="10">
        <v>2083570.35</v>
      </c>
      <c r="J58" s="15">
        <v>0.06564418098728739</v>
      </c>
      <c r="K58" s="11">
        <v>2310</v>
      </c>
      <c r="L58" s="15">
        <v>0.30299055613850995</v>
      </c>
      <c r="M58" s="15"/>
      <c r="N58" s="11"/>
      <c r="O58" s="15"/>
      <c r="P58" s="15"/>
      <c r="Q58" s="10">
        <v>1842375.6</v>
      </c>
      <c r="R58" s="15">
        <v>0.05325667775953432</v>
      </c>
      <c r="S58" s="11">
        <v>2404</v>
      </c>
      <c r="T58" s="15">
        <v>0.3015176219741628</v>
      </c>
      <c r="U58" s="15"/>
      <c r="V58" s="11"/>
      <c r="W58" s="15"/>
      <c r="X58" s="15"/>
      <c r="Y58" s="10">
        <v>1671700.1599999939</v>
      </c>
      <c r="Z58" s="15">
        <v>0.05238049029595609</v>
      </c>
      <c r="AA58" s="11">
        <v>2455</v>
      </c>
      <c r="AB58" s="15">
        <v>0.32120894936543243</v>
      </c>
      <c r="AC58" s="15"/>
      <c r="AD58" s="11"/>
      <c r="AE58" s="15"/>
      <c r="AF58" s="15"/>
      <c r="AG58" s="10">
        <v>1763987.8699999924</v>
      </c>
      <c r="AH58" s="15">
        <v>0.03272488823290854</v>
      </c>
      <c r="AI58" s="11">
        <v>2712</v>
      </c>
      <c r="AJ58" s="15">
        <v>0.2533395609528258</v>
      </c>
      <c r="AK58" s="15"/>
      <c r="AL58" s="11"/>
      <c r="AM58" s="15"/>
      <c r="AN58" s="10">
        <v>1851925.18</v>
      </c>
      <c r="AO58" s="15">
        <v>0.030175801931095144</v>
      </c>
      <c r="AP58" s="11">
        <v>1643</v>
      </c>
      <c r="AQ58" s="15">
        <v>0.15232709067309474</v>
      </c>
      <c r="AR58" s="15"/>
      <c r="AS58" s="11"/>
      <c r="AT58" s="15"/>
      <c r="AU58" s="10">
        <v>1837938.25</v>
      </c>
      <c r="AV58" s="15">
        <v>0.03360515388880564</v>
      </c>
      <c r="AW58" s="11">
        <v>1624</v>
      </c>
      <c r="AX58" s="15">
        <v>0.16264396594892339</v>
      </c>
      <c r="AY58" s="15"/>
      <c r="AZ58" s="11"/>
      <c r="BA58" s="15"/>
      <c r="BB58" s="10">
        <v>2020550.34</v>
      </c>
      <c r="BC58" s="15">
        <v>0.03872148345639034</v>
      </c>
      <c r="BD58" s="11">
        <v>1673</v>
      </c>
      <c r="BE58" s="15">
        <v>0.1698132358911896</v>
      </c>
      <c r="BF58" s="15"/>
      <c r="BG58" s="11"/>
      <c r="BH58" s="15"/>
      <c r="BI58" s="10">
        <v>2075956.57</v>
      </c>
      <c r="BJ58" s="15">
        <v>0.04605262372412779</v>
      </c>
      <c r="BK58" s="11">
        <v>1728</v>
      </c>
      <c r="BL58" s="15">
        <v>0.19163801707885106</v>
      </c>
      <c r="BM58" s="15"/>
      <c r="BN58" s="11"/>
      <c r="BO58" s="15"/>
      <c r="BP58" s="10">
        <v>2033241.37</v>
      </c>
      <c r="BQ58" s="15">
        <v>0.0491000544966674</v>
      </c>
      <c r="BR58" s="11">
        <v>1750</v>
      </c>
      <c r="BS58" s="15">
        <v>0.2059065772443817</v>
      </c>
      <c r="BT58" s="15"/>
      <c r="BU58" s="11"/>
      <c r="BV58" s="15"/>
      <c r="BW58" s="10">
        <v>1969219.25</v>
      </c>
      <c r="BX58" s="15">
        <v>0.05400650716485944</v>
      </c>
      <c r="BY58" s="11">
        <v>1783</v>
      </c>
      <c r="BZ58" s="15">
        <v>0.2307493205642552</v>
      </c>
      <c r="CA58" s="15"/>
      <c r="CB58" s="11"/>
      <c r="CC58" s="15"/>
      <c r="CD58" s="10">
        <v>1960180.89</v>
      </c>
      <c r="CE58" s="15">
        <v>0.06199146425571579</v>
      </c>
      <c r="CF58" s="11">
        <v>1769</v>
      </c>
      <c r="CG58" s="15">
        <v>0.2571594708533217</v>
      </c>
      <c r="CH58" s="15"/>
      <c r="CI58" s="11"/>
      <c r="CJ58" s="15"/>
      <c r="CK58" s="10">
        <v>3674868.28</v>
      </c>
      <c r="CL58" s="15">
        <v>0.0841088731487417</v>
      </c>
      <c r="CM58" s="11">
        <v>3457</v>
      </c>
      <c r="CN58" s="15">
        <v>0.34136466870741583</v>
      </c>
      <c r="CO58" s="15"/>
      <c r="CP58" s="11"/>
      <c r="CQ58" s="15"/>
    </row>
    <row r="59" spans="1:95" ht="12.75">
      <c r="A59" s="9" t="s">
        <v>16</v>
      </c>
      <c r="B59" s="9"/>
      <c r="C59" s="9"/>
      <c r="D59" s="10">
        <v>7444225.319999997</v>
      </c>
      <c r="E59" s="15">
        <v>0.19241452317590188</v>
      </c>
      <c r="F59" s="11">
        <v>2497</v>
      </c>
      <c r="G59" s="15">
        <v>0.29782919847328243</v>
      </c>
      <c r="H59" s="15"/>
      <c r="I59" s="10">
        <v>6530269.689999997</v>
      </c>
      <c r="J59" s="15">
        <v>0.20574021195212225</v>
      </c>
      <c r="K59" s="11">
        <v>2193</v>
      </c>
      <c r="L59" s="15">
        <v>0.2876442812172088</v>
      </c>
      <c r="M59" s="15"/>
      <c r="N59" s="11"/>
      <c r="O59" s="15"/>
      <c r="P59" s="15"/>
      <c r="Q59" s="10">
        <v>6083086.570000006</v>
      </c>
      <c r="R59" s="15">
        <v>0.17584089869722633</v>
      </c>
      <c r="S59" s="11">
        <v>2043</v>
      </c>
      <c r="T59" s="15">
        <v>0.2562398093565785</v>
      </c>
      <c r="U59" s="15"/>
      <c r="V59" s="11"/>
      <c r="W59" s="15"/>
      <c r="X59" s="15"/>
      <c r="Y59" s="10">
        <v>5659565.519999997</v>
      </c>
      <c r="Z59" s="15">
        <v>0.17733492159245146</v>
      </c>
      <c r="AA59" s="11">
        <v>1906</v>
      </c>
      <c r="AB59" s="15">
        <v>0.24937851628941515</v>
      </c>
      <c r="AC59" s="15"/>
      <c r="AD59" s="11"/>
      <c r="AE59" s="15"/>
      <c r="AF59" s="15"/>
      <c r="AG59" s="10">
        <v>6548648.190000002</v>
      </c>
      <c r="AH59" s="15">
        <v>0.12148823908544779</v>
      </c>
      <c r="AI59" s="11">
        <v>2179</v>
      </c>
      <c r="AJ59" s="15">
        <v>0.20354974311069593</v>
      </c>
      <c r="AK59" s="15"/>
      <c r="AL59" s="11"/>
      <c r="AM59" s="15"/>
      <c r="AN59" s="10">
        <v>7625560.270000004</v>
      </c>
      <c r="AO59" s="15">
        <v>0.12425307393960101</v>
      </c>
      <c r="AP59" s="11">
        <v>2527</v>
      </c>
      <c r="AQ59" s="15">
        <v>0.2342851844984239</v>
      </c>
      <c r="AR59" s="15"/>
      <c r="AS59" s="11"/>
      <c r="AT59" s="15"/>
      <c r="AU59" s="10">
        <v>7451629.070000003</v>
      </c>
      <c r="AV59" s="15">
        <v>0.13624676542840752</v>
      </c>
      <c r="AW59" s="11">
        <v>2475</v>
      </c>
      <c r="AX59" s="15">
        <v>0.24787180771156736</v>
      </c>
      <c r="AY59" s="15"/>
      <c r="AZ59" s="11"/>
      <c r="BA59" s="15"/>
      <c r="BB59" s="10">
        <v>7911351.099999995</v>
      </c>
      <c r="BC59" s="15">
        <v>0.15161178846766316</v>
      </c>
      <c r="BD59" s="11">
        <v>2625</v>
      </c>
      <c r="BE59" s="15">
        <v>0.2664433617539586</v>
      </c>
      <c r="BF59" s="15"/>
      <c r="BG59" s="11"/>
      <c r="BH59" s="15"/>
      <c r="BI59" s="10">
        <v>7630819.219999995</v>
      </c>
      <c r="BJ59" s="15">
        <v>0.16928063492460324</v>
      </c>
      <c r="BK59" s="11">
        <v>2539</v>
      </c>
      <c r="BL59" s="15">
        <v>0.2815792392148165</v>
      </c>
      <c r="BM59" s="15"/>
      <c r="BN59" s="11"/>
      <c r="BO59" s="15"/>
      <c r="BP59" s="10">
        <v>7548348.470000001</v>
      </c>
      <c r="BQ59" s="15">
        <v>0.18228250059501586</v>
      </c>
      <c r="BR59" s="11">
        <v>2526</v>
      </c>
      <c r="BS59" s="15">
        <v>0.29721143663960464</v>
      </c>
      <c r="BT59" s="15"/>
      <c r="BU59" s="11"/>
      <c r="BV59" s="15"/>
      <c r="BW59" s="10">
        <v>6970774.399999982</v>
      </c>
      <c r="BX59" s="15">
        <v>0.19117585691802386</v>
      </c>
      <c r="BY59" s="11">
        <v>2351</v>
      </c>
      <c r="BZ59" s="15">
        <v>0.3042577973340235</v>
      </c>
      <c r="CA59" s="15"/>
      <c r="CB59" s="11"/>
      <c r="CC59" s="15"/>
      <c r="CD59" s="10">
        <v>6295249.710000004</v>
      </c>
      <c r="CE59" s="15">
        <v>0.1990896602294038</v>
      </c>
      <c r="CF59" s="11">
        <v>2126</v>
      </c>
      <c r="CG59" s="15">
        <v>0.30905654891699375</v>
      </c>
      <c r="CH59" s="15"/>
      <c r="CI59" s="11"/>
      <c r="CJ59" s="15"/>
      <c r="CK59" s="10">
        <v>8712761.950000014</v>
      </c>
      <c r="CL59" s="15">
        <v>0.19941411059983222</v>
      </c>
      <c r="CM59" s="11">
        <v>2972</v>
      </c>
      <c r="CN59" s="15">
        <v>0.29347289424311246</v>
      </c>
      <c r="CO59" s="15"/>
      <c r="CP59" s="11"/>
      <c r="CQ59" s="15"/>
    </row>
    <row r="60" spans="1:95" ht="12.75">
      <c r="A60" s="9" t="s">
        <v>17</v>
      </c>
      <c r="B60" s="9"/>
      <c r="C60" s="9"/>
      <c r="D60" s="10">
        <v>8998090.010000018</v>
      </c>
      <c r="E60" s="15">
        <v>0.2325780218011994</v>
      </c>
      <c r="F60" s="11">
        <v>1826</v>
      </c>
      <c r="G60" s="15">
        <v>0.21779580152671757</v>
      </c>
      <c r="H60" s="15"/>
      <c r="I60" s="10">
        <v>7541480.050000007</v>
      </c>
      <c r="J60" s="15">
        <v>0.23759902386507772</v>
      </c>
      <c r="K60" s="11">
        <v>1533</v>
      </c>
      <c r="L60" s="15">
        <v>0.20107555089192025</v>
      </c>
      <c r="M60" s="15"/>
      <c r="N60" s="11"/>
      <c r="O60" s="15"/>
      <c r="P60" s="15"/>
      <c r="Q60" s="10">
        <v>7745724.699999989</v>
      </c>
      <c r="R60" s="15">
        <v>0.22390199064835936</v>
      </c>
      <c r="S60" s="11">
        <v>1576</v>
      </c>
      <c r="T60" s="15">
        <v>0.19766712655211338</v>
      </c>
      <c r="U60" s="15"/>
      <c r="V60" s="11"/>
      <c r="W60" s="15"/>
      <c r="X60" s="15"/>
      <c r="Y60" s="10">
        <v>7308744.210000002</v>
      </c>
      <c r="Z60" s="15">
        <v>0.22900973172577296</v>
      </c>
      <c r="AA60" s="11">
        <v>1477</v>
      </c>
      <c r="AB60" s="15">
        <v>0.19324872432290985</v>
      </c>
      <c r="AC60" s="15"/>
      <c r="AD60" s="11"/>
      <c r="AE60" s="15"/>
      <c r="AF60" s="15"/>
      <c r="AG60" s="10">
        <v>11417814.589999996</v>
      </c>
      <c r="AH60" s="15">
        <v>0.21181931728466133</v>
      </c>
      <c r="AI60" s="11">
        <v>2295</v>
      </c>
      <c r="AJ60" s="15">
        <v>0.21438580102755722</v>
      </c>
      <c r="AK60" s="15"/>
      <c r="AL60" s="11"/>
      <c r="AM60" s="15"/>
      <c r="AN60" s="10">
        <v>13141937.800000003</v>
      </c>
      <c r="AO60" s="15">
        <v>0.21413851721783544</v>
      </c>
      <c r="AP60" s="11">
        <v>2644</v>
      </c>
      <c r="AQ60" s="15">
        <v>0.24513257926942333</v>
      </c>
      <c r="AR60" s="15"/>
      <c r="AS60" s="11"/>
      <c r="AT60" s="15"/>
      <c r="AU60" s="10">
        <v>12184827.830000004</v>
      </c>
      <c r="AV60" s="15">
        <v>0.22278932077057098</v>
      </c>
      <c r="AW60" s="11">
        <v>2456</v>
      </c>
      <c r="AX60" s="15">
        <v>0.24596895343014522</v>
      </c>
      <c r="AY60" s="15"/>
      <c r="AZ60" s="11"/>
      <c r="BA60" s="15"/>
      <c r="BB60" s="10">
        <v>11872916.859999992</v>
      </c>
      <c r="BC60" s="15">
        <v>0.22753056168528174</v>
      </c>
      <c r="BD60" s="11">
        <v>2409</v>
      </c>
      <c r="BE60" s="15">
        <v>0.24451887941534714</v>
      </c>
      <c r="BF60" s="15"/>
      <c r="BG60" s="11"/>
      <c r="BH60" s="15"/>
      <c r="BI60" s="10">
        <v>10727659.149999978</v>
      </c>
      <c r="BJ60" s="15">
        <v>0.23798033996233592</v>
      </c>
      <c r="BK60" s="11">
        <v>2177</v>
      </c>
      <c r="BL60" s="15">
        <v>0.24143284906288123</v>
      </c>
      <c r="BM60" s="15"/>
      <c r="BN60" s="11"/>
      <c r="BO60" s="15"/>
      <c r="BP60" s="10">
        <v>9808200.859999975</v>
      </c>
      <c r="BQ60" s="15">
        <v>0.2368549075608562</v>
      </c>
      <c r="BR60" s="11">
        <v>1991</v>
      </c>
      <c r="BS60" s="15">
        <v>0.23426285445346512</v>
      </c>
      <c r="BT60" s="15"/>
      <c r="BU60" s="11"/>
      <c r="BV60" s="15"/>
      <c r="BW60" s="10">
        <v>8505443.790000012</v>
      </c>
      <c r="BX60" s="15">
        <v>0.2332646864918396</v>
      </c>
      <c r="BY60" s="11">
        <v>1731</v>
      </c>
      <c r="BZ60" s="15">
        <v>0.22401967128251585</v>
      </c>
      <c r="CA60" s="15"/>
      <c r="CB60" s="11"/>
      <c r="CC60" s="15"/>
      <c r="CD60" s="10">
        <v>7242443.529999986</v>
      </c>
      <c r="CE60" s="15">
        <v>0.2290450241120523</v>
      </c>
      <c r="CF60" s="11">
        <v>1480</v>
      </c>
      <c r="CG60" s="15">
        <v>0.21514755051606338</v>
      </c>
      <c r="CH60" s="15"/>
      <c r="CI60" s="11"/>
      <c r="CJ60" s="15"/>
      <c r="CK60" s="10">
        <v>8415329.489999996</v>
      </c>
      <c r="CL60" s="15">
        <v>0.19260659883550318</v>
      </c>
      <c r="CM60" s="11">
        <v>1731</v>
      </c>
      <c r="CN60" s="15">
        <v>0.1709291991705342</v>
      </c>
      <c r="CO60" s="15"/>
      <c r="CP60" s="11"/>
      <c r="CQ60" s="15"/>
    </row>
    <row r="61" spans="1:95" ht="12.75">
      <c r="A61" s="9" t="s">
        <v>18</v>
      </c>
      <c r="B61" s="9"/>
      <c r="C61" s="9"/>
      <c r="D61" s="10">
        <v>6907553.000000006</v>
      </c>
      <c r="E61" s="15">
        <v>0.17854289192945497</v>
      </c>
      <c r="F61" s="11">
        <v>1001</v>
      </c>
      <c r="G61" s="15">
        <v>0.11939408396946564</v>
      </c>
      <c r="H61" s="15"/>
      <c r="I61" s="10">
        <v>5422590.610000001</v>
      </c>
      <c r="J61" s="15">
        <v>0.17084209295971492</v>
      </c>
      <c r="K61" s="11">
        <v>787</v>
      </c>
      <c r="L61" s="15">
        <v>0.10322665267576075</v>
      </c>
      <c r="M61" s="15"/>
      <c r="N61" s="11"/>
      <c r="O61" s="15"/>
      <c r="P61" s="15"/>
      <c r="Q61" s="10">
        <v>6254424.1099999985</v>
      </c>
      <c r="R61" s="15">
        <v>0.18079367171261523</v>
      </c>
      <c r="S61" s="11">
        <v>908</v>
      </c>
      <c r="T61" s="15">
        <v>0.11388435971403486</v>
      </c>
      <c r="U61" s="15"/>
      <c r="V61" s="11"/>
      <c r="W61" s="15"/>
      <c r="X61" s="15"/>
      <c r="Y61" s="10">
        <v>5770378.850000002</v>
      </c>
      <c r="Z61" s="15">
        <v>0.1808071091866238</v>
      </c>
      <c r="AA61" s="11">
        <v>838</v>
      </c>
      <c r="AB61" s="15">
        <v>0.1096428104147586</v>
      </c>
      <c r="AC61" s="15"/>
      <c r="AD61" s="11"/>
      <c r="AE61" s="15"/>
      <c r="AF61" s="15"/>
      <c r="AG61" s="10">
        <v>10775528.439999992</v>
      </c>
      <c r="AH61" s="15">
        <v>0.19990384845986983</v>
      </c>
      <c r="AI61" s="11">
        <v>1560</v>
      </c>
      <c r="AJ61" s="15">
        <v>0.14572629612330687</v>
      </c>
      <c r="AK61" s="15"/>
      <c r="AL61" s="11"/>
      <c r="AM61" s="15"/>
      <c r="AN61" s="10">
        <v>12358601.620000014</v>
      </c>
      <c r="AO61" s="15">
        <v>0.20137461202964616</v>
      </c>
      <c r="AP61" s="11">
        <v>1788</v>
      </c>
      <c r="AQ61" s="15">
        <v>0.16577044316706843</v>
      </c>
      <c r="AR61" s="15"/>
      <c r="AS61" s="11"/>
      <c r="AT61" s="15"/>
      <c r="AU61" s="10">
        <v>11100736.619999988</v>
      </c>
      <c r="AV61" s="15">
        <v>0.2029676254869824</v>
      </c>
      <c r="AW61" s="11">
        <v>1604</v>
      </c>
      <c r="AX61" s="15">
        <v>0.16064096144216325</v>
      </c>
      <c r="AY61" s="15"/>
      <c r="AZ61" s="11"/>
      <c r="BA61" s="15"/>
      <c r="BB61" s="10">
        <v>10224329.679999996</v>
      </c>
      <c r="BC61" s="15">
        <v>0.19593731703650602</v>
      </c>
      <c r="BD61" s="11">
        <v>1485</v>
      </c>
      <c r="BE61" s="15">
        <v>0.15073081607795372</v>
      </c>
      <c r="BF61" s="15"/>
      <c r="BG61" s="11"/>
      <c r="BH61" s="15"/>
      <c r="BI61" s="10">
        <v>8601726.49999999</v>
      </c>
      <c r="BJ61" s="15">
        <v>0.1908190564325523</v>
      </c>
      <c r="BK61" s="11">
        <v>1248</v>
      </c>
      <c r="BL61" s="15">
        <v>0.13840523455694798</v>
      </c>
      <c r="BM61" s="15"/>
      <c r="BN61" s="11"/>
      <c r="BO61" s="15"/>
      <c r="BP61" s="10">
        <v>7515943.940000008</v>
      </c>
      <c r="BQ61" s="15">
        <v>0.18149997461830972</v>
      </c>
      <c r="BR61" s="11">
        <v>1090</v>
      </c>
      <c r="BS61" s="15">
        <v>0.12825038239792916</v>
      </c>
      <c r="BT61" s="15"/>
      <c r="BU61" s="11"/>
      <c r="BV61" s="15"/>
      <c r="BW61" s="10">
        <v>6239129.7899999935</v>
      </c>
      <c r="BX61" s="15">
        <v>0.1711102548414165</v>
      </c>
      <c r="BY61" s="11">
        <v>905</v>
      </c>
      <c r="BZ61" s="15">
        <v>0.11712178076873302</v>
      </c>
      <c r="CA61" s="15"/>
      <c r="CB61" s="11"/>
      <c r="CC61" s="15"/>
      <c r="CD61" s="10">
        <v>4821484.529999994</v>
      </c>
      <c r="CE61" s="15">
        <v>0.1524812773279211</v>
      </c>
      <c r="CF61" s="11">
        <v>700</v>
      </c>
      <c r="CG61" s="15">
        <v>0.10175897659543538</v>
      </c>
      <c r="CH61" s="15"/>
      <c r="CI61" s="11"/>
      <c r="CJ61" s="15"/>
      <c r="CK61" s="10">
        <v>5662303.499999988</v>
      </c>
      <c r="CL61" s="15">
        <v>0.12959647272341843</v>
      </c>
      <c r="CM61" s="11">
        <v>823</v>
      </c>
      <c r="CN61" s="15">
        <v>0.08126789769921991</v>
      </c>
      <c r="CO61" s="15"/>
      <c r="CP61" s="11"/>
      <c r="CQ61" s="15"/>
    </row>
    <row r="62" spans="1:95" ht="12.75">
      <c r="A62" s="9" t="s">
        <v>19</v>
      </c>
      <c r="B62" s="9"/>
      <c r="C62" s="9"/>
      <c r="D62" s="10">
        <v>4109515.94</v>
      </c>
      <c r="E62" s="15">
        <v>0.10622066314334355</v>
      </c>
      <c r="F62" s="11">
        <v>465</v>
      </c>
      <c r="G62" s="15">
        <v>0.055462786259541985</v>
      </c>
      <c r="H62" s="15"/>
      <c r="I62" s="10">
        <v>3077904.84</v>
      </c>
      <c r="J62" s="15">
        <v>0.09697130810995079</v>
      </c>
      <c r="K62" s="11">
        <v>347</v>
      </c>
      <c r="L62" s="15">
        <v>0.04551416579223505</v>
      </c>
      <c r="M62" s="15"/>
      <c r="N62" s="11"/>
      <c r="O62" s="15"/>
      <c r="P62" s="15"/>
      <c r="Q62" s="10">
        <v>4048660.38</v>
      </c>
      <c r="R62" s="15">
        <v>0.11703270560870109</v>
      </c>
      <c r="S62" s="11">
        <v>456</v>
      </c>
      <c r="T62" s="15">
        <v>0.05719302646431707</v>
      </c>
      <c r="U62" s="15"/>
      <c r="V62" s="11"/>
      <c r="W62" s="15"/>
      <c r="X62" s="15"/>
      <c r="Y62" s="10">
        <v>3962259.79</v>
      </c>
      <c r="Z62" s="15">
        <v>0.12415211498224223</v>
      </c>
      <c r="AA62" s="11">
        <v>446</v>
      </c>
      <c r="AB62" s="15">
        <v>0.0583540494570195</v>
      </c>
      <c r="AC62" s="15"/>
      <c r="AD62" s="11"/>
      <c r="AE62" s="15"/>
      <c r="AF62" s="15"/>
      <c r="AG62" s="10">
        <v>7894931.780000002</v>
      </c>
      <c r="AH62" s="15">
        <v>0.14646402308137121</v>
      </c>
      <c r="AI62" s="11">
        <v>888</v>
      </c>
      <c r="AJ62" s="15">
        <v>0.08295189163942084</v>
      </c>
      <c r="AK62" s="15"/>
      <c r="AL62" s="11"/>
      <c r="AM62" s="15"/>
      <c r="AN62" s="10">
        <v>8684807.019999988</v>
      </c>
      <c r="AO62" s="15">
        <v>0.14151274537198352</v>
      </c>
      <c r="AP62" s="11">
        <v>977</v>
      </c>
      <c r="AQ62" s="15">
        <v>0.09058038197663638</v>
      </c>
      <c r="AR62" s="15"/>
      <c r="AS62" s="11"/>
      <c r="AT62" s="15"/>
      <c r="AU62" s="10">
        <v>7276423.1000000015</v>
      </c>
      <c r="AV62" s="15">
        <v>0.13304327173971175</v>
      </c>
      <c r="AW62" s="11">
        <v>819</v>
      </c>
      <c r="AX62" s="15">
        <v>0.08202303455182774</v>
      </c>
      <c r="AY62" s="15"/>
      <c r="AZ62" s="11"/>
      <c r="BA62" s="15"/>
      <c r="BB62" s="10">
        <v>6928525.729999997</v>
      </c>
      <c r="BC62" s="15">
        <v>0.13277709004338356</v>
      </c>
      <c r="BD62" s="11">
        <v>779</v>
      </c>
      <c r="BE62" s="15">
        <v>0.07907023954527</v>
      </c>
      <c r="BF62" s="15"/>
      <c r="BG62" s="11"/>
      <c r="BH62" s="15"/>
      <c r="BI62" s="10">
        <v>5544931.679999989</v>
      </c>
      <c r="BJ62" s="15">
        <v>0.12300770446032736</v>
      </c>
      <c r="BK62" s="11">
        <v>625</v>
      </c>
      <c r="BL62" s="15">
        <v>0.06931351890872796</v>
      </c>
      <c r="BM62" s="15"/>
      <c r="BN62" s="11"/>
      <c r="BO62" s="15"/>
      <c r="BP62" s="10">
        <v>4589671.76</v>
      </c>
      <c r="BQ62" s="15">
        <v>0.11083442274136658</v>
      </c>
      <c r="BR62" s="11">
        <v>516</v>
      </c>
      <c r="BS62" s="15">
        <v>0.06071302506177197</v>
      </c>
      <c r="BT62" s="15"/>
      <c r="BU62" s="11"/>
      <c r="BV62" s="15"/>
      <c r="BW62" s="10">
        <v>3505616.21</v>
      </c>
      <c r="BX62" s="15">
        <v>0.09614271593303422</v>
      </c>
      <c r="BY62" s="11">
        <v>395</v>
      </c>
      <c r="BZ62" s="15">
        <v>0.05111945127475087</v>
      </c>
      <c r="CA62" s="15"/>
      <c r="CB62" s="11"/>
      <c r="CC62" s="15"/>
      <c r="CD62" s="10">
        <v>2633880.09</v>
      </c>
      <c r="CE62" s="15">
        <v>0.08329745702860948</v>
      </c>
      <c r="CF62" s="11">
        <v>296</v>
      </c>
      <c r="CG62" s="15">
        <v>0.043029510103212674</v>
      </c>
      <c r="CH62" s="15"/>
      <c r="CI62" s="11"/>
      <c r="CJ62" s="15"/>
      <c r="CK62" s="10">
        <v>2885295.9</v>
      </c>
      <c r="CL62" s="15">
        <v>0.06603746538901385</v>
      </c>
      <c r="CM62" s="11">
        <v>324</v>
      </c>
      <c r="CN62" s="15">
        <v>0.031993680260689245</v>
      </c>
      <c r="CO62" s="15"/>
      <c r="CP62" s="11"/>
      <c r="CQ62" s="15"/>
    </row>
    <row r="63" spans="1:95" ht="12.75">
      <c r="A63" s="9" t="s">
        <v>20</v>
      </c>
      <c r="B63" s="9"/>
      <c r="C63" s="9"/>
      <c r="D63" s="10">
        <v>2454059.45</v>
      </c>
      <c r="E63" s="15">
        <v>0.06343127170646502</v>
      </c>
      <c r="F63" s="11">
        <v>226</v>
      </c>
      <c r="G63" s="15">
        <v>0.026956106870229007</v>
      </c>
      <c r="H63" s="15"/>
      <c r="I63" s="10">
        <v>1944647.33</v>
      </c>
      <c r="J63" s="15">
        <v>0.06126732475674043</v>
      </c>
      <c r="K63" s="11">
        <v>178</v>
      </c>
      <c r="L63" s="15">
        <v>0.02334732423924449</v>
      </c>
      <c r="M63" s="15"/>
      <c r="N63" s="11"/>
      <c r="O63" s="15"/>
      <c r="P63" s="15"/>
      <c r="Q63" s="10">
        <v>2564939.99</v>
      </c>
      <c r="R63" s="15">
        <v>0.07414350391959897</v>
      </c>
      <c r="S63" s="11">
        <v>235</v>
      </c>
      <c r="T63" s="15">
        <v>0.029474476357707263</v>
      </c>
      <c r="U63" s="15"/>
      <c r="V63" s="11"/>
      <c r="W63" s="15"/>
      <c r="X63" s="15"/>
      <c r="Y63" s="10">
        <v>2563333.02</v>
      </c>
      <c r="Z63" s="15">
        <v>0.08031861430186994</v>
      </c>
      <c r="AA63" s="11">
        <v>233</v>
      </c>
      <c r="AB63" s="15">
        <v>0.030485411487635745</v>
      </c>
      <c r="AC63" s="15"/>
      <c r="AD63" s="11"/>
      <c r="AE63" s="15"/>
      <c r="AF63" s="15"/>
      <c r="AG63" s="10">
        <v>5096781.19</v>
      </c>
      <c r="AH63" s="15">
        <v>0.09455370846191892</v>
      </c>
      <c r="AI63" s="11">
        <v>466</v>
      </c>
      <c r="AJ63" s="15">
        <v>0.04353106025221859</v>
      </c>
      <c r="AK63" s="15"/>
      <c r="AL63" s="11"/>
      <c r="AM63" s="15"/>
      <c r="AN63" s="10">
        <v>5746535.010000014</v>
      </c>
      <c r="AO63" s="15">
        <v>0.09363569550464482</v>
      </c>
      <c r="AP63" s="11">
        <v>526</v>
      </c>
      <c r="AQ63" s="15">
        <v>0.04876692008158724</v>
      </c>
      <c r="AR63" s="15"/>
      <c r="AS63" s="11"/>
      <c r="AT63" s="15"/>
      <c r="AU63" s="10">
        <v>5013760.53</v>
      </c>
      <c r="AV63" s="15">
        <v>0.09167239115474624</v>
      </c>
      <c r="AW63" s="11">
        <v>460</v>
      </c>
      <c r="AX63" s="15">
        <v>0.04606910365548322</v>
      </c>
      <c r="AY63" s="15"/>
      <c r="AZ63" s="11"/>
      <c r="BA63" s="15"/>
      <c r="BB63" s="10">
        <v>4079546.38</v>
      </c>
      <c r="BC63" s="15">
        <v>0.0781797337762675</v>
      </c>
      <c r="BD63" s="11">
        <v>374</v>
      </c>
      <c r="BE63" s="15">
        <v>0.037961835160373526</v>
      </c>
      <c r="BF63" s="15"/>
      <c r="BG63" s="11"/>
      <c r="BH63" s="15"/>
      <c r="BI63" s="10">
        <v>3126778.7</v>
      </c>
      <c r="BJ63" s="15">
        <v>0.06936386098853564</v>
      </c>
      <c r="BK63" s="11">
        <v>289</v>
      </c>
      <c r="BL63" s="15">
        <v>0.03205057114339581</v>
      </c>
      <c r="BM63" s="15"/>
      <c r="BN63" s="11"/>
      <c r="BO63" s="15"/>
      <c r="BP63" s="10">
        <v>2419284.36</v>
      </c>
      <c r="BQ63" s="15">
        <v>0.058422475398941444</v>
      </c>
      <c r="BR63" s="11">
        <v>222</v>
      </c>
      <c r="BS63" s="15">
        <v>0.02612072008471585</v>
      </c>
      <c r="BT63" s="15"/>
      <c r="BU63" s="11"/>
      <c r="BV63" s="15"/>
      <c r="BW63" s="10">
        <v>1866424.8</v>
      </c>
      <c r="BX63" s="15">
        <v>0.05118733443920551</v>
      </c>
      <c r="BY63" s="11">
        <v>172</v>
      </c>
      <c r="BZ63" s="15">
        <v>0.02225960916267633</v>
      </c>
      <c r="CA63" s="15"/>
      <c r="CB63" s="11"/>
      <c r="CC63" s="15"/>
      <c r="CD63" s="10">
        <v>1569935.95</v>
      </c>
      <c r="CE63" s="15">
        <v>0.04964981998584233</v>
      </c>
      <c r="CF63" s="11">
        <v>143</v>
      </c>
      <c r="CG63" s="15">
        <v>0.0207879052187818</v>
      </c>
      <c r="CH63" s="15"/>
      <c r="CI63" s="11"/>
      <c r="CJ63" s="15"/>
      <c r="CK63" s="10">
        <v>2276093.34</v>
      </c>
      <c r="CL63" s="15">
        <v>0.05209428785533397</v>
      </c>
      <c r="CM63" s="11">
        <v>209</v>
      </c>
      <c r="CN63" s="15">
        <v>0.020637898686679174</v>
      </c>
      <c r="CO63" s="15"/>
      <c r="CP63" s="11"/>
      <c r="CQ63" s="15"/>
    </row>
    <row r="64" spans="1:95" ht="12.75">
      <c r="A64" s="9" t="s">
        <v>21</v>
      </c>
      <c r="B64" s="9"/>
      <c r="C64" s="9"/>
      <c r="D64" s="10">
        <v>1710397.99</v>
      </c>
      <c r="E64" s="15">
        <v>0.04420949118811344</v>
      </c>
      <c r="F64" s="11">
        <v>133</v>
      </c>
      <c r="G64" s="15">
        <v>0.01586354961832061</v>
      </c>
      <c r="H64" s="15"/>
      <c r="I64" s="10">
        <v>1114437.53</v>
      </c>
      <c r="J64" s="15">
        <v>0.03511104816707803</v>
      </c>
      <c r="K64" s="11">
        <v>87</v>
      </c>
      <c r="L64" s="15">
        <v>0.011411332633788037</v>
      </c>
      <c r="M64" s="15"/>
      <c r="N64" s="11"/>
      <c r="O64" s="15"/>
      <c r="P64" s="15"/>
      <c r="Q64" s="10">
        <v>1735537.09</v>
      </c>
      <c r="R64" s="15">
        <v>0.05016834761698429</v>
      </c>
      <c r="S64" s="11">
        <v>135</v>
      </c>
      <c r="T64" s="15">
        <v>0.01693214599272545</v>
      </c>
      <c r="U64" s="15"/>
      <c r="V64" s="11"/>
      <c r="W64" s="15"/>
      <c r="X64" s="15"/>
      <c r="Y64" s="10">
        <v>1489294.69</v>
      </c>
      <c r="Z64" s="15">
        <v>0.04666505867736725</v>
      </c>
      <c r="AA64" s="11">
        <v>115</v>
      </c>
      <c r="AB64" s="15">
        <v>0.015046447729948974</v>
      </c>
      <c r="AC64" s="15"/>
      <c r="AD64" s="11"/>
      <c r="AE64" s="15"/>
      <c r="AF64" s="15"/>
      <c r="AG64" s="10">
        <v>3266104.05</v>
      </c>
      <c r="AH64" s="15">
        <v>0.06059162413248361</v>
      </c>
      <c r="AI64" s="11">
        <v>254</v>
      </c>
      <c r="AJ64" s="15">
        <v>0.023727230266230734</v>
      </c>
      <c r="AK64" s="15"/>
      <c r="AL64" s="11"/>
      <c r="AM64" s="15"/>
      <c r="AN64" s="10">
        <v>3273671.74</v>
      </c>
      <c r="AO64" s="15">
        <v>0.05334214960761201</v>
      </c>
      <c r="AP64" s="11">
        <v>255</v>
      </c>
      <c r="AQ64" s="15">
        <v>0.023641757834229556</v>
      </c>
      <c r="AR64" s="15"/>
      <c r="AS64" s="11"/>
      <c r="AT64" s="15"/>
      <c r="AU64" s="10">
        <v>2569493.34</v>
      </c>
      <c r="AV64" s="15">
        <v>0.04698102295164771</v>
      </c>
      <c r="AW64" s="11">
        <v>199</v>
      </c>
      <c r="AX64" s="15">
        <v>0.019929894842263395</v>
      </c>
      <c r="AY64" s="15"/>
      <c r="AZ64" s="11"/>
      <c r="BA64" s="15"/>
      <c r="BB64" s="10">
        <v>2246213.53</v>
      </c>
      <c r="BC64" s="15">
        <v>0.043046054492963046</v>
      </c>
      <c r="BD64" s="11">
        <v>174</v>
      </c>
      <c r="BE64" s="15">
        <v>0.01766138855054811</v>
      </c>
      <c r="BF64" s="15"/>
      <c r="BG64" s="11"/>
      <c r="BH64" s="15"/>
      <c r="BI64" s="10">
        <v>1751887.46</v>
      </c>
      <c r="BJ64" s="15">
        <v>0.038863536534580696</v>
      </c>
      <c r="BK64" s="11">
        <v>136</v>
      </c>
      <c r="BL64" s="15">
        <v>0.015082621714539203</v>
      </c>
      <c r="BM64" s="15"/>
      <c r="BN64" s="11"/>
      <c r="BO64" s="15"/>
      <c r="BP64" s="10">
        <v>1546292.41</v>
      </c>
      <c r="BQ64" s="15">
        <v>0.037340889635146035</v>
      </c>
      <c r="BR64" s="11">
        <v>120</v>
      </c>
      <c r="BS64" s="15">
        <v>0.014119308153900459</v>
      </c>
      <c r="BT64" s="15"/>
      <c r="BU64" s="11"/>
      <c r="BV64" s="15"/>
      <c r="BW64" s="10">
        <v>1355914.81</v>
      </c>
      <c r="BX64" s="15">
        <v>0.03718642446807491</v>
      </c>
      <c r="BY64" s="11">
        <v>105</v>
      </c>
      <c r="BZ64" s="15">
        <v>0.013588714895819852</v>
      </c>
      <c r="CA64" s="15"/>
      <c r="CB64" s="11"/>
      <c r="CC64" s="15"/>
      <c r="CD64" s="10">
        <v>1098497.4</v>
      </c>
      <c r="CE64" s="15">
        <v>0.034740396998308005</v>
      </c>
      <c r="CF64" s="11">
        <v>85</v>
      </c>
      <c r="CG64" s="15">
        <v>0.012356447158017154</v>
      </c>
      <c r="CH64" s="15"/>
      <c r="CI64" s="11"/>
      <c r="CJ64" s="15"/>
      <c r="CK64" s="10">
        <v>1676597.69</v>
      </c>
      <c r="CL64" s="15">
        <v>0.03837327808377488</v>
      </c>
      <c r="CM64" s="11">
        <v>129</v>
      </c>
      <c r="CN64" s="15">
        <v>0.012738224548237385</v>
      </c>
      <c r="CO64" s="15"/>
      <c r="CP64" s="11"/>
      <c r="CQ64" s="15"/>
    </row>
    <row r="65" spans="1:95" ht="12.75">
      <c r="A65" s="9" t="s">
        <v>22</v>
      </c>
      <c r="B65" s="9"/>
      <c r="C65" s="9"/>
      <c r="D65" s="10">
        <v>865249.82</v>
      </c>
      <c r="E65" s="15">
        <v>0.022364534170673793</v>
      </c>
      <c r="F65" s="11">
        <v>58</v>
      </c>
      <c r="G65" s="15">
        <v>0.00691793893129771</v>
      </c>
      <c r="H65" s="15"/>
      <c r="I65" s="10">
        <v>792344.8</v>
      </c>
      <c r="J65" s="15">
        <v>0.02496331619210078</v>
      </c>
      <c r="K65" s="11">
        <v>53</v>
      </c>
      <c r="L65" s="15">
        <v>0.006951731374606506</v>
      </c>
      <c r="M65" s="15"/>
      <c r="N65" s="11"/>
      <c r="O65" s="15"/>
      <c r="P65" s="15"/>
      <c r="Q65" s="10">
        <v>1004456.35</v>
      </c>
      <c r="R65" s="15">
        <v>0.029035343366177926</v>
      </c>
      <c r="S65" s="11">
        <v>68</v>
      </c>
      <c r="T65" s="15">
        <v>0.008528784648187633</v>
      </c>
      <c r="U65" s="15"/>
      <c r="V65" s="11"/>
      <c r="W65" s="15"/>
      <c r="X65" s="15"/>
      <c r="Y65" s="10">
        <v>780821.69</v>
      </c>
      <c r="Z65" s="15">
        <v>0.0244660040924547</v>
      </c>
      <c r="AA65" s="11">
        <v>52</v>
      </c>
      <c r="AB65" s="15">
        <v>0.006803611147455188</v>
      </c>
      <c r="AC65" s="15"/>
      <c r="AD65" s="11"/>
      <c r="AE65" s="15"/>
      <c r="AF65" s="15"/>
      <c r="AG65" s="10">
        <v>1848685.96</v>
      </c>
      <c r="AH65" s="15">
        <v>0.03429617768218978</v>
      </c>
      <c r="AI65" s="11">
        <v>124</v>
      </c>
      <c r="AJ65" s="15">
        <v>0.011583372255955161</v>
      </c>
      <c r="AK65" s="15"/>
      <c r="AL65" s="11"/>
      <c r="AM65" s="15"/>
      <c r="AN65" s="10">
        <v>2213675.55</v>
      </c>
      <c r="AO65" s="15">
        <v>0.03607026658415442</v>
      </c>
      <c r="AP65" s="11">
        <v>149</v>
      </c>
      <c r="AQ65" s="15">
        <v>0.013814203597255702</v>
      </c>
      <c r="AR65" s="15"/>
      <c r="AS65" s="11"/>
      <c r="AT65" s="15"/>
      <c r="AU65" s="10">
        <v>1579751.67</v>
      </c>
      <c r="AV65" s="15">
        <v>0.028884429591934165</v>
      </c>
      <c r="AW65" s="11">
        <v>106</v>
      </c>
      <c r="AX65" s="15">
        <v>0.010615923885828743</v>
      </c>
      <c r="AY65" s="15"/>
      <c r="AZ65" s="11"/>
      <c r="BA65" s="15"/>
      <c r="BB65" s="10">
        <v>1344290.69</v>
      </c>
      <c r="BC65" s="15">
        <v>0.025761758409550195</v>
      </c>
      <c r="BD65" s="11">
        <v>90</v>
      </c>
      <c r="BE65" s="15">
        <v>0.009135200974421437</v>
      </c>
      <c r="BF65" s="15"/>
      <c r="BG65" s="11"/>
      <c r="BH65" s="15"/>
      <c r="BI65" s="10">
        <v>1105460.16</v>
      </c>
      <c r="BJ65" s="15">
        <v>0.024523316877719668</v>
      </c>
      <c r="BK65" s="11">
        <v>74</v>
      </c>
      <c r="BL65" s="15">
        <v>0.00820672063879339</v>
      </c>
      <c r="BM65" s="15"/>
      <c r="BN65" s="11"/>
      <c r="BO65" s="15"/>
      <c r="BP65" s="10">
        <v>1074181.53</v>
      </c>
      <c r="BQ65" s="15">
        <v>0.02594004452226621</v>
      </c>
      <c r="BR65" s="11">
        <v>72</v>
      </c>
      <c r="BS65" s="15">
        <v>0.008471584892340275</v>
      </c>
      <c r="BT65" s="15"/>
      <c r="BU65" s="11"/>
      <c r="BV65" s="15"/>
      <c r="BW65" s="10">
        <v>986785.56</v>
      </c>
      <c r="BX65" s="15">
        <v>0.027062929339290123</v>
      </c>
      <c r="BY65" s="11">
        <v>66</v>
      </c>
      <c r="BZ65" s="15">
        <v>0.008541477934515335</v>
      </c>
      <c r="CA65" s="15"/>
      <c r="CB65" s="11"/>
      <c r="CC65" s="15"/>
      <c r="CD65" s="10">
        <v>914710.4</v>
      </c>
      <c r="CE65" s="15">
        <v>0.028928063402317676</v>
      </c>
      <c r="CF65" s="11">
        <v>61</v>
      </c>
      <c r="CG65" s="15">
        <v>0.00886756796045937</v>
      </c>
      <c r="CH65" s="15"/>
      <c r="CI65" s="11"/>
      <c r="CJ65" s="15"/>
      <c r="CK65" s="10">
        <v>1815760.43</v>
      </c>
      <c r="CL65" s="15">
        <v>0.04155837761765296</v>
      </c>
      <c r="CM65" s="11">
        <v>121</v>
      </c>
      <c r="CN65" s="15">
        <v>0.011948257134393207</v>
      </c>
      <c r="CO65" s="15"/>
      <c r="CP65" s="11"/>
      <c r="CQ65" s="15"/>
    </row>
    <row r="66" spans="1:95" ht="12.75">
      <c r="A66" s="9" t="s">
        <v>0</v>
      </c>
      <c r="B66" s="9"/>
      <c r="C66" s="9"/>
      <c r="D66" s="10">
        <v>667259.46</v>
      </c>
      <c r="E66" s="15">
        <v>0.01724698075507873</v>
      </c>
      <c r="F66" s="11">
        <v>40</v>
      </c>
      <c r="G66" s="15">
        <v>0.004770992366412214</v>
      </c>
      <c r="H66" s="15"/>
      <c r="I66" s="10">
        <v>547449.76</v>
      </c>
      <c r="J66" s="15">
        <v>0.01724774549939583</v>
      </c>
      <c r="K66" s="11">
        <v>32</v>
      </c>
      <c r="L66" s="15">
        <v>0.004197271773347324</v>
      </c>
      <c r="M66" s="15"/>
      <c r="N66" s="11"/>
      <c r="O66" s="15"/>
      <c r="P66" s="15"/>
      <c r="Q66" s="10">
        <v>740631.14</v>
      </c>
      <c r="R66" s="15">
        <v>0.02140907313452077</v>
      </c>
      <c r="S66" s="11">
        <v>44</v>
      </c>
      <c r="T66" s="15">
        <v>0.005518625360591998</v>
      </c>
      <c r="U66" s="15"/>
      <c r="V66" s="11"/>
      <c r="W66" s="15"/>
      <c r="X66" s="15"/>
      <c r="Y66" s="10">
        <v>553704.63</v>
      </c>
      <c r="Z66" s="15">
        <v>0.017349594557998404</v>
      </c>
      <c r="AA66" s="11">
        <v>33</v>
      </c>
      <c r="AB66" s="15">
        <v>0.004317676305115792</v>
      </c>
      <c r="AC66" s="15"/>
      <c r="AD66" s="11"/>
      <c r="AE66" s="15"/>
      <c r="AF66" s="15"/>
      <c r="AG66" s="10">
        <v>1030877.35</v>
      </c>
      <c r="AH66" s="15">
        <v>0.019124477347220697</v>
      </c>
      <c r="AI66" s="11">
        <v>61</v>
      </c>
      <c r="AJ66" s="15">
        <v>0.005698271835590845</v>
      </c>
      <c r="AK66" s="15"/>
      <c r="AL66" s="11"/>
      <c r="AM66" s="15"/>
      <c r="AN66" s="10">
        <v>1164223.33</v>
      </c>
      <c r="AO66" s="15">
        <v>0.018970190042796486</v>
      </c>
      <c r="AP66" s="11">
        <v>69</v>
      </c>
      <c r="AQ66" s="15">
        <v>0.006397181531615057</v>
      </c>
      <c r="AR66" s="15"/>
      <c r="AS66" s="11"/>
      <c r="AT66" s="15"/>
      <c r="AU66" s="10">
        <v>980070.54</v>
      </c>
      <c r="AV66" s="15">
        <v>0.01791976488795793</v>
      </c>
      <c r="AW66" s="11">
        <v>58</v>
      </c>
      <c r="AX66" s="15">
        <v>0.0058087130696044065</v>
      </c>
      <c r="AY66" s="15"/>
      <c r="AZ66" s="11"/>
      <c r="BA66" s="15"/>
      <c r="BB66" s="10">
        <v>968074.52</v>
      </c>
      <c r="BC66" s="15">
        <v>0.01855201564081445</v>
      </c>
      <c r="BD66" s="11">
        <v>57</v>
      </c>
      <c r="BE66" s="15">
        <v>0.0057856272838002435</v>
      </c>
      <c r="BF66" s="15"/>
      <c r="BG66" s="11"/>
      <c r="BH66" s="15"/>
      <c r="BI66" s="10">
        <v>939789.42</v>
      </c>
      <c r="BJ66" s="15">
        <v>0.020848108849972822</v>
      </c>
      <c r="BK66" s="11">
        <v>55</v>
      </c>
      <c r="BL66" s="15">
        <v>0.00609958966396806</v>
      </c>
      <c r="BM66" s="15"/>
      <c r="BN66" s="11"/>
      <c r="BO66" s="15"/>
      <c r="BP66" s="10">
        <v>867247.02</v>
      </c>
      <c r="BQ66" s="15">
        <v>0.020942853402629902</v>
      </c>
      <c r="BR66" s="11">
        <v>51</v>
      </c>
      <c r="BS66" s="15">
        <v>0.006000705965407695</v>
      </c>
      <c r="BT66" s="15"/>
      <c r="BU66" s="11"/>
      <c r="BV66" s="15"/>
      <c r="BW66" s="10">
        <v>882095.53</v>
      </c>
      <c r="BX66" s="15">
        <v>0.02419176968792863</v>
      </c>
      <c r="BY66" s="11">
        <v>52</v>
      </c>
      <c r="BZ66" s="15">
        <v>0.006729649281739356</v>
      </c>
      <c r="CA66" s="15"/>
      <c r="CB66" s="11"/>
      <c r="CC66" s="15"/>
      <c r="CD66" s="10">
        <v>1017264.39</v>
      </c>
      <c r="CE66" s="15">
        <v>0.032171372240700456</v>
      </c>
      <c r="CF66" s="11">
        <v>60</v>
      </c>
      <c r="CG66" s="15">
        <v>0.00872219799389446</v>
      </c>
      <c r="CH66" s="15"/>
      <c r="CI66" s="11"/>
      <c r="CJ66" s="15"/>
      <c r="CK66" s="10">
        <v>1337191.67</v>
      </c>
      <c r="CL66" s="15">
        <v>0.030605092748408426</v>
      </c>
      <c r="CM66" s="11">
        <v>79</v>
      </c>
      <c r="CN66" s="15">
        <v>0.007800928211711267</v>
      </c>
      <c r="CO66" s="15"/>
      <c r="CP66" s="11"/>
      <c r="CQ66" s="15"/>
    </row>
    <row r="67" spans="1:95" ht="12.75">
      <c r="A67" s="9" t="s">
        <v>1</v>
      </c>
      <c r="B67" s="9"/>
      <c r="C67" s="9"/>
      <c r="D67" s="10">
        <v>640298.58</v>
      </c>
      <c r="E67" s="15">
        <v>0.01655010973806837</v>
      </c>
      <c r="F67" s="11">
        <v>34</v>
      </c>
      <c r="G67" s="15">
        <v>0.0040553435114503815</v>
      </c>
      <c r="H67" s="15"/>
      <c r="I67" s="10">
        <v>396825.99</v>
      </c>
      <c r="J67" s="15">
        <v>0.012502249855887774</v>
      </c>
      <c r="K67" s="11">
        <v>21</v>
      </c>
      <c r="L67" s="15">
        <v>0.0027544596012591817</v>
      </c>
      <c r="M67" s="15"/>
      <c r="N67" s="11"/>
      <c r="O67" s="15"/>
      <c r="P67" s="15"/>
      <c r="Q67" s="10">
        <v>511060.63</v>
      </c>
      <c r="R67" s="15">
        <v>0.014772987271159381</v>
      </c>
      <c r="S67" s="11">
        <v>27</v>
      </c>
      <c r="T67" s="15">
        <v>0.0033864291985450895</v>
      </c>
      <c r="U67" s="15"/>
      <c r="V67" s="11"/>
      <c r="W67" s="15"/>
      <c r="X67" s="15"/>
      <c r="Y67" s="10">
        <v>393906.74</v>
      </c>
      <c r="Z67" s="15">
        <v>0.012342541243808803</v>
      </c>
      <c r="AA67" s="11">
        <v>21</v>
      </c>
      <c r="AB67" s="15">
        <v>0.002747612194164595</v>
      </c>
      <c r="AC67" s="15"/>
      <c r="AD67" s="11"/>
      <c r="AE67" s="15"/>
      <c r="AF67" s="15"/>
      <c r="AG67" s="10">
        <v>760919.13</v>
      </c>
      <c r="AH67" s="15">
        <v>0.014116306527398122</v>
      </c>
      <c r="AI67" s="11">
        <v>40</v>
      </c>
      <c r="AJ67" s="15">
        <v>0.0037365716954694066</v>
      </c>
      <c r="AK67" s="15"/>
      <c r="AL67" s="11"/>
      <c r="AM67" s="15"/>
      <c r="AN67" s="10">
        <v>1061320.89</v>
      </c>
      <c r="AO67" s="15">
        <v>0.017293468066552065</v>
      </c>
      <c r="AP67" s="11">
        <v>56</v>
      </c>
      <c r="AQ67" s="15">
        <v>0.005191915445948452</v>
      </c>
      <c r="AR67" s="15"/>
      <c r="AS67" s="11"/>
      <c r="AT67" s="15"/>
      <c r="AU67" s="10">
        <v>1045119.03</v>
      </c>
      <c r="AV67" s="15">
        <v>0.01910912177559245</v>
      </c>
      <c r="AW67" s="11">
        <v>55</v>
      </c>
      <c r="AX67" s="15">
        <v>0.005508262393590386</v>
      </c>
      <c r="AY67" s="15"/>
      <c r="AZ67" s="11"/>
      <c r="BA67" s="15"/>
      <c r="BB67" s="10">
        <v>1113444.26</v>
      </c>
      <c r="BC67" s="15">
        <v>0.021337856642167467</v>
      </c>
      <c r="BD67" s="11">
        <v>59</v>
      </c>
      <c r="BE67" s="15">
        <v>0.005988631749898498</v>
      </c>
      <c r="BF67" s="15"/>
      <c r="BG67" s="11"/>
      <c r="BH67" s="15"/>
      <c r="BI67" s="10">
        <v>772431.51</v>
      </c>
      <c r="BJ67" s="15">
        <v>0.017135472965453126</v>
      </c>
      <c r="BK67" s="11">
        <v>41</v>
      </c>
      <c r="BL67" s="15">
        <v>0.004546966840412554</v>
      </c>
      <c r="BM67" s="15"/>
      <c r="BN67" s="11"/>
      <c r="BO67" s="15"/>
      <c r="BP67" s="10">
        <v>738759.75</v>
      </c>
      <c r="BQ67" s="15">
        <v>0.017840058007940477</v>
      </c>
      <c r="BR67" s="11">
        <v>39</v>
      </c>
      <c r="BS67" s="15">
        <v>0.004588775150017649</v>
      </c>
      <c r="BT67" s="15"/>
      <c r="BU67" s="11"/>
      <c r="BV67" s="15"/>
      <c r="BW67" s="10">
        <v>796118.78</v>
      </c>
      <c r="BX67" s="15">
        <v>0.02183382810022257</v>
      </c>
      <c r="BY67" s="11">
        <v>42</v>
      </c>
      <c r="BZ67" s="15">
        <v>0.005435485958327941</v>
      </c>
      <c r="CA67" s="15"/>
      <c r="CB67" s="11"/>
      <c r="CC67" s="15"/>
      <c r="CD67" s="10">
        <v>795835.63</v>
      </c>
      <c r="CE67" s="15">
        <v>0.02516860370502339</v>
      </c>
      <c r="CF67" s="11">
        <v>42</v>
      </c>
      <c r="CG67" s="15">
        <v>0.006105538595726123</v>
      </c>
      <c r="CH67" s="15"/>
      <c r="CI67" s="11"/>
      <c r="CJ67" s="15"/>
      <c r="CK67" s="10">
        <v>1285798.31</v>
      </c>
      <c r="CL67" s="15">
        <v>0.029428822670796943</v>
      </c>
      <c r="CM67" s="11">
        <v>68</v>
      </c>
      <c r="CN67" s="15">
        <v>0.0067147230176755205</v>
      </c>
      <c r="CO67" s="15"/>
      <c r="CP67" s="11"/>
      <c r="CQ67" s="15"/>
    </row>
    <row r="68" spans="1:95" ht="12.75">
      <c r="A68" s="9" t="s">
        <v>2</v>
      </c>
      <c r="B68" s="9"/>
      <c r="C68" s="9"/>
      <c r="D68" s="10">
        <v>805242.08</v>
      </c>
      <c r="E68" s="15">
        <v>0.02081348484282197</v>
      </c>
      <c r="F68" s="11">
        <v>36</v>
      </c>
      <c r="G68" s="15">
        <v>0.004293893129770993</v>
      </c>
      <c r="H68" s="15"/>
      <c r="I68" s="10">
        <v>808828.65</v>
      </c>
      <c r="J68" s="15">
        <v>0.025482650148243573</v>
      </c>
      <c r="K68" s="11">
        <v>36</v>
      </c>
      <c r="L68" s="15">
        <v>0.00472193074501574</v>
      </c>
      <c r="M68" s="15"/>
      <c r="N68" s="11"/>
      <c r="O68" s="15"/>
      <c r="P68" s="15"/>
      <c r="Q68" s="10">
        <v>817279.49</v>
      </c>
      <c r="R68" s="15">
        <v>0.02362471063902855</v>
      </c>
      <c r="S68" s="11">
        <v>37</v>
      </c>
      <c r="T68" s="15">
        <v>0.004640662235043271</v>
      </c>
      <c r="U68" s="15"/>
      <c r="V68" s="11"/>
      <c r="W68" s="15"/>
      <c r="X68" s="15"/>
      <c r="Y68" s="10">
        <v>894342.94</v>
      </c>
      <c r="Z68" s="15">
        <v>0.02802304074070736</v>
      </c>
      <c r="AA68" s="11">
        <v>40</v>
      </c>
      <c r="AB68" s="15">
        <v>0.005233547036503991</v>
      </c>
      <c r="AC68" s="15"/>
      <c r="AD68" s="11"/>
      <c r="AE68" s="15"/>
      <c r="AF68" s="15"/>
      <c r="AG68" s="10">
        <v>1389930.89</v>
      </c>
      <c r="AH68" s="15">
        <v>0.025785513494895683</v>
      </c>
      <c r="AI68" s="11">
        <v>63</v>
      </c>
      <c r="AJ68" s="15">
        <v>0.005885100420364316</v>
      </c>
      <c r="AK68" s="15"/>
      <c r="AL68" s="11"/>
      <c r="AM68" s="15"/>
      <c r="AN68" s="10">
        <v>1792786.55</v>
      </c>
      <c r="AO68" s="15">
        <v>0.02921218007173027</v>
      </c>
      <c r="AP68" s="11">
        <v>81</v>
      </c>
      <c r="AQ68" s="15">
        <v>0.007509734841461153</v>
      </c>
      <c r="AR68" s="15"/>
      <c r="AS68" s="11"/>
      <c r="AT68" s="15"/>
      <c r="AU68" s="10">
        <v>1514864.96</v>
      </c>
      <c r="AV68" s="15">
        <v>0.027698030715427688</v>
      </c>
      <c r="AW68" s="11">
        <v>68</v>
      </c>
      <c r="AX68" s="15">
        <v>0.0068102153229844765</v>
      </c>
      <c r="AY68" s="15"/>
      <c r="AZ68" s="11"/>
      <c r="BA68" s="15"/>
      <c r="BB68" s="10">
        <v>1538388.99</v>
      </c>
      <c r="BC68" s="15">
        <v>0.02948142525653578</v>
      </c>
      <c r="BD68" s="11">
        <v>69</v>
      </c>
      <c r="BE68" s="15">
        <v>0.007003654080389768</v>
      </c>
      <c r="BF68" s="15"/>
      <c r="BG68" s="11"/>
      <c r="BH68" s="15"/>
      <c r="BI68" s="10">
        <v>1253042.11</v>
      </c>
      <c r="BJ68" s="15">
        <v>0.027797246645827986</v>
      </c>
      <c r="BK68" s="11">
        <v>57</v>
      </c>
      <c r="BL68" s="15">
        <v>0.00632139292447599</v>
      </c>
      <c r="BM68" s="15"/>
      <c r="BN68" s="11"/>
      <c r="BO68" s="15"/>
      <c r="BP68" s="10">
        <v>1483011.19</v>
      </c>
      <c r="BQ68" s="15">
        <v>0.03581273297039375</v>
      </c>
      <c r="BR68" s="11">
        <v>67</v>
      </c>
      <c r="BS68" s="15">
        <v>0.007883280385927756</v>
      </c>
      <c r="BT68" s="15"/>
      <c r="BU68" s="11"/>
      <c r="BV68" s="15"/>
      <c r="BW68" s="10">
        <v>1432982.88</v>
      </c>
      <c r="BX68" s="15">
        <v>0.0393000424791912</v>
      </c>
      <c r="BY68" s="11">
        <v>65</v>
      </c>
      <c r="BZ68" s="15">
        <v>0.008412061602174194</v>
      </c>
      <c r="CA68" s="15"/>
      <c r="CB68" s="11"/>
      <c r="CC68" s="15"/>
      <c r="CD68" s="10">
        <v>1282105.74</v>
      </c>
      <c r="CE68" s="15">
        <v>0.04054708040402231</v>
      </c>
      <c r="CF68" s="11">
        <v>58</v>
      </c>
      <c r="CG68" s="15">
        <v>0.008431458060764646</v>
      </c>
      <c r="CH68" s="15"/>
      <c r="CI68" s="11"/>
      <c r="CJ68" s="15"/>
      <c r="CK68" s="10">
        <v>2262643.08</v>
      </c>
      <c r="CL68" s="15">
        <v>0.05178644383863425</v>
      </c>
      <c r="CM68" s="11">
        <v>102</v>
      </c>
      <c r="CN68" s="15">
        <v>0.010072084526513281</v>
      </c>
      <c r="CO68" s="15"/>
      <c r="CP68" s="11"/>
      <c r="CQ68" s="15"/>
    </row>
    <row r="69" spans="1:95" ht="12.75">
      <c r="A69" s="9" t="s">
        <v>3</v>
      </c>
      <c r="B69" s="9"/>
      <c r="C69" s="9"/>
      <c r="D69" s="10">
        <v>921621.58</v>
      </c>
      <c r="E69" s="15">
        <v>0.023821602549816617</v>
      </c>
      <c r="F69" s="11">
        <v>34</v>
      </c>
      <c r="G69" s="15">
        <v>0.0040553435114503815</v>
      </c>
      <c r="H69" s="15"/>
      <c r="I69" s="10">
        <v>723719.17</v>
      </c>
      <c r="J69" s="15">
        <v>0.02280122299659787</v>
      </c>
      <c r="K69" s="11">
        <v>27</v>
      </c>
      <c r="L69" s="15">
        <v>0.003541448058761805</v>
      </c>
      <c r="M69" s="15"/>
      <c r="N69" s="11"/>
      <c r="O69" s="15"/>
      <c r="P69" s="15"/>
      <c r="Q69" s="10">
        <v>665767.47</v>
      </c>
      <c r="R69" s="15">
        <v>0.019245024528424318</v>
      </c>
      <c r="S69" s="11">
        <v>25</v>
      </c>
      <c r="T69" s="15">
        <v>0.0031355825912454532</v>
      </c>
      <c r="U69" s="15"/>
      <c r="V69" s="11"/>
      <c r="W69" s="15"/>
      <c r="X69" s="15"/>
      <c r="Y69" s="10">
        <v>460536.57</v>
      </c>
      <c r="Z69" s="15">
        <v>0.014430297916474441</v>
      </c>
      <c r="AA69" s="11">
        <v>17</v>
      </c>
      <c r="AB69" s="15">
        <v>0.002224257490514196</v>
      </c>
      <c r="AC69" s="15"/>
      <c r="AD69" s="11"/>
      <c r="AE69" s="15"/>
      <c r="AF69" s="15"/>
      <c r="AG69" s="10">
        <v>912023.1</v>
      </c>
      <c r="AH69" s="15">
        <v>0.016919534720684273</v>
      </c>
      <c r="AI69" s="11">
        <v>34</v>
      </c>
      <c r="AJ69" s="15">
        <v>0.003176085941148996</v>
      </c>
      <c r="AK69" s="15"/>
      <c r="AL69" s="11"/>
      <c r="AM69" s="15"/>
      <c r="AN69" s="10">
        <v>880196.4</v>
      </c>
      <c r="AO69" s="15">
        <v>0.01434217349259382</v>
      </c>
      <c r="AP69" s="11">
        <v>33</v>
      </c>
      <c r="AQ69" s="15">
        <v>0.003059521602076766</v>
      </c>
      <c r="AR69" s="15"/>
      <c r="AS69" s="11"/>
      <c r="AT69" s="15"/>
      <c r="AU69" s="10">
        <v>727792.02</v>
      </c>
      <c r="AV69" s="15">
        <v>0.013307064495308652</v>
      </c>
      <c r="AW69" s="11">
        <v>27</v>
      </c>
      <c r="AX69" s="15">
        <v>0.0027040560841261893</v>
      </c>
      <c r="AY69" s="15"/>
      <c r="AZ69" s="11"/>
      <c r="BA69" s="15"/>
      <c r="BB69" s="10">
        <v>668303.54</v>
      </c>
      <c r="BC69" s="15">
        <v>0.012807255506416666</v>
      </c>
      <c r="BD69" s="11">
        <v>25</v>
      </c>
      <c r="BE69" s="15">
        <v>0.002537555826228177</v>
      </c>
      <c r="BF69" s="15"/>
      <c r="BG69" s="11"/>
      <c r="BH69" s="15"/>
      <c r="BI69" s="10">
        <v>647951.37</v>
      </c>
      <c r="BJ69" s="15">
        <v>0.014374029334410914</v>
      </c>
      <c r="BK69" s="11">
        <v>24</v>
      </c>
      <c r="BL69" s="15">
        <v>0.0026616391260951538</v>
      </c>
      <c r="BM69" s="15"/>
      <c r="BN69" s="11"/>
      <c r="BO69" s="15"/>
      <c r="BP69" s="10">
        <v>758881.42</v>
      </c>
      <c r="BQ69" s="15">
        <v>0.018325969374953413</v>
      </c>
      <c r="BR69" s="11">
        <v>28</v>
      </c>
      <c r="BS69" s="15">
        <v>0.003294505235910107</v>
      </c>
      <c r="BT69" s="15"/>
      <c r="BU69" s="11"/>
      <c r="BV69" s="15"/>
      <c r="BW69" s="10">
        <v>898485.23</v>
      </c>
      <c r="BX69" s="15">
        <v>0.02464126278042196</v>
      </c>
      <c r="BY69" s="11">
        <v>33</v>
      </c>
      <c r="BZ69" s="15">
        <v>0.004270738967257668</v>
      </c>
      <c r="CA69" s="15"/>
      <c r="CB69" s="11"/>
      <c r="CC69" s="15"/>
      <c r="CD69" s="10">
        <v>787397.27</v>
      </c>
      <c r="CE69" s="15">
        <v>0.024901737368867614</v>
      </c>
      <c r="CF69" s="11">
        <v>29</v>
      </c>
      <c r="CG69" s="15">
        <v>0.004215729030382323</v>
      </c>
      <c r="CH69" s="15"/>
      <c r="CI69" s="11"/>
      <c r="CJ69" s="15"/>
      <c r="CK69" s="10">
        <v>1563757.96</v>
      </c>
      <c r="CL69" s="15">
        <v>0.035790648772035784</v>
      </c>
      <c r="CM69" s="11">
        <v>58</v>
      </c>
      <c r="CN69" s="15">
        <v>0.005727263750370297</v>
      </c>
      <c r="CO69" s="15"/>
      <c r="CP69" s="11"/>
      <c r="CQ69" s="15"/>
    </row>
    <row r="70" spans="1:95" ht="12.75">
      <c r="A70" s="9" t="s">
        <v>4</v>
      </c>
      <c r="B70" s="9"/>
      <c r="C70" s="9"/>
      <c r="D70" s="10">
        <v>755290.41</v>
      </c>
      <c r="E70" s="15">
        <v>0.019522359661660733</v>
      </c>
      <c r="F70" s="11">
        <v>22</v>
      </c>
      <c r="G70" s="15">
        <v>0.0026240458015267176</v>
      </c>
      <c r="H70" s="15"/>
      <c r="I70" s="10">
        <v>572440.4</v>
      </c>
      <c r="J70" s="15">
        <v>0.01803509117032465</v>
      </c>
      <c r="K70" s="11">
        <v>17</v>
      </c>
      <c r="L70" s="15">
        <v>0.002229800629590766</v>
      </c>
      <c r="M70" s="15"/>
      <c r="N70" s="11"/>
      <c r="O70" s="15"/>
      <c r="P70" s="15"/>
      <c r="Q70" s="10">
        <v>404201.42</v>
      </c>
      <c r="R70" s="15">
        <v>0.011684058763525858</v>
      </c>
      <c r="S70" s="11">
        <v>12</v>
      </c>
      <c r="T70" s="15">
        <v>0.0015050796437978177</v>
      </c>
      <c r="U70" s="15"/>
      <c r="V70" s="11"/>
      <c r="W70" s="15"/>
      <c r="X70" s="15"/>
      <c r="Y70" s="10">
        <v>237773.93</v>
      </c>
      <c r="Z70" s="15">
        <v>0.007450328313060871</v>
      </c>
      <c r="AA70" s="11">
        <v>7</v>
      </c>
      <c r="AB70" s="15">
        <v>0.0009158707313881983</v>
      </c>
      <c r="AC70" s="15"/>
      <c r="AD70" s="11"/>
      <c r="AE70" s="15"/>
      <c r="AF70" s="15"/>
      <c r="AG70" s="10">
        <v>739389.02</v>
      </c>
      <c r="AH70" s="15">
        <v>0.013716887429696374</v>
      </c>
      <c r="AI70" s="11">
        <v>20</v>
      </c>
      <c r="AJ70" s="15">
        <v>0.0018682858477347033</v>
      </c>
      <c r="AK70" s="15"/>
      <c r="AL70" s="11"/>
      <c r="AM70" s="15"/>
      <c r="AN70" s="10">
        <v>937474.93</v>
      </c>
      <c r="AO70" s="15">
        <v>0.015275486347157573</v>
      </c>
      <c r="AP70" s="11">
        <v>26</v>
      </c>
      <c r="AQ70" s="15">
        <v>0.0024105321713332097</v>
      </c>
      <c r="AR70" s="15"/>
      <c r="AS70" s="11"/>
      <c r="AT70" s="15"/>
      <c r="AU70" s="10">
        <v>925035.11</v>
      </c>
      <c r="AV70" s="15">
        <v>0.016913488374322837</v>
      </c>
      <c r="AW70" s="11">
        <v>25</v>
      </c>
      <c r="AX70" s="15">
        <v>0.0025037556334501754</v>
      </c>
      <c r="AY70" s="15"/>
      <c r="AZ70" s="11"/>
      <c r="BA70" s="15"/>
      <c r="BB70" s="10">
        <v>954029.01</v>
      </c>
      <c r="BC70" s="15">
        <v>0.018282849873283234</v>
      </c>
      <c r="BD70" s="11">
        <v>27</v>
      </c>
      <c r="BE70" s="15">
        <v>0.0027405602923264312</v>
      </c>
      <c r="BF70" s="15"/>
      <c r="BG70" s="11"/>
      <c r="BH70" s="15"/>
      <c r="BI70" s="10">
        <v>837979.54</v>
      </c>
      <c r="BJ70" s="15">
        <v>0.018589577933288668</v>
      </c>
      <c r="BK70" s="11">
        <v>23</v>
      </c>
      <c r="BL70" s="15">
        <v>0.002550737495841189</v>
      </c>
      <c r="BM70" s="15"/>
      <c r="BN70" s="11"/>
      <c r="BO70" s="15"/>
      <c r="BP70" s="10">
        <v>851551.79</v>
      </c>
      <c r="BQ70" s="15">
        <v>0.02056383463008854</v>
      </c>
      <c r="BR70" s="11">
        <v>24</v>
      </c>
      <c r="BS70" s="15">
        <v>0.0028238616307800918</v>
      </c>
      <c r="BT70" s="15"/>
      <c r="BU70" s="11"/>
      <c r="BV70" s="15"/>
      <c r="BW70" s="10">
        <v>834406.61</v>
      </c>
      <c r="BX70" s="15">
        <v>0.022883884849983632</v>
      </c>
      <c r="BY70" s="11">
        <v>23</v>
      </c>
      <c r="BZ70" s="15">
        <v>0.002976575643846253</v>
      </c>
      <c r="CA70" s="15"/>
      <c r="CB70" s="11"/>
      <c r="CC70" s="15"/>
      <c r="CD70" s="10">
        <v>847764.12</v>
      </c>
      <c r="CE70" s="15">
        <v>0.02681086190073935</v>
      </c>
      <c r="CF70" s="11">
        <v>24</v>
      </c>
      <c r="CG70" s="15">
        <v>0.0034888791975577847</v>
      </c>
      <c r="CH70" s="15"/>
      <c r="CI70" s="11"/>
      <c r="CJ70" s="15"/>
      <c r="CK70" s="10">
        <v>1436106.67</v>
      </c>
      <c r="CL70" s="15">
        <v>0.032869018569311</v>
      </c>
      <c r="CM70" s="11">
        <v>41</v>
      </c>
      <c r="CN70" s="15">
        <v>0.004048582995951417</v>
      </c>
      <c r="CO70" s="15"/>
      <c r="CP70" s="11"/>
      <c r="CQ70" s="15"/>
    </row>
    <row r="71" spans="1:95" ht="12.75">
      <c r="A71" s="9" t="s">
        <v>5</v>
      </c>
      <c r="B71" s="9"/>
      <c r="C71" s="9"/>
      <c r="D71" s="10">
        <v>193889.75</v>
      </c>
      <c r="E71" s="15">
        <v>0.005011562948627251</v>
      </c>
      <c r="F71" s="11">
        <v>3</v>
      </c>
      <c r="G71" s="15">
        <v>0.00035782442748091603</v>
      </c>
      <c r="H71" s="15"/>
      <c r="I71" s="10">
        <v>183857.13</v>
      </c>
      <c r="J71" s="15">
        <v>0.005792533339478191</v>
      </c>
      <c r="K71" s="11">
        <v>3</v>
      </c>
      <c r="L71" s="15">
        <v>0.00039349422875131166</v>
      </c>
      <c r="M71" s="15"/>
      <c r="N71" s="11"/>
      <c r="O71" s="15"/>
      <c r="P71" s="15"/>
      <c r="Q71" s="10">
        <v>176119.62</v>
      </c>
      <c r="R71" s="15">
        <v>0.005091006334143616</v>
      </c>
      <c r="S71" s="11">
        <v>3</v>
      </c>
      <c r="T71" s="15">
        <v>0.0003762699109494544</v>
      </c>
      <c r="U71" s="15"/>
      <c r="V71" s="11"/>
      <c r="W71" s="15"/>
      <c r="X71" s="15"/>
      <c r="Y71" s="10">
        <v>168194.58</v>
      </c>
      <c r="Z71" s="15">
        <v>0.005270152373211739</v>
      </c>
      <c r="AA71" s="11">
        <v>3</v>
      </c>
      <c r="AB71" s="15">
        <v>0.0003925160277377993</v>
      </c>
      <c r="AC71" s="15"/>
      <c r="AD71" s="11"/>
      <c r="AE71" s="15"/>
      <c r="AF71" s="15"/>
      <c r="AG71" s="10">
        <v>457935.19</v>
      </c>
      <c r="AH71" s="15">
        <v>0.008495454059253707</v>
      </c>
      <c r="AI71" s="11">
        <v>9</v>
      </c>
      <c r="AJ71" s="15">
        <v>0.0008407286314806165</v>
      </c>
      <c r="AK71" s="15"/>
      <c r="AL71" s="11"/>
      <c r="AM71" s="15"/>
      <c r="AN71" s="10">
        <v>638483.86</v>
      </c>
      <c r="AO71" s="15">
        <v>0.010403639792597404</v>
      </c>
      <c r="AP71" s="11">
        <v>12</v>
      </c>
      <c r="AQ71" s="15">
        <v>0.0011125533098460968</v>
      </c>
      <c r="AR71" s="15"/>
      <c r="AS71" s="11"/>
      <c r="AT71" s="15"/>
      <c r="AU71" s="10">
        <v>484711.88</v>
      </c>
      <c r="AV71" s="15">
        <v>0.008862548738583737</v>
      </c>
      <c r="AW71" s="11">
        <v>9</v>
      </c>
      <c r="AX71" s="15">
        <v>0.000901352028042063</v>
      </c>
      <c r="AY71" s="15"/>
      <c r="AZ71" s="11"/>
      <c r="BA71" s="15"/>
      <c r="BB71" s="10">
        <v>311670.98</v>
      </c>
      <c r="BC71" s="15">
        <v>0.005972809712777038</v>
      </c>
      <c r="BD71" s="11">
        <v>6</v>
      </c>
      <c r="BE71" s="15">
        <v>0.0006090133982947625</v>
      </c>
      <c r="BF71" s="15"/>
      <c r="BG71" s="11"/>
      <c r="BH71" s="15"/>
      <c r="BI71" s="10">
        <v>61508.39</v>
      </c>
      <c r="BJ71" s="15">
        <v>0.0013644903662637317</v>
      </c>
      <c r="BK71" s="11">
        <v>1</v>
      </c>
      <c r="BL71" s="15">
        <v>0.00011090163025396473</v>
      </c>
      <c r="BM71" s="15"/>
      <c r="BN71" s="11"/>
      <c r="BO71" s="15"/>
      <c r="BP71" s="10">
        <v>175549.37</v>
      </c>
      <c r="BQ71" s="15">
        <v>0.004239282045424653</v>
      </c>
      <c r="BR71" s="11">
        <v>3</v>
      </c>
      <c r="BS71" s="15">
        <v>0.00035298270384751147</v>
      </c>
      <c r="BT71" s="15"/>
      <c r="BU71" s="11"/>
      <c r="BV71" s="15"/>
      <c r="BW71" s="10">
        <v>219231.65</v>
      </c>
      <c r="BX71" s="15">
        <v>0.006012502506508086</v>
      </c>
      <c r="BY71" s="11">
        <v>4</v>
      </c>
      <c r="BZ71" s="15">
        <v>0.0005176653293645658</v>
      </c>
      <c r="CA71" s="15"/>
      <c r="CB71" s="11"/>
      <c r="CC71" s="15"/>
      <c r="CD71" s="10">
        <v>353424.41</v>
      </c>
      <c r="CE71" s="15">
        <v>0.011177181040476544</v>
      </c>
      <c r="CF71" s="11">
        <v>6</v>
      </c>
      <c r="CG71" s="15">
        <v>0.0008722197993894462</v>
      </c>
      <c r="CH71" s="15"/>
      <c r="CI71" s="11"/>
      <c r="CJ71" s="15"/>
      <c r="CK71" s="10">
        <v>687294.3</v>
      </c>
      <c r="CL71" s="15">
        <v>0.015730509147542367</v>
      </c>
      <c r="CM71" s="11">
        <v>13</v>
      </c>
      <c r="CN71" s="15">
        <v>0.0012836970474967907</v>
      </c>
      <c r="CO71" s="15"/>
      <c r="CP71" s="11"/>
      <c r="CQ71" s="15"/>
    </row>
    <row r="72" spans="1:95" ht="12.75">
      <c r="A72" s="9"/>
      <c r="B72" s="9"/>
      <c r="C72" s="9"/>
      <c r="D72" s="10"/>
      <c r="E72" s="9"/>
      <c r="F72" s="11"/>
      <c r="G72" s="9"/>
      <c r="H72" s="9"/>
      <c r="I72" s="10"/>
      <c r="J72" s="9"/>
      <c r="K72" s="11"/>
      <c r="L72" s="9"/>
      <c r="M72" s="9"/>
      <c r="N72" s="11"/>
      <c r="O72" s="9"/>
      <c r="P72" s="9"/>
      <c r="Q72" s="10"/>
      <c r="R72" s="9"/>
      <c r="S72" s="11"/>
      <c r="T72" s="9"/>
      <c r="U72" s="9"/>
      <c r="V72" s="11"/>
      <c r="W72" s="9"/>
      <c r="X72" s="9"/>
      <c r="Y72" s="10"/>
      <c r="Z72" s="9"/>
      <c r="AA72" s="11"/>
      <c r="AB72" s="9"/>
      <c r="AC72" s="9"/>
      <c r="AD72" s="11"/>
      <c r="AE72" s="9"/>
      <c r="AF72" s="9"/>
      <c r="AG72" s="10"/>
      <c r="AH72" s="9"/>
      <c r="AI72" s="11"/>
      <c r="AJ72" s="9"/>
      <c r="AK72" s="9"/>
      <c r="AL72" s="11"/>
      <c r="AM72" s="9"/>
      <c r="AN72" s="10"/>
      <c r="AO72" s="9"/>
      <c r="AP72" s="11"/>
      <c r="AQ72" s="9"/>
      <c r="AR72" s="9"/>
      <c r="AS72" s="11"/>
      <c r="AT72" s="9"/>
      <c r="AU72" s="10"/>
      <c r="AV72" s="9"/>
      <c r="AW72" s="11"/>
      <c r="AX72" s="9"/>
      <c r="AY72" s="9"/>
      <c r="AZ72" s="11"/>
      <c r="BA72" s="9"/>
      <c r="BB72" s="10"/>
      <c r="BC72" s="9"/>
      <c r="BD72" s="11"/>
      <c r="BE72" s="9"/>
      <c r="BF72" s="9"/>
      <c r="BG72" s="11"/>
      <c r="BH72" s="9"/>
      <c r="BI72" s="10"/>
      <c r="BJ72" s="9"/>
      <c r="BK72" s="11"/>
      <c r="BL72" s="9"/>
      <c r="BM72" s="9"/>
      <c r="BN72" s="11"/>
      <c r="BO72" s="9"/>
      <c r="BP72" s="10"/>
      <c r="BQ72" s="9"/>
      <c r="BR72" s="11"/>
      <c r="BS72" s="9"/>
      <c r="BT72" s="9"/>
      <c r="BU72" s="11"/>
      <c r="BV72" s="9"/>
      <c r="BW72" s="10"/>
      <c r="BX72" s="9"/>
      <c r="BY72" s="11"/>
      <c r="BZ72" s="9"/>
      <c r="CA72" s="9"/>
      <c r="CB72" s="11"/>
      <c r="CC72" s="9"/>
      <c r="CD72" s="10"/>
      <c r="CE72" s="9"/>
      <c r="CF72" s="11"/>
      <c r="CG72" s="9"/>
      <c r="CH72" s="9"/>
      <c r="CI72" s="11"/>
      <c r="CJ72" s="9"/>
      <c r="CK72" s="10"/>
      <c r="CL72" s="9"/>
      <c r="CM72" s="11"/>
      <c r="CN72" s="9"/>
      <c r="CO72" s="9"/>
      <c r="CP72" s="11"/>
      <c r="CQ72" s="9"/>
    </row>
    <row r="73" spans="1:95" ht="13.5" thickBot="1">
      <c r="A73" s="9"/>
      <c r="B73" s="13"/>
      <c r="C73" s="13"/>
      <c r="D73" s="22">
        <f>SUM(D58:D71)</f>
        <v>38688479.42000002</v>
      </c>
      <c r="E73" s="24"/>
      <c r="F73" s="23">
        <f>SUM(F58:F71)</f>
        <v>8384</v>
      </c>
      <c r="G73" s="13"/>
      <c r="H73" s="13"/>
      <c r="I73" s="22">
        <f>SUM(I58:I71)</f>
        <v>31740366.300000004</v>
      </c>
      <c r="J73" s="24"/>
      <c r="K73" s="23">
        <f>SUM(K58:K71)</f>
        <v>7624</v>
      </c>
      <c r="L73" s="13"/>
      <c r="M73" s="24"/>
      <c r="N73" s="32"/>
      <c r="O73" s="13"/>
      <c r="P73" s="13"/>
      <c r="Q73" s="22">
        <f>SUM(Q58:Q71)</f>
        <v>34594264.559999995</v>
      </c>
      <c r="R73" s="24"/>
      <c r="S73" s="23">
        <f>SUM(S58:S71)</f>
        <v>7973</v>
      </c>
      <c r="T73" s="13"/>
      <c r="U73" s="24"/>
      <c r="V73" s="32"/>
      <c r="W73" s="13"/>
      <c r="X73" s="13"/>
      <c r="Y73" s="22">
        <f>SUM(Y58:Y71)</f>
        <v>31914557.319999993</v>
      </c>
      <c r="Z73" s="24"/>
      <c r="AA73" s="23">
        <f>SUM(AA58:AA71)</f>
        <v>7643</v>
      </c>
      <c r="AB73" s="13"/>
      <c r="AC73" s="24"/>
      <c r="AD73" s="32"/>
      <c r="AE73" s="13"/>
      <c r="AF73" s="13"/>
      <c r="AG73" s="22">
        <f>SUM(AG58:AG71)</f>
        <v>53903556.749999985</v>
      </c>
      <c r="AH73" s="24"/>
      <c r="AI73" s="23">
        <f>SUM(AI58:AI71)</f>
        <v>10705</v>
      </c>
      <c r="AJ73" s="13"/>
      <c r="AK73" s="24"/>
      <c r="AL73" s="32"/>
      <c r="AM73" s="13"/>
      <c r="AN73" s="22">
        <f>SUM(AN58:AN71)</f>
        <v>61371200.15000001</v>
      </c>
      <c r="AO73" s="24"/>
      <c r="AP73" s="23">
        <f>SUM(AP58:AP71)</f>
        <v>10786</v>
      </c>
      <c r="AQ73" s="13"/>
      <c r="AR73" s="24"/>
      <c r="AS73" s="32"/>
      <c r="AT73" s="13"/>
      <c r="AU73" s="22">
        <f>SUM(AU58:AU71)</f>
        <v>54692153.95</v>
      </c>
      <c r="AV73" s="24"/>
      <c r="AW73" s="23">
        <f>SUM(AW58:AW71)</f>
        <v>9985</v>
      </c>
      <c r="AX73" s="13"/>
      <c r="AY73" s="24"/>
      <c r="AZ73" s="32"/>
      <c r="BA73" s="13"/>
      <c r="BB73" s="22">
        <f>SUM(BB58:BB71)</f>
        <v>52181635.60999998</v>
      </c>
      <c r="BC73" s="24"/>
      <c r="BD73" s="23">
        <f>SUM(BD58:BD71)</f>
        <v>9852</v>
      </c>
      <c r="BE73" s="13"/>
      <c r="BF73" s="24"/>
      <c r="BG73" s="32"/>
      <c r="BH73" s="13"/>
      <c r="BI73" s="22">
        <f>SUM(BI58:BI71)</f>
        <v>45077921.77999996</v>
      </c>
      <c r="BJ73" s="24"/>
      <c r="BK73" s="23">
        <f>SUM(BK58:BK71)</f>
        <v>9017</v>
      </c>
      <c r="BL73" s="13"/>
      <c r="BM73" s="24"/>
      <c r="BN73" s="32"/>
      <c r="BO73" s="13"/>
      <c r="BP73" s="22">
        <f>SUM(BP58:BP71)</f>
        <v>41410165.23999998</v>
      </c>
      <c r="BQ73" s="24"/>
      <c r="BR73" s="23">
        <f>SUM(BR58:BR71)</f>
        <v>8499</v>
      </c>
      <c r="BS73" s="13"/>
      <c r="BT73" s="24"/>
      <c r="BU73" s="32"/>
      <c r="BV73" s="13"/>
      <c r="BW73" s="22">
        <f>SUM(BW58:BW71)</f>
        <v>36462629.289999984</v>
      </c>
      <c r="BX73" s="24"/>
      <c r="BY73" s="23">
        <f>SUM(BY58:BY71)</f>
        <v>7727</v>
      </c>
      <c r="BZ73" s="13"/>
      <c r="CA73" s="24"/>
      <c r="CB73" s="32"/>
      <c r="CC73" s="13"/>
      <c r="CD73" s="22">
        <f>SUM(CD58:CD71)</f>
        <v>31620174.059999976</v>
      </c>
      <c r="CE73" s="24"/>
      <c r="CF73" s="23">
        <f>SUM(CF58:CF71)</f>
        <v>6879</v>
      </c>
      <c r="CG73" s="13"/>
      <c r="CH73" s="24"/>
      <c r="CI73" s="32"/>
      <c r="CJ73" s="13"/>
      <c r="CK73" s="22">
        <f>SUM(CK58:CK71)</f>
        <v>43691802.57</v>
      </c>
      <c r="CL73" s="24"/>
      <c r="CM73" s="23">
        <f>SUM(CM58:CM71)</f>
        <v>10127</v>
      </c>
      <c r="CN73" s="13"/>
      <c r="CO73" s="24"/>
      <c r="CP73" s="32"/>
      <c r="CQ73" s="13"/>
    </row>
    <row r="74" spans="1:95" ht="13.5" thickTop="1">
      <c r="A74" s="13"/>
      <c r="B74" s="9"/>
      <c r="C74" s="9"/>
      <c r="D74" s="10"/>
      <c r="E74" s="9"/>
      <c r="F74" s="11"/>
      <c r="G74" s="9"/>
      <c r="H74" s="9"/>
      <c r="I74" s="10"/>
      <c r="J74" s="9"/>
      <c r="K74" s="11"/>
      <c r="L74" s="9"/>
      <c r="M74" s="9"/>
      <c r="N74" s="11"/>
      <c r="O74" s="9"/>
      <c r="P74" s="9"/>
      <c r="Q74" s="10"/>
      <c r="R74" s="9"/>
      <c r="S74" s="11"/>
      <c r="T74" s="9"/>
      <c r="U74" s="9"/>
      <c r="V74" s="11"/>
      <c r="W74" s="9"/>
      <c r="X74" s="9"/>
      <c r="Y74" s="10"/>
      <c r="Z74" s="9"/>
      <c r="AA74" s="11"/>
      <c r="AB74" s="9"/>
      <c r="AC74" s="9"/>
      <c r="AD74" s="11"/>
      <c r="AE74" s="9"/>
      <c r="AF74" s="9"/>
      <c r="AG74" s="10"/>
      <c r="AH74" s="9"/>
      <c r="AI74" s="11"/>
      <c r="AJ74" s="9"/>
      <c r="AK74" s="9"/>
      <c r="AL74" s="11"/>
      <c r="AM74" s="9"/>
      <c r="AN74" s="10"/>
      <c r="AO74" s="9"/>
      <c r="AP74" s="11"/>
      <c r="AQ74" s="9"/>
      <c r="AR74" s="9"/>
      <c r="AS74" s="11"/>
      <c r="AT74" s="9"/>
      <c r="AU74" s="10"/>
      <c r="AV74" s="9"/>
      <c r="AW74" s="11"/>
      <c r="AX74" s="9"/>
      <c r="AY74" s="9"/>
      <c r="AZ74" s="11"/>
      <c r="BA74" s="9"/>
      <c r="BB74" s="10"/>
      <c r="BC74" s="9"/>
      <c r="BD74" s="11"/>
      <c r="BE74" s="9"/>
      <c r="BF74" s="9"/>
      <c r="BG74" s="11"/>
      <c r="BH74" s="9"/>
      <c r="BI74" s="10"/>
      <c r="BJ74" s="9"/>
      <c r="BK74" s="11"/>
      <c r="BL74" s="9"/>
      <c r="BM74" s="9"/>
      <c r="BN74" s="11"/>
      <c r="BO74" s="9"/>
      <c r="BP74" s="10"/>
      <c r="BQ74" s="9"/>
      <c r="BR74" s="11"/>
      <c r="BS74" s="9"/>
      <c r="BT74" s="9"/>
      <c r="BU74" s="11"/>
      <c r="BV74" s="9"/>
      <c r="BW74" s="10"/>
      <c r="BX74" s="9"/>
      <c r="BY74" s="11"/>
      <c r="BZ74" s="9"/>
      <c r="CA74" s="9"/>
      <c r="CB74" s="11"/>
      <c r="CC74" s="9"/>
      <c r="CD74" s="10"/>
      <c r="CE74" s="9"/>
      <c r="CF74" s="11"/>
      <c r="CG74" s="9"/>
      <c r="CH74" s="9"/>
      <c r="CI74" s="11"/>
      <c r="CJ74" s="9"/>
      <c r="CK74" s="10"/>
      <c r="CL74" s="9"/>
      <c r="CM74" s="11"/>
      <c r="CN74" s="9"/>
      <c r="CO74" s="9"/>
      <c r="CP74" s="11"/>
      <c r="CQ74" s="9"/>
    </row>
    <row r="75" spans="1:95" ht="12.75">
      <c r="A75" s="9"/>
      <c r="B75" s="9"/>
      <c r="C75" s="9"/>
      <c r="D75" s="10"/>
      <c r="E75" s="9"/>
      <c r="F75" s="11"/>
      <c r="G75" s="9"/>
      <c r="H75" s="9"/>
      <c r="I75" s="9"/>
      <c r="J75" s="9"/>
      <c r="K75" s="9"/>
      <c r="L75" s="10"/>
      <c r="M75" s="9"/>
      <c r="N75" s="11"/>
      <c r="O75" s="9"/>
      <c r="P75" s="9"/>
      <c r="Q75" s="9"/>
      <c r="R75" s="9"/>
      <c r="S75" s="9"/>
      <c r="T75" s="10"/>
      <c r="U75" s="9"/>
      <c r="V75" s="11"/>
      <c r="W75" s="9"/>
      <c r="X75" s="9"/>
      <c r="Y75" s="9"/>
      <c r="Z75" s="9"/>
      <c r="AA75" s="9"/>
      <c r="AB75" s="10"/>
      <c r="AC75" s="9"/>
      <c r="AD75" s="11"/>
      <c r="AE75" s="9"/>
      <c r="AF75" s="9"/>
      <c r="AG75" s="9"/>
      <c r="AH75" s="9"/>
      <c r="AI75" s="9"/>
      <c r="AJ75" s="10"/>
      <c r="AK75" s="9"/>
      <c r="AL75" s="11"/>
      <c r="AM75" s="9"/>
      <c r="AN75" s="9"/>
      <c r="AO75" s="9"/>
      <c r="AP75" s="9"/>
      <c r="AQ75" s="10"/>
      <c r="AR75" s="9"/>
      <c r="AS75" s="11"/>
      <c r="AT75" s="9"/>
      <c r="AU75" s="9"/>
      <c r="AV75" s="9"/>
      <c r="AW75" s="9"/>
      <c r="AX75" s="10"/>
      <c r="AY75" s="9"/>
      <c r="AZ75" s="11"/>
      <c r="BA75" s="9"/>
      <c r="BB75" s="9"/>
      <c r="BC75" s="9"/>
      <c r="BD75" s="9"/>
      <c r="BE75" s="10"/>
      <c r="BF75" s="9"/>
      <c r="BG75" s="11"/>
      <c r="BH75" s="9"/>
      <c r="BI75" s="9"/>
      <c r="BJ75" s="9"/>
      <c r="BK75" s="9"/>
      <c r="BL75" s="10"/>
      <c r="BM75" s="9"/>
      <c r="BN75" s="11"/>
      <c r="BO75" s="9"/>
      <c r="BP75" s="9"/>
      <c r="BQ75" s="9"/>
      <c r="BR75" s="9"/>
      <c r="BS75" s="10"/>
      <c r="BT75" s="9"/>
      <c r="BU75" s="11"/>
      <c r="BV75" s="9"/>
      <c r="BW75" s="9"/>
      <c r="BX75" s="9"/>
      <c r="BY75" s="9"/>
      <c r="BZ75" s="10"/>
      <c r="CA75" s="9"/>
      <c r="CB75" s="11"/>
      <c r="CC75" s="9"/>
      <c r="CD75" s="9"/>
      <c r="CE75" s="9"/>
      <c r="CF75" s="9"/>
      <c r="CG75" s="10"/>
      <c r="CH75" s="9"/>
      <c r="CI75" s="11"/>
      <c r="CJ75" s="9"/>
      <c r="CK75" s="9"/>
      <c r="CL75" s="9"/>
      <c r="CM75" s="9"/>
      <c r="CN75" s="10"/>
      <c r="CO75" s="9"/>
      <c r="CP75" s="11"/>
      <c r="CQ75" s="9"/>
    </row>
    <row r="76" spans="1:95" ht="12.75">
      <c r="A76" s="9"/>
      <c r="B76" s="9"/>
      <c r="C76" s="9"/>
      <c r="D76" s="10"/>
      <c r="E76" s="9"/>
      <c r="F76" s="11"/>
      <c r="G76" s="9"/>
      <c r="H76" s="9"/>
      <c r="I76" s="9"/>
      <c r="J76" s="9"/>
      <c r="K76" s="9"/>
      <c r="L76" s="10"/>
      <c r="M76" s="9"/>
      <c r="N76" s="11"/>
      <c r="O76" s="9"/>
      <c r="P76" s="9"/>
      <c r="Q76" s="9"/>
      <c r="R76" s="9"/>
      <c r="S76" s="9"/>
      <c r="T76" s="10"/>
      <c r="U76" s="9"/>
      <c r="V76" s="11"/>
      <c r="W76" s="9"/>
      <c r="X76" s="9"/>
      <c r="Y76" s="9"/>
      <c r="Z76" s="9"/>
      <c r="AA76" s="9"/>
      <c r="AB76" s="10"/>
      <c r="AC76" s="9"/>
      <c r="AD76" s="11"/>
      <c r="AE76" s="9"/>
      <c r="AF76" s="9"/>
      <c r="AG76" s="9"/>
      <c r="AH76" s="9"/>
      <c r="AI76" s="9"/>
      <c r="AJ76" s="10"/>
      <c r="AK76" s="9"/>
      <c r="AL76" s="11"/>
      <c r="AM76" s="9"/>
      <c r="AN76" s="9"/>
      <c r="AO76" s="9"/>
      <c r="AP76" s="9"/>
      <c r="AQ76" s="10"/>
      <c r="AR76" s="9"/>
      <c r="AS76" s="11"/>
      <c r="AT76" s="9"/>
      <c r="AU76" s="9"/>
      <c r="AV76" s="9"/>
      <c r="AW76" s="9"/>
      <c r="AX76" s="10"/>
      <c r="AY76" s="9"/>
      <c r="AZ76" s="11"/>
      <c r="BA76" s="9"/>
      <c r="BB76" s="9"/>
      <c r="BC76" s="9"/>
      <c r="BD76" s="9"/>
      <c r="BE76" s="10"/>
      <c r="BF76" s="9"/>
      <c r="BG76" s="11"/>
      <c r="BH76" s="9"/>
      <c r="BI76" s="9"/>
      <c r="BJ76" s="9"/>
      <c r="BK76" s="9"/>
      <c r="BL76" s="10"/>
      <c r="BM76" s="9"/>
      <c r="BN76" s="11"/>
      <c r="BO76" s="9"/>
      <c r="BP76" s="9"/>
      <c r="BQ76" s="9"/>
      <c r="BR76" s="9"/>
      <c r="BS76" s="10"/>
      <c r="BT76" s="9"/>
      <c r="BU76" s="11"/>
      <c r="BV76" s="9"/>
      <c r="BW76" s="9"/>
      <c r="BX76" s="9"/>
      <c r="BY76" s="9"/>
      <c r="BZ76" s="10"/>
      <c r="CA76" s="9"/>
      <c r="CB76" s="11"/>
      <c r="CC76" s="9"/>
      <c r="CD76" s="9"/>
      <c r="CE76" s="9"/>
      <c r="CF76" s="9"/>
      <c r="CG76" s="10"/>
      <c r="CH76" s="9"/>
      <c r="CI76" s="11"/>
      <c r="CJ76" s="9"/>
      <c r="CK76" s="9"/>
      <c r="CL76" s="9"/>
      <c r="CM76" s="9"/>
      <c r="CN76" s="10"/>
      <c r="CO76" s="9"/>
      <c r="CP76" s="11"/>
      <c r="CQ76" s="9"/>
    </row>
    <row r="77" spans="1:95" ht="12.75">
      <c r="A77" s="20" t="s">
        <v>105</v>
      </c>
      <c r="B77" s="9"/>
      <c r="C77" s="9"/>
      <c r="D77" s="10"/>
      <c r="E77" s="9"/>
      <c r="F77" s="11"/>
      <c r="G77" s="9"/>
      <c r="H77" s="9"/>
      <c r="I77" s="20" t="s">
        <v>105</v>
      </c>
      <c r="J77" s="9"/>
      <c r="K77" s="9"/>
      <c r="L77" s="10"/>
      <c r="M77" s="9"/>
      <c r="N77" s="11"/>
      <c r="O77" s="9"/>
      <c r="P77" s="9"/>
      <c r="Q77" s="20" t="s">
        <v>105</v>
      </c>
      <c r="R77" s="9"/>
      <c r="S77" s="9"/>
      <c r="T77" s="10"/>
      <c r="U77" s="9"/>
      <c r="V77" s="11"/>
      <c r="W77" s="9"/>
      <c r="X77" s="9"/>
      <c r="Y77" s="20" t="s">
        <v>105</v>
      </c>
      <c r="Z77" s="9"/>
      <c r="AA77" s="9"/>
      <c r="AB77" s="10"/>
      <c r="AC77" s="9"/>
      <c r="AD77" s="11"/>
      <c r="AE77" s="9"/>
      <c r="AF77" s="9"/>
      <c r="AG77" s="20" t="s">
        <v>105</v>
      </c>
      <c r="AH77" s="9"/>
      <c r="AI77" s="9"/>
      <c r="AJ77" s="10"/>
      <c r="AK77" s="9"/>
      <c r="AL77" s="11"/>
      <c r="AM77" s="9"/>
      <c r="AN77" s="20" t="s">
        <v>105</v>
      </c>
      <c r="AO77" s="9"/>
      <c r="AP77" s="9"/>
      <c r="AQ77" s="10"/>
      <c r="AR77" s="9"/>
      <c r="AS77" s="11"/>
      <c r="AT77" s="9"/>
      <c r="AU77" s="20" t="s">
        <v>105</v>
      </c>
      <c r="AV77" s="9"/>
      <c r="AW77" s="9"/>
      <c r="AX77" s="10"/>
      <c r="AY77" s="9"/>
      <c r="AZ77" s="11"/>
      <c r="BA77" s="9"/>
      <c r="BB77" s="20" t="s">
        <v>105</v>
      </c>
      <c r="BC77" s="9"/>
      <c r="BD77" s="9"/>
      <c r="BE77" s="10"/>
      <c r="BF77" s="9"/>
      <c r="BG77" s="11"/>
      <c r="BH77" s="9"/>
      <c r="BI77" s="20" t="s">
        <v>105</v>
      </c>
      <c r="BJ77" s="9"/>
      <c r="BK77" s="9"/>
      <c r="BL77" s="10"/>
      <c r="BM77" s="9"/>
      <c r="BN77" s="11"/>
      <c r="BO77" s="9"/>
      <c r="BP77" s="20" t="s">
        <v>105</v>
      </c>
      <c r="BQ77" s="9"/>
      <c r="BR77" s="9"/>
      <c r="BS77" s="10"/>
      <c r="BT77" s="9"/>
      <c r="BU77" s="11"/>
      <c r="BV77" s="9"/>
      <c r="BW77" s="20" t="s">
        <v>105</v>
      </c>
      <c r="BX77" s="9"/>
      <c r="BY77" s="9"/>
      <c r="BZ77" s="10"/>
      <c r="CA77" s="9"/>
      <c r="CB77" s="11"/>
      <c r="CC77" s="9"/>
      <c r="CD77" s="20" t="s">
        <v>105</v>
      </c>
      <c r="CE77" s="9"/>
      <c r="CF77" s="9"/>
      <c r="CG77" s="10"/>
      <c r="CH77" s="9"/>
      <c r="CI77" s="11"/>
      <c r="CJ77" s="9"/>
      <c r="CK77" s="20" t="s">
        <v>105</v>
      </c>
      <c r="CL77" s="9"/>
      <c r="CM77" s="9"/>
      <c r="CN77" s="10"/>
      <c r="CO77" s="9"/>
      <c r="CP77" s="11"/>
      <c r="CQ77" s="9"/>
    </row>
    <row r="78" spans="1:95" ht="12.75">
      <c r="A78" s="20"/>
      <c r="B78" s="9"/>
      <c r="C78" s="9"/>
      <c r="D78" s="10"/>
      <c r="E78" s="9"/>
      <c r="F78" s="11"/>
      <c r="G78" s="9"/>
      <c r="H78" s="9"/>
      <c r="I78" s="20"/>
      <c r="J78" s="9"/>
      <c r="K78" s="9"/>
      <c r="L78" s="10"/>
      <c r="M78" s="9"/>
      <c r="N78" s="11"/>
      <c r="O78" s="9"/>
      <c r="P78" s="9"/>
      <c r="Q78" s="20"/>
      <c r="R78" s="9"/>
      <c r="S78" s="9"/>
      <c r="T78" s="10"/>
      <c r="U78" s="9"/>
      <c r="V78" s="11"/>
      <c r="W78" s="9"/>
      <c r="X78" s="9"/>
      <c r="Y78" s="20"/>
      <c r="Z78" s="9"/>
      <c r="AA78" s="9"/>
      <c r="AB78" s="10"/>
      <c r="AC78" s="9"/>
      <c r="AD78" s="11"/>
      <c r="AE78" s="9"/>
      <c r="AF78" s="9"/>
      <c r="AG78" s="20"/>
      <c r="AH78" s="9"/>
      <c r="AI78" s="9"/>
      <c r="AJ78" s="10"/>
      <c r="AK78" s="9"/>
      <c r="AL78" s="11"/>
      <c r="AM78" s="9"/>
      <c r="AN78" s="20"/>
      <c r="AO78" s="9"/>
      <c r="AP78" s="9"/>
      <c r="AQ78" s="10"/>
      <c r="AR78" s="9"/>
      <c r="AS78" s="11"/>
      <c r="AT78" s="9"/>
      <c r="AU78" s="20"/>
      <c r="AV78" s="9"/>
      <c r="AW78" s="9"/>
      <c r="AX78" s="10"/>
      <c r="AY78" s="9"/>
      <c r="AZ78" s="11"/>
      <c r="BA78" s="9"/>
      <c r="BB78" s="20"/>
      <c r="BC78" s="9"/>
      <c r="BD78" s="9"/>
      <c r="BE78" s="10"/>
      <c r="BF78" s="9"/>
      <c r="BG78" s="11"/>
      <c r="BH78" s="9"/>
      <c r="BI78" s="20"/>
      <c r="BJ78" s="9"/>
      <c r="BK78" s="9"/>
      <c r="BL78" s="10"/>
      <c r="BM78" s="9"/>
      <c r="BN78" s="11"/>
      <c r="BO78" s="9"/>
      <c r="BP78" s="20"/>
      <c r="BQ78" s="9"/>
      <c r="BR78" s="9"/>
      <c r="BS78" s="10"/>
      <c r="BT78" s="9"/>
      <c r="BU78" s="11"/>
      <c r="BV78" s="9"/>
      <c r="BW78" s="20"/>
      <c r="BX78" s="9"/>
      <c r="BY78" s="9"/>
      <c r="BZ78" s="10"/>
      <c r="CA78" s="9"/>
      <c r="CB78" s="11"/>
      <c r="CC78" s="9"/>
      <c r="CD78" s="20"/>
      <c r="CE78" s="9"/>
      <c r="CF78" s="9"/>
      <c r="CG78" s="10"/>
      <c r="CH78" s="9"/>
      <c r="CI78" s="11"/>
      <c r="CJ78" s="9"/>
      <c r="CK78" s="20"/>
      <c r="CL78" s="9"/>
      <c r="CM78" s="9"/>
      <c r="CN78" s="10"/>
      <c r="CO78" s="9"/>
      <c r="CP78" s="11"/>
      <c r="CQ78" s="9"/>
    </row>
    <row r="79" spans="1:95" s="30" customFormat="1" ht="12.75">
      <c r="A79" s="26"/>
      <c r="B79" s="27"/>
      <c r="C79" s="27"/>
      <c r="D79" s="28" t="s">
        <v>143</v>
      </c>
      <c r="E79" s="27" t="s">
        <v>96</v>
      </c>
      <c r="F79" s="29" t="s">
        <v>97</v>
      </c>
      <c r="G79" s="27" t="s">
        <v>96</v>
      </c>
      <c r="H79" s="27"/>
      <c r="I79" s="28" t="s">
        <v>143</v>
      </c>
      <c r="J79" s="27" t="s">
        <v>96</v>
      </c>
      <c r="K79" s="29" t="s">
        <v>97</v>
      </c>
      <c r="L79" s="27" t="s">
        <v>96</v>
      </c>
      <c r="M79" s="65"/>
      <c r="N79" s="66"/>
      <c r="O79" s="65"/>
      <c r="P79" s="27"/>
      <c r="Q79" s="28" t="s">
        <v>143</v>
      </c>
      <c r="R79" s="27" t="s">
        <v>96</v>
      </c>
      <c r="S79" s="29" t="s">
        <v>97</v>
      </c>
      <c r="T79" s="27" t="s">
        <v>96</v>
      </c>
      <c r="U79" s="65"/>
      <c r="V79" s="66"/>
      <c r="W79" s="65"/>
      <c r="X79" s="27"/>
      <c r="Y79" s="28" t="s">
        <v>143</v>
      </c>
      <c r="Z79" s="27" t="s">
        <v>96</v>
      </c>
      <c r="AA79" s="29" t="s">
        <v>97</v>
      </c>
      <c r="AB79" s="27" t="s">
        <v>96</v>
      </c>
      <c r="AC79" s="65"/>
      <c r="AD79" s="66"/>
      <c r="AE79" s="65"/>
      <c r="AF79" s="27"/>
      <c r="AG79" s="28" t="s">
        <v>143</v>
      </c>
      <c r="AH79" s="27" t="s">
        <v>96</v>
      </c>
      <c r="AI79" s="29" t="s">
        <v>97</v>
      </c>
      <c r="AJ79" s="27" t="s">
        <v>96</v>
      </c>
      <c r="AK79" s="65"/>
      <c r="AL79" s="66"/>
      <c r="AM79" s="65"/>
      <c r="AN79" s="94" t="s">
        <v>143</v>
      </c>
      <c r="AO79" s="45" t="s">
        <v>96</v>
      </c>
      <c r="AP79" s="93" t="s">
        <v>97</v>
      </c>
      <c r="AQ79" s="45" t="s">
        <v>96</v>
      </c>
      <c r="AR79" s="65"/>
      <c r="AS79" s="66"/>
      <c r="AT79" s="65"/>
      <c r="AU79" s="94" t="s">
        <v>143</v>
      </c>
      <c r="AV79" s="45" t="s">
        <v>96</v>
      </c>
      <c r="AW79" s="93" t="s">
        <v>97</v>
      </c>
      <c r="AX79" s="27" t="s">
        <v>96</v>
      </c>
      <c r="AY79" s="65"/>
      <c r="AZ79" s="66"/>
      <c r="BA79" s="65"/>
      <c r="BB79" s="94" t="s">
        <v>143</v>
      </c>
      <c r="BC79" s="45" t="s">
        <v>96</v>
      </c>
      <c r="BD79" s="93" t="s">
        <v>97</v>
      </c>
      <c r="BE79" s="27" t="s">
        <v>96</v>
      </c>
      <c r="BF79" s="65"/>
      <c r="BG79" s="66"/>
      <c r="BH79" s="65"/>
      <c r="BI79" s="94" t="s">
        <v>143</v>
      </c>
      <c r="BJ79" s="45" t="s">
        <v>96</v>
      </c>
      <c r="BK79" s="93" t="s">
        <v>97</v>
      </c>
      <c r="BL79" s="27" t="s">
        <v>96</v>
      </c>
      <c r="BM79" s="65"/>
      <c r="BN79" s="66"/>
      <c r="BO79" s="65"/>
      <c r="BP79" s="94" t="s">
        <v>143</v>
      </c>
      <c r="BQ79" s="45" t="s">
        <v>96</v>
      </c>
      <c r="BR79" s="93" t="s">
        <v>97</v>
      </c>
      <c r="BS79" s="27" t="s">
        <v>96</v>
      </c>
      <c r="BT79" s="65"/>
      <c r="BU79" s="66"/>
      <c r="BV79" s="65"/>
      <c r="BW79" s="94" t="s">
        <v>143</v>
      </c>
      <c r="BX79" s="45" t="s">
        <v>96</v>
      </c>
      <c r="BY79" s="93" t="s">
        <v>97</v>
      </c>
      <c r="BZ79" s="27" t="s">
        <v>96</v>
      </c>
      <c r="CA79" s="65"/>
      <c r="CB79" s="66"/>
      <c r="CC79" s="65"/>
      <c r="CD79" s="94" t="s">
        <v>143</v>
      </c>
      <c r="CE79" s="45" t="s">
        <v>96</v>
      </c>
      <c r="CF79" s="93" t="s">
        <v>97</v>
      </c>
      <c r="CG79" s="27" t="s">
        <v>96</v>
      </c>
      <c r="CH79" s="65"/>
      <c r="CI79" s="66"/>
      <c r="CJ79" s="65"/>
      <c r="CK79" s="94" t="s">
        <v>143</v>
      </c>
      <c r="CL79" s="45" t="s">
        <v>96</v>
      </c>
      <c r="CM79" s="93" t="s">
        <v>97</v>
      </c>
      <c r="CN79" s="27" t="s">
        <v>96</v>
      </c>
      <c r="CO79" s="65"/>
      <c r="CP79" s="66"/>
      <c r="CQ79" s="65"/>
    </row>
    <row r="80" spans="1:95" ht="12.75">
      <c r="A80" s="13"/>
      <c r="B80" s="9"/>
      <c r="C80" s="9"/>
      <c r="D80" s="10"/>
      <c r="E80" s="9"/>
      <c r="F80" s="11"/>
      <c r="G80" s="9"/>
      <c r="H80" s="9"/>
      <c r="I80" s="10"/>
      <c r="J80" s="9"/>
      <c r="K80" s="11"/>
      <c r="L80" s="9"/>
      <c r="M80" s="55"/>
      <c r="N80" s="56"/>
      <c r="O80" s="55"/>
      <c r="P80" s="9"/>
      <c r="Q80" s="10"/>
      <c r="R80" s="9"/>
      <c r="S80" s="11"/>
      <c r="T80" s="9"/>
      <c r="U80" s="55"/>
      <c r="V80" s="56"/>
      <c r="W80" s="55"/>
      <c r="X80" s="9"/>
      <c r="Y80" s="10"/>
      <c r="Z80" s="9"/>
      <c r="AA80" s="11"/>
      <c r="AB80" s="9"/>
      <c r="AC80" s="55"/>
      <c r="AD80" s="56"/>
      <c r="AE80" s="55"/>
      <c r="AF80" s="9"/>
      <c r="AG80" s="10"/>
      <c r="AH80" s="9"/>
      <c r="AI80" s="11"/>
      <c r="AJ80" s="9"/>
      <c r="AK80" s="55"/>
      <c r="AL80" s="56"/>
      <c r="AM80" s="55"/>
      <c r="AN80" s="10"/>
      <c r="AO80" s="9"/>
      <c r="AP80" s="11"/>
      <c r="AQ80" s="9"/>
      <c r="AR80" s="55"/>
      <c r="AS80" s="56"/>
      <c r="AT80" s="55"/>
      <c r="AU80" s="10"/>
      <c r="AV80" s="9"/>
      <c r="AW80" s="11"/>
      <c r="AX80" s="9"/>
      <c r="AY80" s="55"/>
      <c r="AZ80" s="56"/>
      <c r="BA80" s="55"/>
      <c r="BB80" s="10"/>
      <c r="BC80" s="9"/>
      <c r="BD80" s="11"/>
      <c r="BE80" s="9"/>
      <c r="BF80" s="55"/>
      <c r="BG80" s="56"/>
      <c r="BH80" s="55"/>
      <c r="BI80" s="10"/>
      <c r="BJ80" s="9"/>
      <c r="BK80" s="11"/>
      <c r="BL80" s="9"/>
      <c r="BM80" s="55"/>
      <c r="BN80" s="56"/>
      <c r="BO80" s="55"/>
      <c r="BP80" s="10"/>
      <c r="BQ80" s="9"/>
      <c r="BR80" s="11"/>
      <c r="BS80" s="9"/>
      <c r="BT80" s="55"/>
      <c r="BU80" s="56"/>
      <c r="BV80" s="55"/>
      <c r="BW80" s="10"/>
      <c r="BX80" s="9"/>
      <c r="BY80" s="11"/>
      <c r="BZ80" s="9"/>
      <c r="CA80" s="55"/>
      <c r="CB80" s="56"/>
      <c r="CC80" s="55"/>
      <c r="CD80" s="10"/>
      <c r="CE80" s="9"/>
      <c r="CF80" s="11"/>
      <c r="CG80" s="9"/>
      <c r="CH80" s="55"/>
      <c r="CI80" s="56"/>
      <c r="CJ80" s="55"/>
      <c r="CK80" s="10"/>
      <c r="CL80" s="9"/>
      <c r="CM80" s="11"/>
      <c r="CN80" s="9"/>
      <c r="CO80" s="55"/>
      <c r="CP80" s="56"/>
      <c r="CQ80" s="55"/>
    </row>
    <row r="81" spans="1:95" ht="12.75">
      <c r="A81" s="9" t="s">
        <v>23</v>
      </c>
      <c r="B81" s="9"/>
      <c r="C81" s="9"/>
      <c r="D81" s="10">
        <v>5902140.370000003</v>
      </c>
      <c r="E81" s="15">
        <v>0.15255550123660053</v>
      </c>
      <c r="F81" s="11">
        <v>797</v>
      </c>
      <c r="G81" s="15">
        <v>0.09506202290076336</v>
      </c>
      <c r="H81" s="15"/>
      <c r="I81" s="10">
        <v>5065704.86</v>
      </c>
      <c r="J81" s="15">
        <v>0.1595981852295133</v>
      </c>
      <c r="K81" s="11">
        <v>741</v>
      </c>
      <c r="L81" s="15">
        <v>0.09719307450157398</v>
      </c>
      <c r="M81" s="57"/>
      <c r="N81" s="56"/>
      <c r="O81" s="57"/>
      <c r="P81" s="15"/>
      <c r="Q81" s="10">
        <v>6909360.700000001</v>
      </c>
      <c r="R81" s="15">
        <v>0.1997256131292072</v>
      </c>
      <c r="S81" s="11">
        <v>1410</v>
      </c>
      <c r="T81" s="15">
        <v>0.17684685814624357</v>
      </c>
      <c r="U81" s="57"/>
      <c r="V81" s="56"/>
      <c r="W81" s="57"/>
      <c r="X81" s="15"/>
      <c r="Y81" s="10">
        <v>5914054.300000008</v>
      </c>
      <c r="Z81" s="15">
        <v>0.18530898739096183</v>
      </c>
      <c r="AA81" s="11">
        <v>1628</v>
      </c>
      <c r="AB81" s="15">
        <v>0.2130053643857124</v>
      </c>
      <c r="AC81" s="57"/>
      <c r="AD81" s="56"/>
      <c r="AE81" s="57"/>
      <c r="AF81" s="15"/>
      <c r="AG81" s="10">
        <v>12831323.63999998</v>
      </c>
      <c r="AH81" s="15">
        <v>0.23804224458713452</v>
      </c>
      <c r="AI81" s="11">
        <v>2652</v>
      </c>
      <c r="AJ81" s="15">
        <v>0.24773470340962167</v>
      </c>
      <c r="AK81" s="57"/>
      <c r="AL81" s="56"/>
      <c r="AM81" s="57"/>
      <c r="AN81" s="10">
        <v>16594343.59999999</v>
      </c>
      <c r="AO81" s="15">
        <v>0.27039301104493696</v>
      </c>
      <c r="AP81" s="11">
        <v>2147</v>
      </c>
      <c r="AQ81" s="15">
        <v>0.1990543296866308</v>
      </c>
      <c r="AR81" s="57"/>
      <c r="AS81" s="56"/>
      <c r="AT81" s="57"/>
      <c r="AU81" s="10">
        <v>15047075.379999992</v>
      </c>
      <c r="AV81" s="15">
        <v>0.2751231080376931</v>
      </c>
      <c r="AW81" s="11">
        <v>2055</v>
      </c>
      <c r="AX81" s="15">
        <v>0.2058087130696044</v>
      </c>
      <c r="AY81" s="57"/>
      <c r="AZ81" s="56"/>
      <c r="BA81" s="57"/>
      <c r="BB81" s="10">
        <v>15527329.459999993</v>
      </c>
      <c r="BC81" s="15">
        <v>0.2975631039250974</v>
      </c>
      <c r="BD81" s="11">
        <v>2243</v>
      </c>
      <c r="BE81" s="15">
        <v>0.22766950872919203</v>
      </c>
      <c r="BF81" s="57"/>
      <c r="BG81" s="56"/>
      <c r="BH81" s="57"/>
      <c r="BI81" s="10">
        <v>13617499.629999997</v>
      </c>
      <c r="BJ81" s="15">
        <v>0.3020880087697776</v>
      </c>
      <c r="BK81" s="11">
        <v>2102</v>
      </c>
      <c r="BL81" s="15">
        <v>0.23311522679383387</v>
      </c>
      <c r="BM81" s="57"/>
      <c r="BN81" s="56"/>
      <c r="BO81" s="57"/>
      <c r="BP81" s="10">
        <v>12760202.200000023</v>
      </c>
      <c r="BQ81" s="15">
        <v>0.30814178417415145</v>
      </c>
      <c r="BR81" s="11">
        <v>2025</v>
      </c>
      <c r="BS81" s="15">
        <v>0.23826332509707024</v>
      </c>
      <c r="BT81" s="57"/>
      <c r="BU81" s="56"/>
      <c r="BV81" s="57"/>
      <c r="BW81" s="10">
        <v>11021615.729999999</v>
      </c>
      <c r="BX81" s="15">
        <v>0.30227155706027825</v>
      </c>
      <c r="BY81" s="11">
        <v>1868</v>
      </c>
      <c r="BZ81" s="15">
        <v>0.24174970881325222</v>
      </c>
      <c r="CA81" s="57"/>
      <c r="CB81" s="56"/>
      <c r="CC81" s="57"/>
      <c r="CD81" s="10">
        <v>9645273.550000004</v>
      </c>
      <c r="CE81" s="15">
        <v>0.30503543502631825</v>
      </c>
      <c r="CF81" s="11">
        <v>1706</v>
      </c>
      <c r="CG81" s="15">
        <v>0.2480011629597325</v>
      </c>
      <c r="CH81" s="57"/>
      <c r="CI81" s="56"/>
      <c r="CJ81" s="57"/>
      <c r="CK81" s="10">
        <v>15387775.820000041</v>
      </c>
      <c r="CL81" s="15">
        <v>0.3521890815867988</v>
      </c>
      <c r="CM81" s="11">
        <v>2581</v>
      </c>
      <c r="CN81" s="15">
        <v>0.2548632368914782</v>
      </c>
      <c r="CO81" s="57"/>
      <c r="CP81" s="56"/>
      <c r="CQ81" s="57"/>
    </row>
    <row r="82" spans="1:95" ht="12.75">
      <c r="A82" s="9" t="s">
        <v>64</v>
      </c>
      <c r="B82" s="9"/>
      <c r="C82" s="9"/>
      <c r="D82" s="10">
        <v>6228814.2700000005</v>
      </c>
      <c r="E82" s="15">
        <v>0.16099920088304162</v>
      </c>
      <c r="F82" s="11">
        <v>1005</v>
      </c>
      <c r="G82" s="15">
        <v>0.11987118320610687</v>
      </c>
      <c r="H82" s="15"/>
      <c r="I82" s="10">
        <v>5265699.56</v>
      </c>
      <c r="J82" s="15">
        <v>0.16589914275816037</v>
      </c>
      <c r="K82" s="11">
        <v>928</v>
      </c>
      <c r="L82" s="15">
        <v>0.12172088142707241</v>
      </c>
      <c r="M82" s="57"/>
      <c r="N82" s="56"/>
      <c r="O82" s="57"/>
      <c r="P82" s="15"/>
      <c r="Q82" s="10">
        <v>6152249.88</v>
      </c>
      <c r="R82" s="15">
        <v>0.177840169700084</v>
      </c>
      <c r="S82" s="11">
        <v>1035</v>
      </c>
      <c r="T82" s="15">
        <v>0.12981311927756178</v>
      </c>
      <c r="U82" s="57"/>
      <c r="V82" s="56"/>
      <c r="W82" s="57"/>
      <c r="X82" s="15"/>
      <c r="Y82" s="10">
        <v>5325650.569999995</v>
      </c>
      <c r="Z82" s="15">
        <v>0.16687214290961047</v>
      </c>
      <c r="AA82" s="11">
        <v>935</v>
      </c>
      <c r="AB82" s="15">
        <v>0.12233416197828079</v>
      </c>
      <c r="AC82" s="57"/>
      <c r="AD82" s="56"/>
      <c r="AE82" s="57"/>
      <c r="AF82" s="15"/>
      <c r="AG82" s="10">
        <v>10426157.050000004</v>
      </c>
      <c r="AH82" s="15">
        <v>0.19342243218486707</v>
      </c>
      <c r="AI82" s="11">
        <v>1560</v>
      </c>
      <c r="AJ82" s="15">
        <v>0.14572629612330687</v>
      </c>
      <c r="AK82" s="57"/>
      <c r="AL82" s="56"/>
      <c r="AM82" s="57"/>
      <c r="AN82" s="10">
        <v>11747420.869999997</v>
      </c>
      <c r="AO82" s="15">
        <v>0.1914158569701687</v>
      </c>
      <c r="AP82" s="11">
        <v>1898</v>
      </c>
      <c r="AQ82" s="15">
        <v>0.1759688485073243</v>
      </c>
      <c r="AR82" s="57"/>
      <c r="AS82" s="56"/>
      <c r="AT82" s="57"/>
      <c r="AU82" s="10">
        <v>10990234.2</v>
      </c>
      <c r="AV82" s="15">
        <v>0.20094718174836118</v>
      </c>
      <c r="AW82" s="11">
        <v>1887</v>
      </c>
      <c r="AX82" s="15">
        <v>0.18898347521281922</v>
      </c>
      <c r="AY82" s="57"/>
      <c r="AZ82" s="56"/>
      <c r="BA82" s="57"/>
      <c r="BB82" s="10">
        <v>10884641.809999984</v>
      </c>
      <c r="BC82" s="15">
        <v>0.2085914265192958</v>
      </c>
      <c r="BD82" s="11">
        <v>2012</v>
      </c>
      <c r="BE82" s="15">
        <v>0.20422249289484368</v>
      </c>
      <c r="BF82" s="57"/>
      <c r="BG82" s="56"/>
      <c r="BH82" s="57"/>
      <c r="BI82" s="10">
        <v>9434245.110000031</v>
      </c>
      <c r="BJ82" s="15">
        <v>0.20928749013859319</v>
      </c>
      <c r="BK82" s="11">
        <v>1892</v>
      </c>
      <c r="BL82" s="15">
        <v>0.20982588444050126</v>
      </c>
      <c r="BM82" s="57"/>
      <c r="BN82" s="56"/>
      <c r="BO82" s="57"/>
      <c r="BP82" s="10">
        <v>9052172.25999998</v>
      </c>
      <c r="BQ82" s="15">
        <v>0.21859782996606034</v>
      </c>
      <c r="BR82" s="11">
        <v>1856</v>
      </c>
      <c r="BS82" s="15">
        <v>0.2183786327803271</v>
      </c>
      <c r="BT82" s="57"/>
      <c r="BU82" s="56"/>
      <c r="BV82" s="57"/>
      <c r="BW82" s="10">
        <v>8797039.449999997</v>
      </c>
      <c r="BX82" s="15">
        <v>0.24126179656530208</v>
      </c>
      <c r="BY82" s="11">
        <v>1773</v>
      </c>
      <c r="BZ82" s="15">
        <v>0.22945515724084378</v>
      </c>
      <c r="CA82" s="57"/>
      <c r="CB82" s="56"/>
      <c r="CC82" s="57"/>
      <c r="CD82" s="10">
        <v>7773605.590000002</v>
      </c>
      <c r="CE82" s="15">
        <v>0.24584322575990275</v>
      </c>
      <c r="CF82" s="11">
        <v>1621</v>
      </c>
      <c r="CG82" s="15">
        <v>0.23564471580171537</v>
      </c>
      <c r="CH82" s="57"/>
      <c r="CI82" s="56"/>
      <c r="CJ82" s="57"/>
      <c r="CK82" s="10">
        <v>7902409.449999993</v>
      </c>
      <c r="CL82" s="15">
        <v>0.1808670960036335</v>
      </c>
      <c r="CM82" s="11">
        <v>1550</v>
      </c>
      <c r="CN82" s="15">
        <v>0.15305618643230967</v>
      </c>
      <c r="CO82" s="57"/>
      <c r="CP82" s="56"/>
      <c r="CQ82" s="57"/>
    </row>
    <row r="83" spans="1:95" ht="12.75">
      <c r="A83" s="9" t="s">
        <v>65</v>
      </c>
      <c r="B83" s="9"/>
      <c r="C83" s="9"/>
      <c r="D83" s="10">
        <v>3629886.93</v>
      </c>
      <c r="E83" s="15">
        <v>0.0938234581564747</v>
      </c>
      <c r="F83" s="11">
        <v>720</v>
      </c>
      <c r="G83" s="15">
        <v>0.08587786259541985</v>
      </c>
      <c r="H83" s="15"/>
      <c r="I83" s="10">
        <v>2946743.63</v>
      </c>
      <c r="J83" s="15">
        <v>0.09283899253550826</v>
      </c>
      <c r="K83" s="11">
        <v>650</v>
      </c>
      <c r="L83" s="15">
        <v>0.08525708289611753</v>
      </c>
      <c r="M83" s="57"/>
      <c r="N83" s="56"/>
      <c r="O83" s="57"/>
      <c r="P83" s="15"/>
      <c r="Q83" s="10">
        <v>3293794.790000005</v>
      </c>
      <c r="R83" s="15">
        <v>0.0952121639784328</v>
      </c>
      <c r="S83" s="11">
        <v>661</v>
      </c>
      <c r="T83" s="15">
        <v>0.08290480371252978</v>
      </c>
      <c r="U83" s="57"/>
      <c r="V83" s="56"/>
      <c r="W83" s="57"/>
      <c r="X83" s="15"/>
      <c r="Y83" s="10">
        <v>2786058.07</v>
      </c>
      <c r="Z83" s="15">
        <v>0.08729740607287229</v>
      </c>
      <c r="AA83" s="11">
        <v>567</v>
      </c>
      <c r="AB83" s="15">
        <v>0.07418552924244406</v>
      </c>
      <c r="AC83" s="57"/>
      <c r="AD83" s="56"/>
      <c r="AE83" s="57"/>
      <c r="AF83" s="15"/>
      <c r="AG83" s="10">
        <v>6401659.26</v>
      </c>
      <c r="AH83" s="15">
        <v>0.11876135168019321</v>
      </c>
      <c r="AI83" s="11">
        <v>1140</v>
      </c>
      <c r="AJ83" s="15">
        <v>0.10649229332087809</v>
      </c>
      <c r="AK83" s="57"/>
      <c r="AL83" s="56"/>
      <c r="AM83" s="57"/>
      <c r="AN83" s="10">
        <v>7197054.769999993</v>
      </c>
      <c r="AO83" s="15">
        <v>0.11727088198388429</v>
      </c>
      <c r="AP83" s="11">
        <v>1258</v>
      </c>
      <c r="AQ83" s="15">
        <v>0.11663267198219915</v>
      </c>
      <c r="AR83" s="57"/>
      <c r="AS83" s="56"/>
      <c r="AT83" s="57"/>
      <c r="AU83" s="10">
        <v>6456763.579999994</v>
      </c>
      <c r="AV83" s="15">
        <v>0.1180564873327684</v>
      </c>
      <c r="AW83" s="11">
        <v>1213</v>
      </c>
      <c r="AX83" s="15">
        <v>0.1214822233350025</v>
      </c>
      <c r="AY83" s="57"/>
      <c r="AZ83" s="56"/>
      <c r="BA83" s="57"/>
      <c r="BB83" s="10">
        <v>5926859.500000002</v>
      </c>
      <c r="BC83" s="15">
        <v>0.11358132857882647</v>
      </c>
      <c r="BD83" s="11">
        <v>1201</v>
      </c>
      <c r="BE83" s="15">
        <v>0.12190418189200163</v>
      </c>
      <c r="BF83" s="57"/>
      <c r="BG83" s="56"/>
      <c r="BH83" s="57"/>
      <c r="BI83" s="10">
        <v>5044634.130000007</v>
      </c>
      <c r="BJ83" s="15">
        <v>0.11190919924436685</v>
      </c>
      <c r="BK83" s="11">
        <v>1078</v>
      </c>
      <c r="BL83" s="15">
        <v>0.11955195741377399</v>
      </c>
      <c r="BM83" s="57"/>
      <c r="BN83" s="56"/>
      <c r="BO83" s="57"/>
      <c r="BP83" s="10">
        <v>4842418.44</v>
      </c>
      <c r="BQ83" s="15">
        <v>0.11693791637717213</v>
      </c>
      <c r="BR83" s="11">
        <v>1068</v>
      </c>
      <c r="BS83" s="15">
        <v>0.12566184256971408</v>
      </c>
      <c r="BT83" s="57"/>
      <c r="BU83" s="56"/>
      <c r="BV83" s="57"/>
      <c r="BW83" s="10">
        <v>4303291</v>
      </c>
      <c r="BX83" s="15">
        <v>0.11801921813631247</v>
      </c>
      <c r="BY83" s="11">
        <v>993</v>
      </c>
      <c r="BZ83" s="15">
        <v>0.12851041801475346</v>
      </c>
      <c r="CA83" s="57"/>
      <c r="CB83" s="56"/>
      <c r="CC83" s="57"/>
      <c r="CD83" s="10">
        <v>3903529.45</v>
      </c>
      <c r="CE83" s="15">
        <v>0.12345059968970946</v>
      </c>
      <c r="CF83" s="11">
        <v>883</v>
      </c>
      <c r="CG83" s="15">
        <v>0.12836168047681348</v>
      </c>
      <c r="CH83" s="57"/>
      <c r="CI83" s="56"/>
      <c r="CJ83" s="57"/>
      <c r="CK83" s="10">
        <v>4335742.74</v>
      </c>
      <c r="CL83" s="15">
        <v>0.09923469586894627</v>
      </c>
      <c r="CM83" s="11">
        <v>951</v>
      </c>
      <c r="CN83" s="15">
        <v>0.09390737632072677</v>
      </c>
      <c r="CO83" s="57"/>
      <c r="CP83" s="56"/>
      <c r="CQ83" s="57"/>
    </row>
    <row r="84" spans="1:95" ht="12.75">
      <c r="A84" s="9" t="s">
        <v>66</v>
      </c>
      <c r="B84" s="9"/>
      <c r="C84" s="9"/>
      <c r="D84" s="10">
        <v>5060714.15</v>
      </c>
      <c r="E84" s="15">
        <v>0.13080674727639624</v>
      </c>
      <c r="F84" s="11">
        <v>1051</v>
      </c>
      <c r="G84" s="15">
        <v>0.12535782442748092</v>
      </c>
      <c r="H84" s="15"/>
      <c r="I84" s="10">
        <v>4035322.18</v>
      </c>
      <c r="J84" s="15">
        <v>0.12713533743937913</v>
      </c>
      <c r="K84" s="11">
        <v>934</v>
      </c>
      <c r="L84" s="15">
        <v>0.12250786988457503</v>
      </c>
      <c r="M84" s="57"/>
      <c r="N84" s="56"/>
      <c r="O84" s="57"/>
      <c r="P84" s="15"/>
      <c r="Q84" s="10">
        <v>4567685.599999992</v>
      </c>
      <c r="R84" s="15">
        <v>0.13203592150594323</v>
      </c>
      <c r="S84" s="11">
        <v>957</v>
      </c>
      <c r="T84" s="15">
        <v>0.12003010159287596</v>
      </c>
      <c r="U84" s="57"/>
      <c r="V84" s="56"/>
      <c r="W84" s="57"/>
      <c r="X84" s="15"/>
      <c r="Y84" s="10">
        <v>4892331.65</v>
      </c>
      <c r="Z84" s="15">
        <v>0.1532946736796536</v>
      </c>
      <c r="AA84" s="11">
        <v>970</v>
      </c>
      <c r="AB84" s="15">
        <v>0.12691351563522177</v>
      </c>
      <c r="AC84" s="57"/>
      <c r="AD84" s="56"/>
      <c r="AE84" s="57"/>
      <c r="AF84" s="15"/>
      <c r="AG84" s="10">
        <v>8374041.8300000075</v>
      </c>
      <c r="AH84" s="15">
        <v>0.15535230576412773</v>
      </c>
      <c r="AI84" s="11">
        <v>1443</v>
      </c>
      <c r="AJ84" s="15">
        <v>0.13479682391405884</v>
      </c>
      <c r="AK84" s="57"/>
      <c r="AL84" s="56"/>
      <c r="AM84" s="57"/>
      <c r="AN84" s="10">
        <v>9307029.110000012</v>
      </c>
      <c r="AO84" s="15">
        <v>0.15165141120350098</v>
      </c>
      <c r="AP84" s="11">
        <v>1599</v>
      </c>
      <c r="AQ84" s="15">
        <v>0.1482477285369924</v>
      </c>
      <c r="AR84" s="57"/>
      <c r="AS84" s="56"/>
      <c r="AT84" s="57"/>
      <c r="AU84" s="10">
        <v>7890671.240000009</v>
      </c>
      <c r="AV84" s="15">
        <v>0.14427428196032877</v>
      </c>
      <c r="AW84" s="11">
        <v>1425</v>
      </c>
      <c r="AX84" s="15">
        <v>0.14271407110665998</v>
      </c>
      <c r="AY84" s="57"/>
      <c r="AZ84" s="56"/>
      <c r="BA84" s="57"/>
      <c r="BB84" s="10">
        <v>7286906.060000008</v>
      </c>
      <c r="BC84" s="15">
        <v>0.139645029804385</v>
      </c>
      <c r="BD84" s="11">
        <v>1363</v>
      </c>
      <c r="BE84" s="15">
        <v>0.13834754364596022</v>
      </c>
      <c r="BF84" s="57"/>
      <c r="BG84" s="56"/>
      <c r="BH84" s="57"/>
      <c r="BI84" s="10">
        <v>6315585.239999983</v>
      </c>
      <c r="BJ84" s="15">
        <v>0.14010373572284013</v>
      </c>
      <c r="BK84" s="11">
        <v>1242</v>
      </c>
      <c r="BL84" s="15">
        <v>0.1377398247754242</v>
      </c>
      <c r="BM84" s="57"/>
      <c r="BN84" s="56"/>
      <c r="BO84" s="57"/>
      <c r="BP84" s="10">
        <v>5707295.919999996</v>
      </c>
      <c r="BQ84" s="15">
        <v>0.13782354856403847</v>
      </c>
      <c r="BR84" s="11">
        <v>1150</v>
      </c>
      <c r="BS84" s="15">
        <v>0.1353100364748794</v>
      </c>
      <c r="BT84" s="57"/>
      <c r="BU84" s="56"/>
      <c r="BV84" s="57"/>
      <c r="BW84" s="10">
        <v>4937603.139999994</v>
      </c>
      <c r="BX84" s="15">
        <v>0.13541544414500445</v>
      </c>
      <c r="BY84" s="11">
        <v>1027</v>
      </c>
      <c r="BZ84" s="15">
        <v>0.13291057331435227</v>
      </c>
      <c r="CA84" s="57"/>
      <c r="CB84" s="56"/>
      <c r="CC84" s="57"/>
      <c r="CD84" s="10">
        <v>4154618.23</v>
      </c>
      <c r="CE84" s="15">
        <v>0.1313913776096398</v>
      </c>
      <c r="CF84" s="11">
        <v>901</v>
      </c>
      <c r="CG84" s="15">
        <v>0.13097833987498184</v>
      </c>
      <c r="CH84" s="57"/>
      <c r="CI84" s="56"/>
      <c r="CJ84" s="57"/>
      <c r="CK84" s="10">
        <v>6411479.489999993</v>
      </c>
      <c r="CL84" s="15">
        <v>0.14674330453013376</v>
      </c>
      <c r="CM84" s="11">
        <v>1565</v>
      </c>
      <c r="CN84" s="15">
        <v>0.1545373753332675</v>
      </c>
      <c r="CO84" s="57"/>
      <c r="CP84" s="56"/>
      <c r="CQ84" s="57"/>
    </row>
    <row r="85" spans="1:95" ht="12.75">
      <c r="A85" s="9" t="s">
        <v>67</v>
      </c>
      <c r="B85" s="9"/>
      <c r="C85" s="9"/>
      <c r="D85" s="10">
        <v>2631772.22</v>
      </c>
      <c r="E85" s="15">
        <v>0.06802470036182154</v>
      </c>
      <c r="F85" s="11">
        <v>537</v>
      </c>
      <c r="G85" s="15">
        <v>0.06405057251908397</v>
      </c>
      <c r="H85" s="15"/>
      <c r="I85" s="10">
        <v>2176606.25</v>
      </c>
      <c r="J85" s="15">
        <v>0.06857533493556435</v>
      </c>
      <c r="K85" s="11">
        <v>495</v>
      </c>
      <c r="L85" s="15">
        <v>0.06492654774396642</v>
      </c>
      <c r="M85" s="57"/>
      <c r="N85" s="56"/>
      <c r="O85" s="57"/>
      <c r="P85" s="15"/>
      <c r="Q85" s="10">
        <v>2260095.13</v>
      </c>
      <c r="R85" s="15">
        <v>0.06533149811813779</v>
      </c>
      <c r="S85" s="11">
        <v>491</v>
      </c>
      <c r="T85" s="15">
        <v>0.061582842092060705</v>
      </c>
      <c r="U85" s="57"/>
      <c r="V85" s="56"/>
      <c r="W85" s="57"/>
      <c r="X85" s="15"/>
      <c r="Y85" s="10">
        <v>2419811.91</v>
      </c>
      <c r="Z85" s="15">
        <v>0.07582157213515754</v>
      </c>
      <c r="AA85" s="11">
        <v>502</v>
      </c>
      <c r="AB85" s="15">
        <v>0.06568101530812508</v>
      </c>
      <c r="AC85" s="57"/>
      <c r="AD85" s="56"/>
      <c r="AE85" s="57"/>
      <c r="AF85" s="15"/>
      <c r="AG85" s="10">
        <v>4001666.76</v>
      </c>
      <c r="AH85" s="15">
        <v>0.07423752719248908</v>
      </c>
      <c r="AI85" s="11">
        <v>753</v>
      </c>
      <c r="AJ85" s="15">
        <v>0.07034096216721158</v>
      </c>
      <c r="AK85" s="57"/>
      <c r="AL85" s="56"/>
      <c r="AM85" s="57"/>
      <c r="AN85" s="10">
        <v>4517863.15</v>
      </c>
      <c r="AO85" s="15">
        <v>0.07361536256351023</v>
      </c>
      <c r="AP85" s="11">
        <v>881</v>
      </c>
      <c r="AQ85" s="15">
        <v>0.0816799554978676</v>
      </c>
      <c r="AR85" s="57"/>
      <c r="AS85" s="56"/>
      <c r="AT85" s="57"/>
      <c r="AU85" s="10">
        <v>3899653.96</v>
      </c>
      <c r="AV85" s="15">
        <v>0.07130189027781018</v>
      </c>
      <c r="AW85" s="11">
        <v>786</v>
      </c>
      <c r="AX85" s="15">
        <v>0.07871807711567351</v>
      </c>
      <c r="AY85" s="57"/>
      <c r="AZ85" s="56"/>
      <c r="BA85" s="57"/>
      <c r="BB85" s="10">
        <v>3579056.12</v>
      </c>
      <c r="BC85" s="15">
        <v>0.06858842345896334</v>
      </c>
      <c r="BD85" s="11">
        <v>794</v>
      </c>
      <c r="BE85" s="15">
        <v>0.0805927730410069</v>
      </c>
      <c r="BF85" s="57"/>
      <c r="BG85" s="56"/>
      <c r="BH85" s="57"/>
      <c r="BI85" s="10">
        <v>3109838.05</v>
      </c>
      <c r="BJ85" s="15">
        <v>0.06898805284718695</v>
      </c>
      <c r="BK85" s="11">
        <v>742</v>
      </c>
      <c r="BL85" s="15">
        <v>0.08228900964844184</v>
      </c>
      <c r="BM85" s="57"/>
      <c r="BN85" s="56"/>
      <c r="BO85" s="57"/>
      <c r="BP85" s="10">
        <v>2822471.05</v>
      </c>
      <c r="BQ85" s="15">
        <v>0.06815889368327471</v>
      </c>
      <c r="BR85" s="11">
        <v>721</v>
      </c>
      <c r="BS85" s="15">
        <v>0.08483350982468525</v>
      </c>
      <c r="BT85" s="57"/>
      <c r="BU85" s="56"/>
      <c r="BV85" s="57"/>
      <c r="BW85" s="10">
        <v>2361311.53</v>
      </c>
      <c r="BX85" s="15">
        <v>0.06475977119531526</v>
      </c>
      <c r="BY85" s="11">
        <v>644</v>
      </c>
      <c r="BZ85" s="15">
        <v>0.08334411802769509</v>
      </c>
      <c r="CA85" s="57"/>
      <c r="CB85" s="56"/>
      <c r="CC85" s="57"/>
      <c r="CD85" s="10">
        <v>1969661.31</v>
      </c>
      <c r="CE85" s="15">
        <v>0.06229128613468483</v>
      </c>
      <c r="CF85" s="11">
        <v>576</v>
      </c>
      <c r="CG85" s="15">
        <v>0.08373310074138683</v>
      </c>
      <c r="CH85" s="57"/>
      <c r="CI85" s="56"/>
      <c r="CJ85" s="57"/>
      <c r="CK85" s="10">
        <v>3118370.95</v>
      </c>
      <c r="CL85" s="15">
        <v>0.0713719912334576</v>
      </c>
      <c r="CM85" s="11">
        <v>1067</v>
      </c>
      <c r="CN85" s="15">
        <v>0.10536190382146736</v>
      </c>
      <c r="CO85" s="57"/>
      <c r="CP85" s="56"/>
      <c r="CQ85" s="57"/>
    </row>
    <row r="86" spans="1:95" ht="12.75">
      <c r="A86" s="9" t="s">
        <v>68</v>
      </c>
      <c r="B86" s="9"/>
      <c r="C86" s="9"/>
      <c r="D86" s="10">
        <v>4933280.56</v>
      </c>
      <c r="E86" s="15">
        <v>0.12751290911293192</v>
      </c>
      <c r="F86" s="11">
        <v>1258</v>
      </c>
      <c r="G86" s="15">
        <v>0.15004770992366412</v>
      </c>
      <c r="H86" s="15"/>
      <c r="I86" s="10">
        <v>3977649.54</v>
      </c>
      <c r="J86" s="15">
        <v>0.12531832501252527</v>
      </c>
      <c r="K86" s="11">
        <v>1140</v>
      </c>
      <c r="L86" s="15">
        <v>0.1495278069254984</v>
      </c>
      <c r="M86" s="57"/>
      <c r="N86" s="56"/>
      <c r="O86" s="57"/>
      <c r="P86" s="15"/>
      <c r="Q86" s="10">
        <v>3883886.819999992</v>
      </c>
      <c r="R86" s="15">
        <v>0.11226967445033592</v>
      </c>
      <c r="S86" s="11">
        <v>1048</v>
      </c>
      <c r="T86" s="15">
        <v>0.1314436222250094</v>
      </c>
      <c r="U86" s="57"/>
      <c r="V86" s="56"/>
      <c r="W86" s="57"/>
      <c r="X86" s="15"/>
      <c r="Y86" s="10">
        <v>3750098.68</v>
      </c>
      <c r="Z86" s="15">
        <v>0.11750433015249484</v>
      </c>
      <c r="AA86" s="11">
        <v>965</v>
      </c>
      <c r="AB86" s="15">
        <v>0.12625932225565878</v>
      </c>
      <c r="AC86" s="57"/>
      <c r="AD86" s="56"/>
      <c r="AE86" s="57"/>
      <c r="AF86" s="15"/>
      <c r="AG86" s="10">
        <v>4996985.03</v>
      </c>
      <c r="AH86" s="15">
        <v>0.09270232487951735</v>
      </c>
      <c r="AI86" s="11">
        <v>1161</v>
      </c>
      <c r="AJ86" s="15">
        <v>0.10845399346099953</v>
      </c>
      <c r="AK86" s="57"/>
      <c r="AL86" s="56"/>
      <c r="AM86" s="57"/>
      <c r="AN86" s="10">
        <v>5561686.370000013</v>
      </c>
      <c r="AO86" s="15">
        <v>0.09062371855864729</v>
      </c>
      <c r="AP86" s="11">
        <v>1214</v>
      </c>
      <c r="AQ86" s="15">
        <v>0.1125533098460968</v>
      </c>
      <c r="AR86" s="57"/>
      <c r="AS86" s="56"/>
      <c r="AT86" s="57"/>
      <c r="AU86" s="10">
        <v>4945043.07</v>
      </c>
      <c r="AV86" s="15">
        <v>0.09041595023887342</v>
      </c>
      <c r="AW86" s="11">
        <v>1092</v>
      </c>
      <c r="AX86" s="15">
        <v>0.10936404606910366</v>
      </c>
      <c r="AY86" s="57"/>
      <c r="AZ86" s="56"/>
      <c r="BA86" s="57"/>
      <c r="BB86" s="10">
        <v>4415138.37</v>
      </c>
      <c r="BC86" s="15">
        <v>0.0846109616608854</v>
      </c>
      <c r="BD86" s="11">
        <v>981</v>
      </c>
      <c r="BE86" s="15">
        <v>0.09957369062119367</v>
      </c>
      <c r="BF86" s="57"/>
      <c r="BG86" s="56"/>
      <c r="BH86" s="57"/>
      <c r="BI86" s="10">
        <v>3815930.56</v>
      </c>
      <c r="BJ86" s="15">
        <v>0.0846518741175206</v>
      </c>
      <c r="BK86" s="11">
        <v>887</v>
      </c>
      <c r="BL86" s="15">
        <v>0.09836974603526671</v>
      </c>
      <c r="BM86" s="57"/>
      <c r="BN86" s="56"/>
      <c r="BO86" s="57"/>
      <c r="BP86" s="10">
        <v>3186894.52</v>
      </c>
      <c r="BQ86" s="15">
        <v>0.0769592321481884</v>
      </c>
      <c r="BR86" s="11">
        <v>773</v>
      </c>
      <c r="BS86" s="15">
        <v>0.09095187669137546</v>
      </c>
      <c r="BT86" s="57"/>
      <c r="BU86" s="56"/>
      <c r="BV86" s="57"/>
      <c r="BW86" s="10">
        <v>2607263.87</v>
      </c>
      <c r="BX86" s="15">
        <v>0.07150509770602445</v>
      </c>
      <c r="BY86" s="11">
        <v>664</v>
      </c>
      <c r="BZ86" s="15">
        <v>0.08593244467451792</v>
      </c>
      <c r="CA86" s="57"/>
      <c r="CB86" s="56"/>
      <c r="CC86" s="57"/>
      <c r="CD86" s="10">
        <v>2174428.4</v>
      </c>
      <c r="CE86" s="15">
        <v>0.06876712303588123</v>
      </c>
      <c r="CF86" s="11">
        <v>559</v>
      </c>
      <c r="CG86" s="15">
        <v>0.0812618113097834</v>
      </c>
      <c r="CH86" s="57"/>
      <c r="CI86" s="56"/>
      <c r="CJ86" s="57"/>
      <c r="CK86" s="10">
        <v>3275423.56</v>
      </c>
      <c r="CL86" s="15">
        <v>0.07496654675101438</v>
      </c>
      <c r="CM86" s="11">
        <v>1031</v>
      </c>
      <c r="CN86" s="15">
        <v>0.10180705045916856</v>
      </c>
      <c r="CO86" s="57"/>
      <c r="CP86" s="56"/>
      <c r="CQ86" s="57"/>
    </row>
    <row r="87" spans="1:95" ht="12.75">
      <c r="A87" s="9" t="s">
        <v>69</v>
      </c>
      <c r="B87" s="9"/>
      <c r="C87" s="9"/>
      <c r="D87" s="10">
        <v>2976771.51</v>
      </c>
      <c r="E87" s="15">
        <v>0.07694206530280842</v>
      </c>
      <c r="F87" s="11">
        <v>747</v>
      </c>
      <c r="G87" s="15">
        <v>0.08909828244274809</v>
      </c>
      <c r="H87" s="15"/>
      <c r="I87" s="10">
        <v>2440898.76</v>
      </c>
      <c r="J87" s="15">
        <v>0.07690203499636358</v>
      </c>
      <c r="K87" s="11">
        <v>675</v>
      </c>
      <c r="L87" s="15">
        <v>0.08853620146904512</v>
      </c>
      <c r="M87" s="57"/>
      <c r="N87" s="56"/>
      <c r="O87" s="57"/>
      <c r="P87" s="15"/>
      <c r="Q87" s="10">
        <v>2298565.68</v>
      </c>
      <c r="R87" s="15">
        <v>0.0664435480631012</v>
      </c>
      <c r="S87" s="11">
        <v>618</v>
      </c>
      <c r="T87" s="15">
        <v>0.07751160165558761</v>
      </c>
      <c r="U87" s="57"/>
      <c r="V87" s="56"/>
      <c r="W87" s="57"/>
      <c r="X87" s="15"/>
      <c r="Y87" s="10">
        <v>2186400.38</v>
      </c>
      <c r="Z87" s="15">
        <v>0.06850793379577419</v>
      </c>
      <c r="AA87" s="11">
        <v>574</v>
      </c>
      <c r="AB87" s="15">
        <v>0.07510139997383226</v>
      </c>
      <c r="AC87" s="57"/>
      <c r="AD87" s="56"/>
      <c r="AE87" s="57"/>
      <c r="AF87" s="15"/>
      <c r="AG87" s="10">
        <v>2339890.64</v>
      </c>
      <c r="AH87" s="15">
        <v>0.043408835725854064</v>
      </c>
      <c r="AI87" s="11">
        <v>584</v>
      </c>
      <c r="AJ87" s="15">
        <v>0.05455394675385334</v>
      </c>
      <c r="AK87" s="57"/>
      <c r="AL87" s="56"/>
      <c r="AM87" s="57"/>
      <c r="AN87" s="10">
        <v>2321331.94</v>
      </c>
      <c r="AO87" s="15">
        <v>0.03782445079005024</v>
      </c>
      <c r="AP87" s="11">
        <v>559</v>
      </c>
      <c r="AQ87" s="15">
        <v>0.05182644168366401</v>
      </c>
      <c r="AR87" s="57"/>
      <c r="AS87" s="56"/>
      <c r="AT87" s="57"/>
      <c r="AU87" s="10">
        <v>2002582.1</v>
      </c>
      <c r="AV87" s="15">
        <v>0.03661552810355168</v>
      </c>
      <c r="AW87" s="11">
        <v>489</v>
      </c>
      <c r="AX87" s="15">
        <v>0.04897346019028543</v>
      </c>
      <c r="AY87" s="57"/>
      <c r="AZ87" s="56"/>
      <c r="BA87" s="57"/>
      <c r="BB87" s="10">
        <v>1720078.66</v>
      </c>
      <c r="BC87" s="15">
        <v>0.03296329522623028</v>
      </c>
      <c r="BD87" s="11">
        <v>402</v>
      </c>
      <c r="BE87" s="15">
        <v>0.04080389768574909</v>
      </c>
      <c r="BF87" s="57"/>
      <c r="BG87" s="56"/>
      <c r="BH87" s="57"/>
      <c r="BI87" s="10">
        <v>1432320.13</v>
      </c>
      <c r="BJ87" s="15">
        <v>0.031774315972026165</v>
      </c>
      <c r="BK87" s="11">
        <v>348</v>
      </c>
      <c r="BL87" s="15">
        <v>0.03859376732837973</v>
      </c>
      <c r="BM87" s="57"/>
      <c r="BN87" s="56"/>
      <c r="BO87" s="57"/>
      <c r="BP87" s="10">
        <v>1133240.94</v>
      </c>
      <c r="BQ87" s="15">
        <v>0.027366250132838176</v>
      </c>
      <c r="BR87" s="11">
        <v>292</v>
      </c>
      <c r="BS87" s="15">
        <v>0.03435698317449112</v>
      </c>
      <c r="BT87" s="57"/>
      <c r="BU87" s="56"/>
      <c r="BV87" s="57"/>
      <c r="BW87" s="10">
        <v>914003.19</v>
      </c>
      <c r="BX87" s="15">
        <v>0.025066848107156918</v>
      </c>
      <c r="BY87" s="11">
        <v>248</v>
      </c>
      <c r="BZ87" s="15">
        <v>0.03209525042060308</v>
      </c>
      <c r="CA87" s="57"/>
      <c r="CB87" s="56"/>
      <c r="CC87" s="57"/>
      <c r="CD87" s="10">
        <v>712068.56</v>
      </c>
      <c r="CE87" s="15">
        <v>0.02251943833860098</v>
      </c>
      <c r="CF87" s="11">
        <v>204</v>
      </c>
      <c r="CG87" s="15">
        <v>0.02965547317924117</v>
      </c>
      <c r="CH87" s="57"/>
      <c r="CI87" s="56"/>
      <c r="CJ87" s="57"/>
      <c r="CK87" s="10">
        <v>1137743.06</v>
      </c>
      <c r="CL87" s="15">
        <v>0.026040195026908918</v>
      </c>
      <c r="CM87" s="11">
        <v>395</v>
      </c>
      <c r="CN87" s="15">
        <v>0.03900464105855633</v>
      </c>
      <c r="CO87" s="57"/>
      <c r="CP87" s="56"/>
      <c r="CQ87" s="57"/>
    </row>
    <row r="88" spans="1:95" ht="12.75">
      <c r="A88" s="9" t="s">
        <v>70</v>
      </c>
      <c r="B88" s="9"/>
      <c r="C88" s="9"/>
      <c r="D88" s="10">
        <v>1286747.86</v>
      </c>
      <c r="E88" s="15">
        <v>0.03325919961937857</v>
      </c>
      <c r="F88" s="11">
        <v>371</v>
      </c>
      <c r="G88" s="15">
        <v>0.04425095419847328</v>
      </c>
      <c r="H88" s="15"/>
      <c r="I88" s="10">
        <v>1035766.05</v>
      </c>
      <c r="J88" s="15">
        <v>0.032632454213359204</v>
      </c>
      <c r="K88" s="11">
        <v>343</v>
      </c>
      <c r="L88" s="15">
        <v>0.044989506820566634</v>
      </c>
      <c r="M88" s="57"/>
      <c r="N88" s="56"/>
      <c r="O88" s="57"/>
      <c r="P88" s="15"/>
      <c r="Q88" s="10">
        <v>929006.62</v>
      </c>
      <c r="R88" s="15">
        <v>0.026854353801588675</v>
      </c>
      <c r="S88" s="11">
        <v>278</v>
      </c>
      <c r="T88" s="15">
        <v>0.03486767841464944</v>
      </c>
      <c r="U88" s="57"/>
      <c r="V88" s="56"/>
      <c r="W88" s="57"/>
      <c r="X88" s="15"/>
      <c r="Y88" s="10">
        <v>843447.72</v>
      </c>
      <c r="Z88" s="15">
        <v>0.02642830704317599</v>
      </c>
      <c r="AA88" s="11">
        <v>234</v>
      </c>
      <c r="AB88" s="15">
        <v>0.030616250163548346</v>
      </c>
      <c r="AC88" s="57"/>
      <c r="AD88" s="56"/>
      <c r="AE88" s="57"/>
      <c r="AF88" s="15"/>
      <c r="AG88" s="10">
        <v>916947.11</v>
      </c>
      <c r="AH88" s="15">
        <v>0.017010883238238277</v>
      </c>
      <c r="AI88" s="11">
        <v>243</v>
      </c>
      <c r="AJ88" s="15">
        <v>0.022699673049976648</v>
      </c>
      <c r="AK88" s="57"/>
      <c r="AL88" s="56"/>
      <c r="AM88" s="57"/>
      <c r="AN88" s="10">
        <v>909084.35</v>
      </c>
      <c r="AO88" s="15">
        <v>0.014812882064845856</v>
      </c>
      <c r="AP88" s="11">
        <v>229</v>
      </c>
      <c r="AQ88" s="15">
        <v>0.02123122566289635</v>
      </c>
      <c r="AR88" s="57"/>
      <c r="AS88" s="56"/>
      <c r="AT88" s="57"/>
      <c r="AU88" s="10">
        <v>788870.4100000006</v>
      </c>
      <c r="AV88" s="15">
        <v>0.014423831446119167</v>
      </c>
      <c r="AW88" s="11">
        <v>197</v>
      </c>
      <c r="AX88" s="15">
        <v>0.01972959439158738</v>
      </c>
      <c r="AY88" s="57"/>
      <c r="AZ88" s="56"/>
      <c r="BA88" s="57"/>
      <c r="BB88" s="10">
        <v>657701.93</v>
      </c>
      <c r="BC88" s="15">
        <v>0.012604088053421596</v>
      </c>
      <c r="BD88" s="11">
        <v>174</v>
      </c>
      <c r="BE88" s="15">
        <v>0.01766138855054811</v>
      </c>
      <c r="BF88" s="57"/>
      <c r="BG88" s="56"/>
      <c r="BH88" s="57"/>
      <c r="BI88" s="10">
        <v>562203.78</v>
      </c>
      <c r="BJ88" s="15">
        <v>0.01247182118873625</v>
      </c>
      <c r="BK88" s="11">
        <v>150</v>
      </c>
      <c r="BL88" s="15">
        <v>0.01663524453809471</v>
      </c>
      <c r="BM88" s="57"/>
      <c r="BN88" s="56"/>
      <c r="BO88" s="57"/>
      <c r="BP88" s="10">
        <v>494227.3</v>
      </c>
      <c r="BQ88" s="15">
        <v>0.011934927019383227</v>
      </c>
      <c r="BR88" s="11">
        <v>136</v>
      </c>
      <c r="BS88" s="15">
        <v>0.01600188257442052</v>
      </c>
      <c r="BT88" s="57"/>
      <c r="BU88" s="56"/>
      <c r="BV88" s="57"/>
      <c r="BW88" s="10">
        <v>384748.41</v>
      </c>
      <c r="BX88" s="15">
        <v>0.010551855899912267</v>
      </c>
      <c r="BY88" s="11">
        <v>111</v>
      </c>
      <c r="BZ88" s="15">
        <v>0.014365212889866702</v>
      </c>
      <c r="CA88" s="57"/>
      <c r="CB88" s="56"/>
      <c r="CC88" s="57"/>
      <c r="CD88" s="10">
        <v>326405.71</v>
      </c>
      <c r="CE88" s="15">
        <v>0.010322704403228076</v>
      </c>
      <c r="CF88" s="11">
        <v>97</v>
      </c>
      <c r="CG88" s="15">
        <v>0.014100886756796046</v>
      </c>
      <c r="CH88" s="57"/>
      <c r="CI88" s="56"/>
      <c r="CJ88" s="57"/>
      <c r="CK88" s="10">
        <v>537041.31</v>
      </c>
      <c r="CL88" s="15">
        <v>0.012291580534806022</v>
      </c>
      <c r="CM88" s="11">
        <v>201</v>
      </c>
      <c r="CN88" s="15">
        <v>0.019847931272834997</v>
      </c>
      <c r="CO88" s="57"/>
      <c r="CP88" s="56"/>
      <c r="CQ88" s="57"/>
    </row>
    <row r="89" spans="1:95" ht="12.75">
      <c r="A89" s="9" t="s">
        <v>71</v>
      </c>
      <c r="B89" s="9"/>
      <c r="C89" s="9"/>
      <c r="D89" s="10">
        <v>3242518.54</v>
      </c>
      <c r="E89" s="15">
        <v>0.08381095841993161</v>
      </c>
      <c r="F89" s="11">
        <v>990</v>
      </c>
      <c r="G89" s="15">
        <v>0.1180820610687023</v>
      </c>
      <c r="H89" s="15"/>
      <c r="I89" s="10">
        <v>2575786.059999995</v>
      </c>
      <c r="J89" s="15">
        <v>0.08115174335590435</v>
      </c>
      <c r="K89" s="11">
        <v>899</v>
      </c>
      <c r="L89" s="15">
        <v>0.11791710388247639</v>
      </c>
      <c r="M89" s="57"/>
      <c r="N89" s="56"/>
      <c r="O89" s="57"/>
      <c r="P89" s="15"/>
      <c r="Q89" s="10">
        <v>2300244.19</v>
      </c>
      <c r="R89" s="15">
        <v>0.06649206795567154</v>
      </c>
      <c r="S89" s="11">
        <v>769</v>
      </c>
      <c r="T89" s="15">
        <v>0.09645052050671014</v>
      </c>
      <c r="U89" s="57"/>
      <c r="V89" s="56"/>
      <c r="W89" s="57"/>
      <c r="X89" s="15"/>
      <c r="Y89" s="10">
        <v>1979931.18</v>
      </c>
      <c r="Z89" s="15">
        <v>0.06203849735867179</v>
      </c>
      <c r="AA89" s="11">
        <v>655</v>
      </c>
      <c r="AB89" s="15">
        <v>0.08569933272275285</v>
      </c>
      <c r="AC89" s="57"/>
      <c r="AD89" s="56"/>
      <c r="AE89" s="57"/>
      <c r="AF89" s="15"/>
      <c r="AG89" s="10">
        <v>1834593.23</v>
      </c>
      <c r="AH89" s="15">
        <v>0.03403473426639887</v>
      </c>
      <c r="AI89" s="11">
        <v>596</v>
      </c>
      <c r="AJ89" s="15">
        <v>0.05567491826249416</v>
      </c>
      <c r="AK89" s="57"/>
      <c r="AL89" s="56"/>
      <c r="AM89" s="57"/>
      <c r="AN89" s="10">
        <v>1679469.92</v>
      </c>
      <c r="AO89" s="15">
        <v>0.027365766286061476</v>
      </c>
      <c r="AP89" s="11">
        <v>519</v>
      </c>
      <c r="AQ89" s="15">
        <v>0.04811793065084369</v>
      </c>
      <c r="AR89" s="57"/>
      <c r="AS89" s="56"/>
      <c r="AT89" s="57"/>
      <c r="AU89" s="10">
        <v>1433679.62</v>
      </c>
      <c r="AV89" s="15">
        <v>0.02621362510810383</v>
      </c>
      <c r="AW89" s="11">
        <v>449</v>
      </c>
      <c r="AX89" s="15">
        <v>0.04496745117676515</v>
      </c>
      <c r="AY89" s="57"/>
      <c r="AZ89" s="56"/>
      <c r="BA89" s="57"/>
      <c r="BB89" s="10">
        <v>1160064.34</v>
      </c>
      <c r="BC89" s="15">
        <v>0.022231275935277264</v>
      </c>
      <c r="BD89" s="11">
        <v>359</v>
      </c>
      <c r="BE89" s="15">
        <v>0.036439301664636624</v>
      </c>
      <c r="BF89" s="57"/>
      <c r="BG89" s="56"/>
      <c r="BH89" s="57"/>
      <c r="BI89" s="10">
        <v>916719.53</v>
      </c>
      <c r="BJ89" s="15">
        <v>0.020336330820085104</v>
      </c>
      <c r="BK89" s="11">
        <v>297</v>
      </c>
      <c r="BL89" s="15">
        <v>0.032937784185427525</v>
      </c>
      <c r="BM89" s="57"/>
      <c r="BN89" s="56"/>
      <c r="BO89" s="57"/>
      <c r="BP89" s="10">
        <v>724794.96</v>
      </c>
      <c r="BQ89" s="15">
        <v>0.017502827042570876</v>
      </c>
      <c r="BR89" s="11">
        <v>251</v>
      </c>
      <c r="BS89" s="15">
        <v>0.029532886221908458</v>
      </c>
      <c r="BT89" s="57"/>
      <c r="BU89" s="56"/>
      <c r="BV89" s="57"/>
      <c r="BW89" s="10">
        <v>588329.18</v>
      </c>
      <c r="BX89" s="15">
        <v>0.016135127703512907</v>
      </c>
      <c r="BY89" s="11">
        <v>210</v>
      </c>
      <c r="BZ89" s="15">
        <v>0.027177429791639705</v>
      </c>
      <c r="CA89" s="57"/>
      <c r="CB89" s="56"/>
      <c r="CC89" s="57"/>
      <c r="CD89" s="10">
        <v>465233.55</v>
      </c>
      <c r="CE89" s="15">
        <v>0.014713187508620565</v>
      </c>
      <c r="CF89" s="11">
        <v>165</v>
      </c>
      <c r="CG89" s="15">
        <v>0.02398604448320977</v>
      </c>
      <c r="CH89" s="57"/>
      <c r="CI89" s="56"/>
      <c r="CJ89" s="57"/>
      <c r="CK89" s="10">
        <v>892635.2600000008</v>
      </c>
      <c r="CL89" s="15">
        <v>0.020430268551403476</v>
      </c>
      <c r="CM89" s="11">
        <v>440</v>
      </c>
      <c r="CN89" s="15">
        <v>0.04344820776142984</v>
      </c>
      <c r="CO89" s="57"/>
      <c r="CP89" s="56"/>
      <c r="CQ89" s="57"/>
    </row>
    <row r="90" spans="1:95" ht="12.75">
      <c r="A90" s="9" t="s">
        <v>72</v>
      </c>
      <c r="B90" s="9"/>
      <c r="C90" s="9"/>
      <c r="D90" s="10">
        <v>627565.88</v>
      </c>
      <c r="E90" s="15">
        <v>0.01622100143009446</v>
      </c>
      <c r="F90" s="11">
        <v>166</v>
      </c>
      <c r="G90" s="15">
        <v>0.019799618320610685</v>
      </c>
      <c r="H90" s="15"/>
      <c r="I90" s="10">
        <v>507413.64</v>
      </c>
      <c r="J90" s="15">
        <v>0.015986382614620303</v>
      </c>
      <c r="K90" s="11">
        <v>150</v>
      </c>
      <c r="L90" s="15">
        <v>0.019674711437565582</v>
      </c>
      <c r="M90" s="57"/>
      <c r="N90" s="56"/>
      <c r="O90" s="57"/>
      <c r="P90" s="15"/>
      <c r="Q90" s="10">
        <v>485801.84</v>
      </c>
      <c r="R90" s="15">
        <v>0.014042843407103798</v>
      </c>
      <c r="S90" s="11">
        <v>141</v>
      </c>
      <c r="T90" s="15">
        <v>0.017684685814624356</v>
      </c>
      <c r="U90" s="57"/>
      <c r="V90" s="56"/>
      <c r="W90" s="57"/>
      <c r="X90" s="15"/>
      <c r="Y90" s="10">
        <v>435862.13</v>
      </c>
      <c r="Z90" s="15">
        <v>0.013657157316321507</v>
      </c>
      <c r="AA90" s="11">
        <v>127</v>
      </c>
      <c r="AB90" s="15">
        <v>0.01661651184090017</v>
      </c>
      <c r="AC90" s="57"/>
      <c r="AD90" s="56"/>
      <c r="AE90" s="57"/>
      <c r="AF90" s="15"/>
      <c r="AG90" s="10">
        <v>401864.55</v>
      </c>
      <c r="AH90" s="15">
        <v>0.0074552510860055625</v>
      </c>
      <c r="AI90" s="11">
        <v>123</v>
      </c>
      <c r="AJ90" s="15">
        <v>0.011489957963568427</v>
      </c>
      <c r="AK90" s="57"/>
      <c r="AL90" s="56"/>
      <c r="AM90" s="57"/>
      <c r="AN90" s="10">
        <v>372662.88</v>
      </c>
      <c r="AO90" s="15">
        <v>0.006072276231997391</v>
      </c>
      <c r="AP90" s="11">
        <v>111</v>
      </c>
      <c r="AQ90" s="15">
        <v>0.010291118116076395</v>
      </c>
      <c r="AR90" s="57"/>
      <c r="AS90" s="56"/>
      <c r="AT90" s="57"/>
      <c r="AU90" s="10">
        <v>283748.35</v>
      </c>
      <c r="AV90" s="15">
        <v>0.005188099745704019</v>
      </c>
      <c r="AW90" s="11">
        <v>93</v>
      </c>
      <c r="AX90" s="15">
        <v>0.009313970956434652</v>
      </c>
      <c r="AY90" s="57"/>
      <c r="AZ90" s="56"/>
      <c r="BA90" s="57"/>
      <c r="BB90" s="10">
        <v>243978.49</v>
      </c>
      <c r="BC90" s="15">
        <v>0.004675562334294566</v>
      </c>
      <c r="BD90" s="11">
        <v>78</v>
      </c>
      <c r="BE90" s="15">
        <v>0.007917174177831911</v>
      </c>
      <c r="BF90" s="57"/>
      <c r="BG90" s="56"/>
      <c r="BH90" s="57"/>
      <c r="BI90" s="10">
        <v>197163.6</v>
      </c>
      <c r="BJ90" s="15">
        <v>0.004373839614040872</v>
      </c>
      <c r="BK90" s="11">
        <v>69</v>
      </c>
      <c r="BL90" s="15">
        <v>0.007652212487523567</v>
      </c>
      <c r="BM90" s="57"/>
      <c r="BN90" s="56"/>
      <c r="BO90" s="57"/>
      <c r="BP90" s="10">
        <v>155256.64</v>
      </c>
      <c r="BQ90" s="15">
        <v>0.0037492398086359353</v>
      </c>
      <c r="BR90" s="11">
        <v>51</v>
      </c>
      <c r="BS90" s="15">
        <v>0.006000705965407695</v>
      </c>
      <c r="BT90" s="57"/>
      <c r="BU90" s="56"/>
      <c r="BV90" s="57"/>
      <c r="BW90" s="10">
        <v>100622.33</v>
      </c>
      <c r="BX90" s="15">
        <v>0.002759601596465127</v>
      </c>
      <c r="BY90" s="11">
        <v>41</v>
      </c>
      <c r="BZ90" s="15">
        <v>0.0053060696259868</v>
      </c>
      <c r="CA90" s="57"/>
      <c r="CB90" s="56"/>
      <c r="CC90" s="57"/>
      <c r="CD90" s="10">
        <v>125373.41</v>
      </c>
      <c r="CE90" s="15">
        <v>0.003964981652602579</v>
      </c>
      <c r="CF90" s="11">
        <v>38</v>
      </c>
      <c r="CG90" s="15">
        <v>0.0055240587294664925</v>
      </c>
      <c r="CH90" s="57"/>
      <c r="CI90" s="56"/>
      <c r="CJ90" s="57"/>
      <c r="CK90" s="10">
        <v>212218.73</v>
      </c>
      <c r="CL90" s="15">
        <v>0.004857174973726425</v>
      </c>
      <c r="CM90" s="11">
        <v>108</v>
      </c>
      <c r="CN90" s="15">
        <v>0.010664560086896415</v>
      </c>
      <c r="CO90" s="57"/>
      <c r="CP90" s="56"/>
      <c r="CQ90" s="57"/>
    </row>
    <row r="91" spans="1:95" ht="12.75">
      <c r="A91" s="9" t="s">
        <v>73</v>
      </c>
      <c r="B91" s="9"/>
      <c r="C91" s="9"/>
      <c r="D91" s="10">
        <v>483877.98</v>
      </c>
      <c r="E91" s="15">
        <v>0.012507030187127474</v>
      </c>
      <c r="F91" s="11">
        <v>164</v>
      </c>
      <c r="G91" s="15">
        <v>0.019561068702290078</v>
      </c>
      <c r="H91" s="15"/>
      <c r="I91" s="10">
        <v>393046.25</v>
      </c>
      <c r="J91" s="15">
        <v>0.012383166794139991</v>
      </c>
      <c r="K91" s="11">
        <v>148</v>
      </c>
      <c r="L91" s="15">
        <v>0.019412381951731374</v>
      </c>
      <c r="M91" s="57"/>
      <c r="N91" s="56"/>
      <c r="O91" s="57"/>
      <c r="P91" s="15"/>
      <c r="Q91" s="10">
        <v>343577.8</v>
      </c>
      <c r="R91" s="15">
        <v>0.009931640529721382</v>
      </c>
      <c r="S91" s="11">
        <v>126</v>
      </c>
      <c r="T91" s="15">
        <v>0.015803336259877086</v>
      </c>
      <c r="U91" s="57"/>
      <c r="V91" s="56"/>
      <c r="W91" s="57"/>
      <c r="X91" s="15"/>
      <c r="Y91" s="10">
        <v>294305.96</v>
      </c>
      <c r="Z91" s="15">
        <v>0.0092216839183781</v>
      </c>
      <c r="AA91" s="11">
        <v>108</v>
      </c>
      <c r="AB91" s="15">
        <v>0.014130576998560775</v>
      </c>
      <c r="AC91" s="57"/>
      <c r="AD91" s="56"/>
      <c r="AE91" s="57"/>
      <c r="AF91" s="15"/>
      <c r="AG91" s="10">
        <v>293427.03</v>
      </c>
      <c r="AH91" s="15">
        <v>0.005443556004307638</v>
      </c>
      <c r="AI91" s="11">
        <v>98</v>
      </c>
      <c r="AJ91" s="15">
        <v>0.009154600653900048</v>
      </c>
      <c r="AK91" s="57"/>
      <c r="AL91" s="56"/>
      <c r="AM91" s="57"/>
      <c r="AN91" s="10">
        <v>249841.46</v>
      </c>
      <c r="AO91" s="15">
        <v>0.00407098866226099</v>
      </c>
      <c r="AP91" s="11">
        <v>84</v>
      </c>
      <c r="AQ91" s="15">
        <v>0.007787873168922678</v>
      </c>
      <c r="AR91" s="57"/>
      <c r="AS91" s="56"/>
      <c r="AT91" s="57"/>
      <c r="AU91" s="10">
        <v>201964.96</v>
      </c>
      <c r="AV91" s="15">
        <v>0.0036927592975152896</v>
      </c>
      <c r="AW91" s="11">
        <v>66</v>
      </c>
      <c r="AX91" s="15">
        <v>0.006609914872308463</v>
      </c>
      <c r="AY91" s="57"/>
      <c r="AZ91" s="56"/>
      <c r="BA91" s="57"/>
      <c r="BB91" s="10">
        <v>155381.97</v>
      </c>
      <c r="BC91" s="15">
        <v>0.0029777136761543533</v>
      </c>
      <c r="BD91" s="11">
        <v>50</v>
      </c>
      <c r="BE91" s="15">
        <v>0.005075111652456354</v>
      </c>
      <c r="BF91" s="57"/>
      <c r="BG91" s="56"/>
      <c r="BH91" s="57"/>
      <c r="BI91" s="10">
        <v>128248.75</v>
      </c>
      <c r="BJ91" s="15">
        <v>0.002845045754902144</v>
      </c>
      <c r="BK91" s="11">
        <v>46</v>
      </c>
      <c r="BL91" s="15">
        <v>0.005101474991682378</v>
      </c>
      <c r="BM91" s="57"/>
      <c r="BN91" s="56"/>
      <c r="BO91" s="57"/>
      <c r="BP91" s="10">
        <v>112446.91</v>
      </c>
      <c r="BQ91" s="15">
        <v>0.002715442195129962</v>
      </c>
      <c r="BR91" s="11">
        <v>40</v>
      </c>
      <c r="BS91" s="15">
        <v>0.004706436051300153</v>
      </c>
      <c r="BT91" s="57"/>
      <c r="BU91" s="56"/>
      <c r="BV91" s="57"/>
      <c r="BW91" s="10">
        <v>90782.41</v>
      </c>
      <c r="BX91" s="15">
        <v>0.0024897384463960608</v>
      </c>
      <c r="BY91" s="11">
        <v>34</v>
      </c>
      <c r="BZ91" s="15">
        <v>0.0044001552995988095</v>
      </c>
      <c r="CA91" s="57"/>
      <c r="CB91" s="56"/>
      <c r="CC91" s="57"/>
      <c r="CD91" s="10">
        <v>75743.12</v>
      </c>
      <c r="CE91" s="15">
        <v>0.0023954049037261996</v>
      </c>
      <c r="CF91" s="11">
        <v>30</v>
      </c>
      <c r="CG91" s="15">
        <v>0.00436109899694723</v>
      </c>
      <c r="CH91" s="57"/>
      <c r="CI91" s="56"/>
      <c r="CJ91" s="57"/>
      <c r="CK91" s="10">
        <v>112327.33</v>
      </c>
      <c r="CL91" s="15">
        <v>0.002570901711368783</v>
      </c>
      <c r="CM91" s="11">
        <v>61</v>
      </c>
      <c r="CN91" s="15">
        <v>0.006023501530561864</v>
      </c>
      <c r="CO91" s="57"/>
      <c r="CP91" s="56"/>
      <c r="CQ91" s="57"/>
    </row>
    <row r="92" spans="1:95" ht="12.75">
      <c r="A92" s="9" t="s">
        <v>74</v>
      </c>
      <c r="B92" s="9"/>
      <c r="C92" s="9"/>
      <c r="D92" s="10">
        <v>1684389.15</v>
      </c>
      <c r="E92" s="15">
        <v>0.043537228013392895</v>
      </c>
      <c r="F92" s="11">
        <v>578</v>
      </c>
      <c r="G92" s="15">
        <v>0.06894083969465649</v>
      </c>
      <c r="H92" s="15"/>
      <c r="I92" s="10">
        <v>1319729.52</v>
      </c>
      <c r="J92" s="15">
        <v>0.04157890011496187</v>
      </c>
      <c r="K92" s="11">
        <v>521</v>
      </c>
      <c r="L92" s="15">
        <v>0.06833683105981113</v>
      </c>
      <c r="M92" s="57"/>
      <c r="N92" s="56"/>
      <c r="O92" s="57"/>
      <c r="P92" s="15"/>
      <c r="Q92" s="10">
        <v>1169995.51</v>
      </c>
      <c r="R92" s="15">
        <v>0.033820505360672444</v>
      </c>
      <c r="S92" s="11">
        <v>439</v>
      </c>
      <c r="T92" s="15">
        <v>0.05506083030227016</v>
      </c>
      <c r="U92" s="57"/>
      <c r="V92" s="56"/>
      <c r="W92" s="57"/>
      <c r="X92" s="15"/>
      <c r="Y92" s="10">
        <v>1086604.77</v>
      </c>
      <c r="Z92" s="15">
        <v>0.03404730822692799</v>
      </c>
      <c r="AA92" s="11">
        <v>378</v>
      </c>
      <c r="AB92" s="15">
        <v>0.04945701949496271</v>
      </c>
      <c r="AC92" s="57"/>
      <c r="AD92" s="56"/>
      <c r="AE92" s="57"/>
      <c r="AF92" s="15"/>
      <c r="AG92" s="10">
        <v>1085000.62</v>
      </c>
      <c r="AH92" s="15">
        <v>0.020128553390866943</v>
      </c>
      <c r="AI92" s="11">
        <v>352</v>
      </c>
      <c r="AJ92" s="15">
        <v>0.03288183092013078</v>
      </c>
      <c r="AK92" s="57"/>
      <c r="AL92" s="56"/>
      <c r="AM92" s="57"/>
      <c r="AN92" s="10">
        <v>913411.73</v>
      </c>
      <c r="AO92" s="15">
        <v>0.014883393640135606</v>
      </c>
      <c r="AP92" s="11">
        <v>287</v>
      </c>
      <c r="AQ92" s="15">
        <v>0.026608566660485816</v>
      </c>
      <c r="AR92" s="57"/>
      <c r="AS92" s="56"/>
      <c r="AT92" s="57"/>
      <c r="AU92" s="10">
        <v>751867.0800000007</v>
      </c>
      <c r="AV92" s="15">
        <v>0.013747256703171054</v>
      </c>
      <c r="AW92" s="11">
        <v>233</v>
      </c>
      <c r="AX92" s="15">
        <v>0.023335002503755635</v>
      </c>
      <c r="AY92" s="57"/>
      <c r="AZ92" s="56"/>
      <c r="BA92" s="57"/>
      <c r="BB92" s="10">
        <v>624498.9</v>
      </c>
      <c r="BC92" s="15">
        <v>0.011967790827168366</v>
      </c>
      <c r="BD92" s="11">
        <v>195</v>
      </c>
      <c r="BE92" s="15">
        <v>0.01979293544457978</v>
      </c>
      <c r="BF92" s="57"/>
      <c r="BG92" s="56"/>
      <c r="BH92" s="57"/>
      <c r="BI92" s="10">
        <v>503533.27</v>
      </c>
      <c r="BJ92" s="15">
        <v>0.011170285809924034</v>
      </c>
      <c r="BK92" s="11">
        <v>164</v>
      </c>
      <c r="BL92" s="15">
        <v>0.018187867361650217</v>
      </c>
      <c r="BM92" s="57"/>
      <c r="BN92" s="56"/>
      <c r="BO92" s="57"/>
      <c r="BP92" s="10">
        <v>418744.1</v>
      </c>
      <c r="BQ92" s="15">
        <v>0.010112108888556565</v>
      </c>
      <c r="BR92" s="11">
        <v>136</v>
      </c>
      <c r="BS92" s="15">
        <v>0.01600188257442052</v>
      </c>
      <c r="BT92" s="57"/>
      <c r="BU92" s="56"/>
      <c r="BV92" s="57"/>
      <c r="BW92" s="10">
        <v>356019.05</v>
      </c>
      <c r="BX92" s="15">
        <v>0.009763943438320277</v>
      </c>
      <c r="BY92" s="11">
        <v>114</v>
      </c>
      <c r="BZ92" s="15">
        <v>0.014753461886890126</v>
      </c>
      <c r="CA92" s="57"/>
      <c r="CB92" s="56"/>
      <c r="CC92" s="57"/>
      <c r="CD92" s="10">
        <v>294233.18</v>
      </c>
      <c r="CE92" s="15">
        <v>0.009305235937085158</v>
      </c>
      <c r="CF92" s="11">
        <v>99</v>
      </c>
      <c r="CG92" s="15">
        <v>0.01439162668992586</v>
      </c>
      <c r="CH92" s="57"/>
      <c r="CI92" s="56"/>
      <c r="CJ92" s="57"/>
      <c r="CK92" s="10">
        <v>368634.87</v>
      </c>
      <c r="CL92" s="15">
        <v>0.008437163227802245</v>
      </c>
      <c r="CM92" s="11">
        <v>177</v>
      </c>
      <c r="CN92" s="15">
        <v>0.01747802903130246</v>
      </c>
      <c r="CO92" s="57"/>
      <c r="CP92" s="56"/>
      <c r="CQ92" s="57"/>
    </row>
    <row r="93" spans="1:95" ht="12.75">
      <c r="A93" s="9"/>
      <c r="B93" s="9"/>
      <c r="C93" s="9"/>
      <c r="D93" s="10"/>
      <c r="E93" s="9"/>
      <c r="F93" s="11"/>
      <c r="G93" s="9"/>
      <c r="H93" s="9"/>
      <c r="I93" s="10"/>
      <c r="J93" s="9"/>
      <c r="K93" s="11"/>
      <c r="L93" s="9"/>
      <c r="M93" s="55"/>
      <c r="N93" s="56"/>
      <c r="O93" s="55"/>
      <c r="P93" s="9"/>
      <c r="Q93" s="10"/>
      <c r="R93" s="9"/>
      <c r="S93" s="11"/>
      <c r="T93" s="9"/>
      <c r="U93" s="55"/>
      <c r="V93" s="56"/>
      <c r="W93" s="55"/>
      <c r="X93" s="9"/>
      <c r="Y93" s="10"/>
      <c r="Z93" s="9"/>
      <c r="AA93" s="11"/>
      <c r="AB93" s="9"/>
      <c r="AC93" s="55"/>
      <c r="AD93" s="56"/>
      <c r="AE93" s="55"/>
      <c r="AF93" s="9"/>
      <c r="AG93" s="10"/>
      <c r="AH93" s="9"/>
      <c r="AI93" s="11"/>
      <c r="AJ93" s="9"/>
      <c r="AK93" s="55"/>
      <c r="AL93" s="56"/>
      <c r="AM93" s="55"/>
      <c r="AN93" s="10"/>
      <c r="AO93" s="9"/>
      <c r="AP93" s="11"/>
      <c r="AQ93" s="9"/>
      <c r="AR93" s="55"/>
      <c r="AS93" s="56"/>
      <c r="AT93" s="55"/>
      <c r="AU93" s="10"/>
      <c r="AV93" s="9"/>
      <c r="AW93" s="11"/>
      <c r="AX93" s="9"/>
      <c r="AY93" s="55"/>
      <c r="AZ93" s="56"/>
      <c r="BA93" s="55"/>
      <c r="BB93" s="10"/>
      <c r="BC93" s="9"/>
      <c r="BD93" s="11"/>
      <c r="BE93" s="9"/>
      <c r="BF93" s="55"/>
      <c r="BG93" s="56"/>
      <c r="BH93" s="55"/>
      <c r="BI93" s="10"/>
      <c r="BJ93" s="9"/>
      <c r="BK93" s="11"/>
      <c r="BL93" s="9"/>
      <c r="BM93" s="55"/>
      <c r="BN93" s="56"/>
      <c r="BO93" s="55"/>
      <c r="BP93" s="10"/>
      <c r="BQ93" s="9"/>
      <c r="BR93" s="11"/>
      <c r="BS93" s="9"/>
      <c r="BT93" s="55"/>
      <c r="BU93" s="56"/>
      <c r="BV93" s="55"/>
      <c r="BW93" s="10"/>
      <c r="BX93" s="9"/>
      <c r="BY93" s="11"/>
      <c r="BZ93" s="9"/>
      <c r="CA93" s="55"/>
      <c r="CB93" s="56"/>
      <c r="CC93" s="55"/>
      <c r="CD93" s="10"/>
      <c r="CE93" s="9"/>
      <c r="CF93" s="11"/>
      <c r="CG93" s="9"/>
      <c r="CH93" s="55"/>
      <c r="CI93" s="56"/>
      <c r="CJ93" s="55"/>
      <c r="CK93" s="10"/>
      <c r="CL93" s="9"/>
      <c r="CM93" s="11"/>
      <c r="CN93" s="9"/>
      <c r="CO93" s="55"/>
      <c r="CP93" s="56"/>
      <c r="CQ93" s="55"/>
    </row>
    <row r="94" spans="1:95" s="1" customFormat="1" ht="13.5" thickBot="1">
      <c r="A94" s="9"/>
      <c r="B94" s="13"/>
      <c r="C94" s="13"/>
      <c r="D94" s="22">
        <f>SUM(D81:D92)</f>
        <v>38688479.42</v>
      </c>
      <c r="E94" s="13"/>
      <c r="F94" s="23">
        <f>SUM(F81:F92)</f>
        <v>8384</v>
      </c>
      <c r="G94" s="13"/>
      <c r="H94" s="13"/>
      <c r="I94" s="22">
        <f>SUM(I81:I92)</f>
        <v>31740366.299999997</v>
      </c>
      <c r="J94" s="13"/>
      <c r="K94" s="23">
        <f>SUM(K81:K92)</f>
        <v>7624</v>
      </c>
      <c r="L94" s="13"/>
      <c r="M94" s="54"/>
      <c r="N94" s="32"/>
      <c r="O94" s="54"/>
      <c r="P94" s="13"/>
      <c r="Q94" s="22">
        <f>SUM(Q81:Q92)</f>
        <v>34594264.559999995</v>
      </c>
      <c r="R94" s="13"/>
      <c r="S94" s="23">
        <f>SUM(S81:S92)</f>
        <v>7973</v>
      </c>
      <c r="T94" s="13"/>
      <c r="U94" s="54"/>
      <c r="V94" s="32"/>
      <c r="W94" s="54"/>
      <c r="X94" s="13"/>
      <c r="Y94" s="22">
        <f>SUM(Y81:Y92)</f>
        <v>31914557.32</v>
      </c>
      <c r="Z94" s="13"/>
      <c r="AA94" s="23">
        <f>SUM(AA81:AA92)</f>
        <v>7643</v>
      </c>
      <c r="AB94" s="13"/>
      <c r="AC94" s="54"/>
      <c r="AD94" s="32"/>
      <c r="AE94" s="54"/>
      <c r="AF94" s="13"/>
      <c r="AG94" s="22">
        <f>SUM(AG81:AG92)</f>
        <v>53903556.74999998</v>
      </c>
      <c r="AH94" s="13"/>
      <c r="AI94" s="23">
        <f>SUM(AI81:AI92)</f>
        <v>10705</v>
      </c>
      <c r="AJ94" s="13"/>
      <c r="AK94" s="54"/>
      <c r="AL94" s="32"/>
      <c r="AM94" s="54"/>
      <c r="AN94" s="22">
        <f>SUM(AN81:AN92)</f>
        <v>61371200.150000006</v>
      </c>
      <c r="AO94" s="13"/>
      <c r="AP94" s="23">
        <f>SUM(AP81:AP92)</f>
        <v>10786</v>
      </c>
      <c r="AQ94" s="13"/>
      <c r="AR94" s="54"/>
      <c r="AS94" s="32"/>
      <c r="AT94" s="54"/>
      <c r="AU94" s="22">
        <f>SUM(AU81:AU92)</f>
        <v>54692153.949999996</v>
      </c>
      <c r="AV94" s="13"/>
      <c r="AW94" s="23">
        <f>SUM(AW81:AW92)</f>
        <v>9985</v>
      </c>
      <c r="AX94" s="13"/>
      <c r="AY94" s="54"/>
      <c r="AZ94" s="32"/>
      <c r="BA94" s="54"/>
      <c r="BB94" s="22">
        <f>SUM(BB81:BB92)</f>
        <v>52181635.609999985</v>
      </c>
      <c r="BC94" s="13"/>
      <c r="BD94" s="23">
        <f>SUM(BD81:BD92)</f>
        <v>9852</v>
      </c>
      <c r="BE94" s="13"/>
      <c r="BF94" s="54"/>
      <c r="BG94" s="32"/>
      <c r="BH94" s="54"/>
      <c r="BI94" s="22">
        <f>SUM(BI81:BI92)</f>
        <v>45077921.78000002</v>
      </c>
      <c r="BJ94" s="13"/>
      <c r="BK94" s="23">
        <f>SUM(BK81:BK92)</f>
        <v>9017</v>
      </c>
      <c r="BL94" s="13"/>
      <c r="BM94" s="54"/>
      <c r="BN94" s="32"/>
      <c r="BO94" s="54"/>
      <c r="BP94" s="22">
        <f>SUM(BP81:BP92)</f>
        <v>41410165.239999995</v>
      </c>
      <c r="BQ94" s="13"/>
      <c r="BR94" s="23">
        <f>SUM(BR81:BR92)</f>
        <v>8499</v>
      </c>
      <c r="BS94" s="13"/>
      <c r="BT94" s="54"/>
      <c r="BU94" s="32"/>
      <c r="BV94" s="54"/>
      <c r="BW94" s="22">
        <f>SUM(BW81:BW92)</f>
        <v>36462629.28999998</v>
      </c>
      <c r="BX94" s="13"/>
      <c r="BY94" s="23">
        <f>SUM(BY81:BY92)</f>
        <v>7727</v>
      </c>
      <c r="BZ94" s="13"/>
      <c r="CA94" s="54"/>
      <c r="CB94" s="32"/>
      <c r="CC94" s="54"/>
      <c r="CD94" s="22">
        <f>SUM(CD81:CD92)</f>
        <v>31620174.060000006</v>
      </c>
      <c r="CE94" s="13"/>
      <c r="CF94" s="23">
        <f>SUM(CF81:CF92)</f>
        <v>6879</v>
      </c>
      <c r="CG94" s="13"/>
      <c r="CH94" s="54"/>
      <c r="CI94" s="32"/>
      <c r="CJ94" s="54"/>
      <c r="CK94" s="22">
        <f>SUM(CK81:CK92)</f>
        <v>43691802.57000003</v>
      </c>
      <c r="CL94" s="13"/>
      <c r="CM94" s="23">
        <f>SUM(CM81:CM92)</f>
        <v>10127</v>
      </c>
      <c r="CN94" s="13"/>
      <c r="CO94" s="54"/>
      <c r="CP94" s="32"/>
      <c r="CQ94" s="54"/>
    </row>
    <row r="95" spans="1:95" ht="13.5" thickTop="1">
      <c r="A95" s="13"/>
      <c r="B95" s="9"/>
      <c r="C95" s="9"/>
      <c r="D95" s="10"/>
      <c r="E95" s="9"/>
      <c r="F95" s="11"/>
      <c r="G95" s="9"/>
      <c r="H95" s="9"/>
      <c r="I95" s="10"/>
      <c r="J95" s="9"/>
      <c r="K95" s="11"/>
      <c r="L95" s="9"/>
      <c r="M95" s="55"/>
      <c r="N95" s="56"/>
      <c r="O95" s="55"/>
      <c r="P95" s="9"/>
      <c r="Q95" s="10"/>
      <c r="R95" s="9"/>
      <c r="S95" s="11"/>
      <c r="T95" s="9"/>
      <c r="U95" s="55"/>
      <c r="V95" s="56"/>
      <c r="W95" s="55"/>
      <c r="X95" s="9"/>
      <c r="Y95" s="10"/>
      <c r="Z95" s="9"/>
      <c r="AA95" s="11"/>
      <c r="AB95" s="9"/>
      <c r="AC95" s="55"/>
      <c r="AD95" s="56"/>
      <c r="AE95" s="55"/>
      <c r="AF95" s="9"/>
      <c r="AG95" s="10"/>
      <c r="AH95" s="9"/>
      <c r="AI95" s="11"/>
      <c r="AJ95" s="9"/>
      <c r="AK95" s="55"/>
      <c r="AL95" s="56"/>
      <c r="AM95" s="55"/>
      <c r="AN95" s="10"/>
      <c r="AO95" s="9"/>
      <c r="AP95" s="11"/>
      <c r="AQ95" s="9"/>
      <c r="AR95" s="55"/>
      <c r="AS95" s="56"/>
      <c r="AT95" s="55"/>
      <c r="AU95" s="10"/>
      <c r="AV95" s="9"/>
      <c r="AW95" s="11"/>
      <c r="AX95" s="9"/>
      <c r="AY95" s="55"/>
      <c r="AZ95" s="56"/>
      <c r="BA95" s="55"/>
      <c r="BB95" s="10"/>
      <c r="BC95" s="9"/>
      <c r="BD95" s="11"/>
      <c r="BE95" s="9"/>
      <c r="BF95" s="55"/>
      <c r="BG95" s="56"/>
      <c r="BH95" s="55"/>
      <c r="BI95" s="10"/>
      <c r="BJ95" s="9"/>
      <c r="BK95" s="11"/>
      <c r="BL95" s="9"/>
      <c r="BM95" s="55"/>
      <c r="BN95" s="56"/>
      <c r="BO95" s="55"/>
      <c r="BP95" s="10"/>
      <c r="BQ95" s="9"/>
      <c r="BR95" s="11"/>
      <c r="BS95" s="9"/>
      <c r="BT95" s="55"/>
      <c r="BU95" s="56"/>
      <c r="BV95" s="55"/>
      <c r="BW95" s="10"/>
      <c r="BX95" s="9"/>
      <c r="BY95" s="11"/>
      <c r="BZ95" s="9"/>
      <c r="CA95" s="55"/>
      <c r="CB95" s="56"/>
      <c r="CC95" s="55"/>
      <c r="CD95" s="10"/>
      <c r="CE95" s="9"/>
      <c r="CF95" s="11"/>
      <c r="CG95" s="9"/>
      <c r="CH95" s="55"/>
      <c r="CI95" s="56"/>
      <c r="CJ95" s="55"/>
      <c r="CK95" s="10"/>
      <c r="CL95" s="9"/>
      <c r="CM95" s="11"/>
      <c r="CN95" s="9"/>
      <c r="CO95" s="55"/>
      <c r="CP95" s="56"/>
      <c r="CQ95" s="55"/>
    </row>
    <row r="96" spans="1:95" ht="12.75">
      <c r="A96" s="9"/>
      <c r="B96" s="9"/>
      <c r="C96" s="9"/>
      <c r="D96" s="10"/>
      <c r="E96" s="9"/>
      <c r="F96" s="11"/>
      <c r="G96" s="9"/>
      <c r="H96" s="9"/>
      <c r="I96" s="9"/>
      <c r="J96" s="9"/>
      <c r="K96" s="9"/>
      <c r="L96" s="10"/>
      <c r="M96" s="9"/>
      <c r="N96" s="11"/>
      <c r="O96" s="9"/>
      <c r="P96" s="9"/>
      <c r="Q96" s="9"/>
      <c r="R96" s="9"/>
      <c r="S96" s="9"/>
      <c r="T96" s="10"/>
      <c r="U96" s="9"/>
      <c r="V96" s="11"/>
      <c r="W96" s="9"/>
      <c r="X96" s="9"/>
      <c r="Y96" s="9"/>
      <c r="Z96" s="9"/>
      <c r="AA96" s="9"/>
      <c r="AB96" s="10"/>
      <c r="AC96" s="9"/>
      <c r="AD96" s="11"/>
      <c r="AE96" s="9"/>
      <c r="AF96" s="9"/>
      <c r="AG96" s="9"/>
      <c r="AH96" s="9"/>
      <c r="AI96" s="9"/>
      <c r="AJ96" s="10"/>
      <c r="AK96" s="9"/>
      <c r="AL96" s="11"/>
      <c r="AM96" s="9"/>
      <c r="AN96" s="9"/>
      <c r="AO96" s="9"/>
      <c r="AP96" s="9"/>
      <c r="AQ96" s="10"/>
      <c r="AR96" s="9"/>
      <c r="AS96" s="11"/>
      <c r="AT96" s="9"/>
      <c r="AU96" s="9"/>
      <c r="AV96" s="9"/>
      <c r="AW96" s="9"/>
      <c r="AX96" s="10"/>
      <c r="AY96" s="9"/>
      <c r="AZ96" s="11"/>
      <c r="BA96" s="9"/>
      <c r="BB96" s="9"/>
      <c r="BC96" s="9"/>
      <c r="BD96" s="9"/>
      <c r="BE96" s="10"/>
      <c r="BF96" s="9"/>
      <c r="BG96" s="11"/>
      <c r="BH96" s="9"/>
      <c r="BI96" s="9"/>
      <c r="BJ96" s="9"/>
      <c r="BK96" s="9"/>
      <c r="BL96" s="10"/>
      <c r="BM96" s="9"/>
      <c r="BN96" s="11"/>
      <c r="BO96" s="9"/>
      <c r="BP96" s="9"/>
      <c r="BQ96" s="9"/>
      <c r="BR96" s="9"/>
      <c r="BS96" s="10"/>
      <c r="BT96" s="9"/>
      <c r="BU96" s="11"/>
      <c r="BV96" s="9"/>
      <c r="BW96" s="9"/>
      <c r="BX96" s="9"/>
      <c r="BY96" s="9"/>
      <c r="BZ96" s="10"/>
      <c r="CA96" s="9"/>
      <c r="CB96" s="11"/>
      <c r="CC96" s="9"/>
      <c r="CD96" s="9"/>
      <c r="CE96" s="9"/>
      <c r="CF96" s="9"/>
      <c r="CG96" s="10"/>
      <c r="CH96" s="9"/>
      <c r="CI96" s="11"/>
      <c r="CJ96" s="9"/>
      <c r="CK96" s="9"/>
      <c r="CL96" s="9"/>
      <c r="CM96" s="9"/>
      <c r="CN96" s="10"/>
      <c r="CO96" s="9"/>
      <c r="CP96" s="11"/>
      <c r="CQ96" s="9"/>
    </row>
    <row r="97" spans="1:95" ht="12.75">
      <c r="A97" s="9"/>
      <c r="B97" s="9"/>
      <c r="C97" s="9"/>
      <c r="D97" s="10"/>
      <c r="E97" s="9"/>
      <c r="F97" s="11"/>
      <c r="G97" s="9"/>
      <c r="H97" s="9"/>
      <c r="I97" s="9"/>
      <c r="J97" s="9"/>
      <c r="K97" s="9"/>
      <c r="L97" s="10"/>
      <c r="M97" s="9"/>
      <c r="N97" s="11"/>
      <c r="O97" s="9"/>
      <c r="P97" s="9"/>
      <c r="Q97" s="9"/>
      <c r="R97" s="9"/>
      <c r="S97" s="9"/>
      <c r="T97" s="10"/>
      <c r="U97" s="9"/>
      <c r="V97" s="11"/>
      <c r="W97" s="9"/>
      <c r="X97" s="9"/>
      <c r="Y97" s="9"/>
      <c r="Z97" s="9"/>
      <c r="AA97" s="9"/>
      <c r="AB97" s="10"/>
      <c r="AC97" s="9"/>
      <c r="AD97" s="11"/>
      <c r="AE97" s="9"/>
      <c r="AF97" s="9"/>
      <c r="AG97" s="9"/>
      <c r="AH97" s="9"/>
      <c r="AI97" s="9"/>
      <c r="AJ97" s="10"/>
      <c r="AK97" s="9"/>
      <c r="AL97" s="11"/>
      <c r="AM97" s="9"/>
      <c r="AN97" s="9"/>
      <c r="AO97" s="9"/>
      <c r="AP97" s="9"/>
      <c r="AQ97" s="10"/>
      <c r="AR97" s="9"/>
      <c r="AS97" s="11"/>
      <c r="AT97" s="9"/>
      <c r="AU97" s="9"/>
      <c r="AV97" s="9"/>
      <c r="AW97" s="9"/>
      <c r="AX97" s="10"/>
      <c r="AY97" s="9"/>
      <c r="AZ97" s="11"/>
      <c r="BA97" s="9"/>
      <c r="BB97" s="9"/>
      <c r="BC97" s="9"/>
      <c r="BD97" s="9"/>
      <c r="BE97" s="10"/>
      <c r="BF97" s="9"/>
      <c r="BG97" s="11"/>
      <c r="BH97" s="9"/>
      <c r="BI97" s="9"/>
      <c r="BJ97" s="9"/>
      <c r="BK97" s="9"/>
      <c r="BL97" s="10"/>
      <c r="BM97" s="9"/>
      <c r="BN97" s="11"/>
      <c r="BO97" s="9"/>
      <c r="BP97" s="9"/>
      <c r="BQ97" s="9"/>
      <c r="BR97" s="9"/>
      <c r="BS97" s="10"/>
      <c r="BT97" s="9"/>
      <c r="BU97" s="11"/>
      <c r="BV97" s="9"/>
      <c r="BW97" s="9"/>
      <c r="BX97" s="9"/>
      <c r="BY97" s="9"/>
      <c r="BZ97" s="10"/>
      <c r="CA97" s="9"/>
      <c r="CB97" s="11"/>
      <c r="CC97" s="9"/>
      <c r="CD97" s="9"/>
      <c r="CE97" s="9"/>
      <c r="CF97" s="9"/>
      <c r="CG97" s="10"/>
      <c r="CH97" s="9"/>
      <c r="CI97" s="11"/>
      <c r="CJ97" s="9"/>
      <c r="CK97" s="9"/>
      <c r="CL97" s="9"/>
      <c r="CM97" s="9"/>
      <c r="CN97" s="10"/>
      <c r="CO97" s="9"/>
      <c r="CP97" s="11"/>
      <c r="CQ97" s="9"/>
    </row>
    <row r="98" spans="1:95" ht="12.75">
      <c r="A98" s="9"/>
      <c r="B98" s="9"/>
      <c r="C98" s="9"/>
      <c r="D98" s="10"/>
      <c r="E98" s="9"/>
      <c r="F98" s="11"/>
      <c r="G98" s="9"/>
      <c r="H98" s="9"/>
      <c r="I98" s="9"/>
      <c r="J98" s="9"/>
      <c r="K98" s="9"/>
      <c r="L98" s="10"/>
      <c r="M98" s="9"/>
      <c r="N98" s="11"/>
      <c r="O98" s="9"/>
      <c r="P98" s="9"/>
      <c r="Q98" s="9"/>
      <c r="R98" s="9"/>
      <c r="S98" s="9"/>
      <c r="T98" s="10"/>
      <c r="U98" s="9"/>
      <c r="V98" s="11"/>
      <c r="W98" s="9"/>
      <c r="X98" s="9"/>
      <c r="Y98" s="9"/>
      <c r="Z98" s="9"/>
      <c r="AA98" s="9"/>
      <c r="AB98" s="10"/>
      <c r="AC98" s="9"/>
      <c r="AD98" s="11"/>
      <c r="AE98" s="9"/>
      <c r="AF98" s="9"/>
      <c r="AG98" s="9"/>
      <c r="AH98" s="9"/>
      <c r="AI98" s="9"/>
      <c r="AJ98" s="10"/>
      <c r="AK98" s="9"/>
      <c r="AL98" s="11"/>
      <c r="AM98" s="9"/>
      <c r="AN98" s="9"/>
      <c r="AO98" s="9"/>
      <c r="AP98" s="9"/>
      <c r="AQ98" s="10"/>
      <c r="AR98" s="9"/>
      <c r="AS98" s="11"/>
      <c r="AT98" s="9"/>
      <c r="AU98" s="9"/>
      <c r="AV98" s="9"/>
      <c r="AW98" s="9"/>
      <c r="AX98" s="10"/>
      <c r="AY98" s="9"/>
      <c r="AZ98" s="11"/>
      <c r="BA98" s="9"/>
      <c r="BB98" s="9"/>
      <c r="BC98" s="9"/>
      <c r="BD98" s="9"/>
      <c r="BE98" s="10"/>
      <c r="BF98" s="9"/>
      <c r="BG98" s="11"/>
      <c r="BH98" s="9"/>
      <c r="BI98" s="9"/>
      <c r="BJ98" s="9"/>
      <c r="BK98" s="9"/>
      <c r="BL98" s="10"/>
      <c r="BM98" s="9"/>
      <c r="BN98" s="11"/>
      <c r="BO98" s="9"/>
      <c r="BP98" s="9"/>
      <c r="BQ98" s="9"/>
      <c r="BR98" s="9"/>
      <c r="BS98" s="10"/>
      <c r="BT98" s="9"/>
      <c r="BU98" s="11"/>
      <c r="BV98" s="9"/>
      <c r="BW98" s="9"/>
      <c r="BX98" s="9"/>
      <c r="BY98" s="9"/>
      <c r="BZ98" s="10"/>
      <c r="CA98" s="9"/>
      <c r="CB98" s="11"/>
      <c r="CC98" s="9"/>
      <c r="CD98" s="9"/>
      <c r="CE98" s="9"/>
      <c r="CF98" s="9"/>
      <c r="CG98" s="10"/>
      <c r="CH98" s="9"/>
      <c r="CI98" s="11"/>
      <c r="CJ98" s="9"/>
      <c r="CK98" s="9"/>
      <c r="CL98" s="9"/>
      <c r="CM98" s="9"/>
      <c r="CN98" s="10"/>
      <c r="CO98" s="9"/>
      <c r="CP98" s="11"/>
      <c r="CQ98" s="9"/>
    </row>
    <row r="99" spans="1:95" ht="12.75">
      <c r="A99" s="20" t="s">
        <v>119</v>
      </c>
      <c r="B99" s="9"/>
      <c r="C99" s="9"/>
      <c r="D99" s="9"/>
      <c r="E99" s="11"/>
      <c r="F99" s="9"/>
      <c r="G99" s="11"/>
      <c r="H99" s="11"/>
      <c r="I99" s="20" t="s">
        <v>119</v>
      </c>
      <c r="J99" s="9"/>
      <c r="K99" s="9"/>
      <c r="L99" s="9"/>
      <c r="M99" s="11"/>
      <c r="N99" s="9"/>
      <c r="O99" s="11"/>
      <c r="P99" s="11"/>
      <c r="Q99" s="20" t="s">
        <v>119</v>
      </c>
      <c r="R99" s="9"/>
      <c r="S99" s="9"/>
      <c r="T99" s="9"/>
      <c r="U99" s="11"/>
      <c r="V99" s="9"/>
      <c r="W99" s="11"/>
      <c r="X99" s="11"/>
      <c r="Y99" s="20" t="s">
        <v>119</v>
      </c>
      <c r="Z99" s="9"/>
      <c r="AA99" s="9"/>
      <c r="AB99" s="9"/>
      <c r="AC99" s="11"/>
      <c r="AD99" s="9"/>
      <c r="AE99" s="11"/>
      <c r="AF99" s="11"/>
      <c r="AG99" s="20" t="s">
        <v>119</v>
      </c>
      <c r="AH99" s="9"/>
      <c r="AI99" s="9"/>
      <c r="AJ99" s="9"/>
      <c r="AK99" s="11"/>
      <c r="AL99" s="9"/>
      <c r="AM99" s="11"/>
      <c r="AN99" s="20" t="s">
        <v>119</v>
      </c>
      <c r="AO99" s="9"/>
      <c r="AP99" s="9"/>
      <c r="AQ99" s="9"/>
      <c r="AR99" s="11"/>
      <c r="AS99" s="9"/>
      <c r="AT99" s="11"/>
      <c r="AU99" s="20" t="s">
        <v>119</v>
      </c>
      <c r="AV99" s="9"/>
      <c r="AW99" s="9"/>
      <c r="AX99" s="9"/>
      <c r="AY99" s="11"/>
      <c r="AZ99" s="9"/>
      <c r="BA99" s="11"/>
      <c r="BB99" s="20" t="s">
        <v>119</v>
      </c>
      <c r="BC99" s="9"/>
      <c r="BD99" s="9"/>
      <c r="BE99" s="9"/>
      <c r="BF99" s="11"/>
      <c r="BG99" s="9"/>
      <c r="BH99" s="11"/>
      <c r="BI99" s="20" t="s">
        <v>119</v>
      </c>
      <c r="BJ99" s="9"/>
      <c r="BK99" s="9"/>
      <c r="BL99" s="9"/>
      <c r="BM99" s="11"/>
      <c r="BN99" s="9"/>
      <c r="BO99" s="11"/>
      <c r="BP99" s="20" t="s">
        <v>119</v>
      </c>
      <c r="BQ99" s="9"/>
      <c r="BR99" s="9"/>
      <c r="BS99" s="9"/>
      <c r="BT99" s="11"/>
      <c r="BU99" s="9"/>
      <c r="BV99" s="11"/>
      <c r="BW99" s="20" t="s">
        <v>119</v>
      </c>
      <c r="BX99" s="9"/>
      <c r="BY99" s="9"/>
      <c r="BZ99" s="9"/>
      <c r="CA99" s="11"/>
      <c r="CB99" s="9"/>
      <c r="CC99" s="11"/>
      <c r="CD99" s="20" t="s">
        <v>119</v>
      </c>
      <c r="CE99" s="9"/>
      <c r="CF99" s="9"/>
      <c r="CG99" s="9"/>
      <c r="CH99" s="11"/>
      <c r="CI99" s="9"/>
      <c r="CJ99" s="11"/>
      <c r="CK99" s="20" t="s">
        <v>119</v>
      </c>
      <c r="CL99" s="9"/>
      <c r="CM99" s="9"/>
      <c r="CN99" s="9"/>
      <c r="CO99" s="11"/>
      <c r="CP99" s="9"/>
      <c r="CQ99" s="11"/>
    </row>
    <row r="100" spans="1:95" ht="12.75">
      <c r="A100" s="20"/>
      <c r="B100" s="9"/>
      <c r="C100" s="9"/>
      <c r="D100" s="9"/>
      <c r="E100" s="11"/>
      <c r="F100" s="9"/>
      <c r="G100" s="11"/>
      <c r="H100" s="11"/>
      <c r="I100" s="20"/>
      <c r="J100" s="9"/>
      <c r="K100" s="9"/>
      <c r="L100" s="9"/>
      <c r="M100" s="11"/>
      <c r="N100" s="9"/>
      <c r="O100" s="11"/>
      <c r="P100" s="11"/>
      <c r="Q100" s="20"/>
      <c r="R100" s="9"/>
      <c r="S100" s="9"/>
      <c r="T100" s="9"/>
      <c r="U100" s="11"/>
      <c r="V100" s="9"/>
      <c r="W100" s="11"/>
      <c r="X100" s="11"/>
      <c r="Y100" s="20"/>
      <c r="Z100" s="9"/>
      <c r="AA100" s="9"/>
      <c r="AB100" s="9"/>
      <c r="AC100" s="11"/>
      <c r="AD100" s="9"/>
      <c r="AE100" s="11"/>
      <c r="AF100" s="11"/>
      <c r="AG100" s="20"/>
      <c r="AH100" s="9"/>
      <c r="AI100" s="9"/>
      <c r="AJ100" s="9"/>
      <c r="AK100" s="11"/>
      <c r="AL100" s="9"/>
      <c r="AM100" s="11"/>
      <c r="AN100" s="20"/>
      <c r="AO100" s="9"/>
      <c r="AP100" s="9"/>
      <c r="AQ100" s="9"/>
      <c r="AR100" s="11"/>
      <c r="AS100" s="9"/>
      <c r="AT100" s="11"/>
      <c r="AU100" s="20"/>
      <c r="AV100" s="9"/>
      <c r="AW100" s="9"/>
      <c r="AX100" s="9"/>
      <c r="AY100" s="11"/>
      <c r="AZ100" s="9"/>
      <c r="BA100" s="11"/>
      <c r="BB100" s="20"/>
      <c r="BC100" s="9"/>
      <c r="BD100" s="9"/>
      <c r="BE100" s="9"/>
      <c r="BF100" s="11"/>
      <c r="BG100" s="9"/>
      <c r="BH100" s="11"/>
      <c r="BI100" s="20"/>
      <c r="BJ100" s="9"/>
      <c r="BK100" s="9"/>
      <c r="BL100" s="9"/>
      <c r="BM100" s="11"/>
      <c r="BN100" s="9"/>
      <c r="BO100" s="11"/>
      <c r="BP100" s="20"/>
      <c r="BQ100" s="9"/>
      <c r="BR100" s="9"/>
      <c r="BS100" s="9"/>
      <c r="BT100" s="11"/>
      <c r="BU100" s="9"/>
      <c r="BV100" s="11"/>
      <c r="BW100" s="20"/>
      <c r="BX100" s="9"/>
      <c r="BY100" s="9"/>
      <c r="BZ100" s="9"/>
      <c r="CA100" s="11"/>
      <c r="CB100" s="9"/>
      <c r="CC100" s="11"/>
      <c r="CD100" s="20"/>
      <c r="CE100" s="9"/>
      <c r="CF100" s="9"/>
      <c r="CG100" s="9"/>
      <c r="CH100" s="11"/>
      <c r="CI100" s="9"/>
      <c r="CJ100" s="11"/>
      <c r="CK100" s="20"/>
      <c r="CL100" s="9"/>
      <c r="CM100" s="9"/>
      <c r="CN100" s="9"/>
      <c r="CO100" s="11"/>
      <c r="CP100" s="9"/>
      <c r="CQ100" s="11"/>
    </row>
    <row r="101" spans="1:95" s="30" customFormat="1" ht="12.75">
      <c r="A101" s="26"/>
      <c r="B101" s="27"/>
      <c r="C101" s="27"/>
      <c r="D101" s="28" t="s">
        <v>143</v>
      </c>
      <c r="E101" s="27" t="s">
        <v>96</v>
      </c>
      <c r="F101" s="29" t="s">
        <v>97</v>
      </c>
      <c r="G101" s="27" t="s">
        <v>96</v>
      </c>
      <c r="H101" s="27"/>
      <c r="I101" s="28" t="s">
        <v>143</v>
      </c>
      <c r="J101" s="27" t="s">
        <v>96</v>
      </c>
      <c r="K101" s="29" t="s">
        <v>97</v>
      </c>
      <c r="L101" s="27" t="s">
        <v>96</v>
      </c>
      <c r="M101" s="65"/>
      <c r="N101" s="66"/>
      <c r="O101" s="65"/>
      <c r="P101" s="27"/>
      <c r="Q101" s="28" t="s">
        <v>143</v>
      </c>
      <c r="R101" s="27" t="s">
        <v>96</v>
      </c>
      <c r="S101" s="29" t="s">
        <v>97</v>
      </c>
      <c r="T101" s="27" t="s">
        <v>96</v>
      </c>
      <c r="U101" s="65"/>
      <c r="V101" s="66"/>
      <c r="W101" s="65"/>
      <c r="X101" s="27"/>
      <c r="Y101" s="28" t="s">
        <v>143</v>
      </c>
      <c r="Z101" s="27" t="s">
        <v>96</v>
      </c>
      <c r="AA101" s="29" t="s">
        <v>97</v>
      </c>
      <c r="AB101" s="27" t="s">
        <v>96</v>
      </c>
      <c r="AC101" s="65"/>
      <c r="AD101" s="66"/>
      <c r="AE101" s="65"/>
      <c r="AF101" s="27"/>
      <c r="AG101" s="28" t="s">
        <v>143</v>
      </c>
      <c r="AH101" s="27" t="s">
        <v>96</v>
      </c>
      <c r="AI101" s="29" t="s">
        <v>97</v>
      </c>
      <c r="AJ101" s="27" t="s">
        <v>96</v>
      </c>
      <c r="AK101" s="65"/>
      <c r="AL101" s="66"/>
      <c r="AM101" s="65"/>
      <c r="AN101" s="94" t="s">
        <v>143</v>
      </c>
      <c r="AO101" s="45" t="s">
        <v>96</v>
      </c>
      <c r="AP101" s="93" t="s">
        <v>97</v>
      </c>
      <c r="AQ101" s="45" t="s">
        <v>96</v>
      </c>
      <c r="AR101" s="65"/>
      <c r="AS101" s="66"/>
      <c r="AT101" s="65"/>
      <c r="AU101" s="94" t="s">
        <v>143</v>
      </c>
      <c r="AV101" s="45" t="s">
        <v>96</v>
      </c>
      <c r="AW101" s="93" t="s">
        <v>97</v>
      </c>
      <c r="AX101" s="45" t="s">
        <v>96</v>
      </c>
      <c r="AY101" s="65"/>
      <c r="AZ101" s="66"/>
      <c r="BA101" s="65"/>
      <c r="BB101" s="94" t="s">
        <v>143</v>
      </c>
      <c r="BC101" s="45" t="s">
        <v>96</v>
      </c>
      <c r="BD101" s="93" t="s">
        <v>97</v>
      </c>
      <c r="BE101" s="45" t="s">
        <v>96</v>
      </c>
      <c r="BF101" s="65"/>
      <c r="BG101" s="66"/>
      <c r="BH101" s="65"/>
      <c r="BI101" s="94" t="s">
        <v>143</v>
      </c>
      <c r="BJ101" s="45" t="s">
        <v>96</v>
      </c>
      <c r="BK101" s="93" t="s">
        <v>97</v>
      </c>
      <c r="BL101" s="45" t="s">
        <v>96</v>
      </c>
      <c r="BM101" s="65"/>
      <c r="BN101" s="66"/>
      <c r="BO101" s="65"/>
      <c r="BP101" s="94" t="s">
        <v>143</v>
      </c>
      <c r="BQ101" s="45" t="s">
        <v>96</v>
      </c>
      <c r="BR101" s="93" t="s">
        <v>97</v>
      </c>
      <c r="BS101" s="45" t="s">
        <v>96</v>
      </c>
      <c r="BT101" s="65"/>
      <c r="BU101" s="66"/>
      <c r="BV101" s="65"/>
      <c r="BW101" s="94" t="s">
        <v>143</v>
      </c>
      <c r="BX101" s="45" t="s">
        <v>96</v>
      </c>
      <c r="BY101" s="93" t="s">
        <v>97</v>
      </c>
      <c r="BZ101" s="45" t="s">
        <v>96</v>
      </c>
      <c r="CA101" s="65"/>
      <c r="CB101" s="66"/>
      <c r="CC101" s="65"/>
      <c r="CD101" s="94" t="s">
        <v>143</v>
      </c>
      <c r="CE101" s="45" t="s">
        <v>96</v>
      </c>
      <c r="CF101" s="93" t="s">
        <v>97</v>
      </c>
      <c r="CG101" s="45" t="s">
        <v>96</v>
      </c>
      <c r="CH101" s="65"/>
      <c r="CI101" s="66"/>
      <c r="CJ101" s="65"/>
      <c r="CK101" s="94" t="s">
        <v>143</v>
      </c>
      <c r="CL101" s="45" t="s">
        <v>96</v>
      </c>
      <c r="CM101" s="93" t="s">
        <v>97</v>
      </c>
      <c r="CN101" s="45" t="s">
        <v>96</v>
      </c>
      <c r="CO101" s="65"/>
      <c r="CP101" s="66"/>
      <c r="CQ101" s="65"/>
    </row>
    <row r="102" spans="1:95" ht="12.75">
      <c r="A102" s="13"/>
      <c r="B102" s="9"/>
      <c r="C102" s="9"/>
      <c r="D102" s="11"/>
      <c r="E102" s="9"/>
      <c r="F102" s="11"/>
      <c r="G102" s="9"/>
      <c r="H102" s="9"/>
      <c r="I102" s="11"/>
      <c r="J102" s="9"/>
      <c r="K102" s="11"/>
      <c r="L102" s="9"/>
      <c r="M102" s="55"/>
      <c r="N102" s="56"/>
      <c r="O102" s="55"/>
      <c r="P102" s="9"/>
      <c r="Q102" s="11"/>
      <c r="R102" s="9"/>
      <c r="S102" s="11"/>
      <c r="T102" s="9"/>
      <c r="U102" s="55"/>
      <c r="V102" s="56"/>
      <c r="W102" s="55"/>
      <c r="X102" s="9"/>
      <c r="Y102" s="11"/>
      <c r="Z102" s="9"/>
      <c r="AA102" s="11"/>
      <c r="AB102" s="9"/>
      <c r="AC102" s="55"/>
      <c r="AD102" s="56"/>
      <c r="AE102" s="55"/>
      <c r="AF102" s="9"/>
      <c r="AG102" s="11"/>
      <c r="AH102" s="9"/>
      <c r="AI102" s="11"/>
      <c r="AJ102" s="9"/>
      <c r="AK102" s="55"/>
      <c r="AL102" s="56"/>
      <c r="AM102" s="55"/>
      <c r="AN102" s="11"/>
      <c r="AO102" s="9"/>
      <c r="AP102" s="11"/>
      <c r="AQ102" s="9"/>
      <c r="AR102" s="55"/>
      <c r="AS102" s="56"/>
      <c r="AT102" s="55"/>
      <c r="AU102" s="11"/>
      <c r="AV102" s="9"/>
      <c r="AW102" s="11"/>
      <c r="AX102" s="9"/>
      <c r="AY102" s="55"/>
      <c r="AZ102" s="56"/>
      <c r="BA102" s="55"/>
      <c r="BB102" s="11"/>
      <c r="BC102" s="9"/>
      <c r="BD102" s="11"/>
      <c r="BE102" s="9"/>
      <c r="BF102" s="55"/>
      <c r="BG102" s="56"/>
      <c r="BH102" s="55"/>
      <c r="BI102" s="11"/>
      <c r="BJ102" s="9"/>
      <c r="BK102" s="11"/>
      <c r="BL102" s="9"/>
      <c r="BM102" s="55"/>
      <c r="BN102" s="56"/>
      <c r="BO102" s="55"/>
      <c r="BP102" s="11"/>
      <c r="BQ102" s="9"/>
      <c r="BR102" s="11"/>
      <c r="BS102" s="9"/>
      <c r="BT102" s="55"/>
      <c r="BU102" s="56"/>
      <c r="BV102" s="55"/>
      <c r="BW102" s="11"/>
      <c r="BX102" s="9"/>
      <c r="BY102" s="11"/>
      <c r="BZ102" s="9"/>
      <c r="CA102" s="55"/>
      <c r="CB102" s="56"/>
      <c r="CC102" s="55"/>
      <c r="CD102" s="11"/>
      <c r="CE102" s="9"/>
      <c r="CF102" s="11"/>
      <c r="CG102" s="9"/>
      <c r="CH102" s="55"/>
      <c r="CI102" s="56"/>
      <c r="CJ102" s="55"/>
      <c r="CK102" s="11"/>
      <c r="CL102" s="9"/>
      <c r="CM102" s="11"/>
      <c r="CN102" s="9"/>
      <c r="CO102" s="55"/>
      <c r="CP102" s="56"/>
      <c r="CQ102" s="55"/>
    </row>
    <row r="103" spans="1:95" ht="12.75">
      <c r="A103" s="25">
        <v>1996</v>
      </c>
      <c r="B103" s="9"/>
      <c r="C103" s="9"/>
      <c r="D103" s="10">
        <v>0</v>
      </c>
      <c r="E103" s="15">
        <v>0</v>
      </c>
      <c r="F103" s="11">
        <v>0</v>
      </c>
      <c r="G103" s="15">
        <v>0</v>
      </c>
      <c r="H103" s="15"/>
      <c r="I103" s="10">
        <v>0</v>
      </c>
      <c r="J103" s="15">
        <v>0</v>
      </c>
      <c r="K103" s="11">
        <v>0</v>
      </c>
      <c r="L103" s="15">
        <v>0</v>
      </c>
      <c r="M103" s="57"/>
      <c r="N103" s="56"/>
      <c r="O103" s="57"/>
      <c r="P103" s="15"/>
      <c r="Q103" s="10">
        <v>0</v>
      </c>
      <c r="R103" s="15">
        <v>0</v>
      </c>
      <c r="S103" s="11">
        <v>0</v>
      </c>
      <c r="T103" s="15">
        <v>0</v>
      </c>
      <c r="U103" s="57"/>
      <c r="V103" s="56"/>
      <c r="W103" s="57"/>
      <c r="X103" s="15"/>
      <c r="Y103" s="10">
        <v>0</v>
      </c>
      <c r="Z103" s="15">
        <v>0</v>
      </c>
      <c r="AA103" s="11">
        <v>0</v>
      </c>
      <c r="AB103" s="15">
        <v>0</v>
      </c>
      <c r="AC103" s="57"/>
      <c r="AD103" s="56"/>
      <c r="AE103" s="57"/>
      <c r="AF103" s="15"/>
      <c r="AG103" s="10">
        <v>0</v>
      </c>
      <c r="AH103" s="15">
        <v>0</v>
      </c>
      <c r="AI103" s="11">
        <v>0</v>
      </c>
      <c r="AJ103" s="15">
        <v>0</v>
      </c>
      <c r="AK103" s="57"/>
      <c r="AL103" s="56"/>
      <c r="AM103" s="57"/>
      <c r="AN103" s="10">
        <v>0</v>
      </c>
      <c r="AO103" s="15">
        <v>0</v>
      </c>
      <c r="AP103" s="11">
        <v>0</v>
      </c>
      <c r="AQ103" s="15">
        <v>0</v>
      </c>
      <c r="AR103" s="57"/>
      <c r="AS103" s="56"/>
      <c r="AT103" s="57"/>
      <c r="AU103" s="10">
        <v>0</v>
      </c>
      <c r="AV103" s="15">
        <v>0</v>
      </c>
      <c r="AW103" s="11">
        <v>0</v>
      </c>
      <c r="AX103" s="15">
        <v>0</v>
      </c>
      <c r="AY103" s="57"/>
      <c r="AZ103" s="56"/>
      <c r="BA103" s="57"/>
      <c r="BB103" s="10">
        <v>0</v>
      </c>
      <c r="BC103" s="15">
        <v>0</v>
      </c>
      <c r="BD103" s="11">
        <v>0</v>
      </c>
      <c r="BE103" s="15">
        <v>0</v>
      </c>
      <c r="BF103" s="57"/>
      <c r="BG103" s="56"/>
      <c r="BH103" s="57"/>
      <c r="BI103" s="10">
        <v>0</v>
      </c>
      <c r="BJ103" s="15">
        <v>0</v>
      </c>
      <c r="BK103" s="11">
        <v>0</v>
      </c>
      <c r="BL103" s="15">
        <v>0</v>
      </c>
      <c r="BM103" s="57"/>
      <c r="BN103" s="56"/>
      <c r="BO103" s="57"/>
      <c r="BP103" s="10">
        <v>0</v>
      </c>
      <c r="BQ103" s="15">
        <v>0</v>
      </c>
      <c r="BR103" s="11">
        <v>0</v>
      </c>
      <c r="BS103" s="15">
        <v>0</v>
      </c>
      <c r="BT103" s="57"/>
      <c r="BU103" s="56"/>
      <c r="BV103" s="57"/>
      <c r="BW103" s="10">
        <v>0</v>
      </c>
      <c r="BX103" s="15">
        <v>0</v>
      </c>
      <c r="BY103" s="11">
        <v>0</v>
      </c>
      <c r="BZ103" s="15">
        <v>0</v>
      </c>
      <c r="CA103" s="57"/>
      <c r="CB103" s="56"/>
      <c r="CC103" s="57"/>
      <c r="CD103" s="10">
        <v>0</v>
      </c>
      <c r="CE103" s="15">
        <v>0</v>
      </c>
      <c r="CF103" s="11">
        <v>0</v>
      </c>
      <c r="CG103" s="15">
        <v>0</v>
      </c>
      <c r="CH103" s="57"/>
      <c r="CI103" s="56"/>
      <c r="CJ103" s="57"/>
      <c r="CK103" s="10">
        <v>0</v>
      </c>
      <c r="CL103" s="15">
        <v>0</v>
      </c>
      <c r="CM103" s="11">
        <v>0</v>
      </c>
      <c r="CN103" s="15">
        <v>0</v>
      </c>
      <c r="CO103" s="57"/>
      <c r="CP103" s="56"/>
      <c r="CQ103" s="57"/>
    </row>
    <row r="104" spans="1:95" ht="12.75">
      <c r="A104" s="25">
        <v>1997</v>
      </c>
      <c r="B104" s="9"/>
      <c r="C104" s="9"/>
      <c r="D104" s="10">
        <v>85501.65</v>
      </c>
      <c r="E104" s="15">
        <v>0.0022100028556769754</v>
      </c>
      <c r="F104" s="11">
        <v>34</v>
      </c>
      <c r="G104" s="15">
        <v>0.0040553435114503815</v>
      </c>
      <c r="H104" s="15"/>
      <c r="I104" s="10">
        <v>58704.42</v>
      </c>
      <c r="J104" s="15">
        <v>0.0018495192980806884</v>
      </c>
      <c r="K104" s="11">
        <v>30</v>
      </c>
      <c r="L104" s="15">
        <v>0.003934942287513116</v>
      </c>
      <c r="M104" s="57"/>
      <c r="N104" s="56"/>
      <c r="O104" s="57"/>
      <c r="P104" s="15"/>
      <c r="Q104" s="10">
        <v>42766.84</v>
      </c>
      <c r="R104" s="15">
        <v>0.0012362407625641394</v>
      </c>
      <c r="S104" s="11">
        <v>23</v>
      </c>
      <c r="T104" s="15">
        <v>0.002884735983945817</v>
      </c>
      <c r="U104" s="57"/>
      <c r="V104" s="56"/>
      <c r="W104" s="57"/>
      <c r="X104" s="15"/>
      <c r="Y104" s="10">
        <v>31847.13</v>
      </c>
      <c r="Z104" s="15">
        <v>0.000997887255044026</v>
      </c>
      <c r="AA104" s="11">
        <v>15</v>
      </c>
      <c r="AB104" s="15">
        <v>0.0019625801386889963</v>
      </c>
      <c r="AC104" s="57"/>
      <c r="AD104" s="56"/>
      <c r="AE104" s="57"/>
      <c r="AF104" s="15"/>
      <c r="AG104" s="10">
        <v>27966.55</v>
      </c>
      <c r="AH104" s="15">
        <v>0.0005188256895496985</v>
      </c>
      <c r="AI104" s="11">
        <v>10</v>
      </c>
      <c r="AJ104" s="15">
        <v>0.0009341429238673517</v>
      </c>
      <c r="AK104" s="57"/>
      <c r="AL104" s="56"/>
      <c r="AM104" s="57"/>
      <c r="AN104" s="10">
        <v>0</v>
      </c>
      <c r="AO104" s="15">
        <v>0</v>
      </c>
      <c r="AP104" s="11">
        <v>0</v>
      </c>
      <c r="AQ104" s="15">
        <v>0</v>
      </c>
      <c r="AR104" s="57"/>
      <c r="AS104" s="56"/>
      <c r="AT104" s="57"/>
      <c r="AU104" s="10">
        <v>0</v>
      </c>
      <c r="AV104" s="15">
        <v>0</v>
      </c>
      <c r="AW104" s="11">
        <v>0</v>
      </c>
      <c r="AX104" s="15">
        <v>0</v>
      </c>
      <c r="AY104" s="57"/>
      <c r="AZ104" s="56"/>
      <c r="BA104" s="57"/>
      <c r="BB104" s="10">
        <v>0</v>
      </c>
      <c r="BC104" s="15">
        <v>0</v>
      </c>
      <c r="BD104" s="11">
        <v>0</v>
      </c>
      <c r="BE104" s="15">
        <v>0</v>
      </c>
      <c r="BF104" s="57"/>
      <c r="BG104" s="56"/>
      <c r="BH104" s="57"/>
      <c r="BI104" s="10">
        <v>0</v>
      </c>
      <c r="BJ104" s="15">
        <v>0</v>
      </c>
      <c r="BK104" s="11">
        <v>0</v>
      </c>
      <c r="BL104" s="15">
        <v>0</v>
      </c>
      <c r="BM104" s="57"/>
      <c r="BN104" s="56"/>
      <c r="BO104" s="57"/>
      <c r="BP104" s="10">
        <v>0</v>
      </c>
      <c r="BQ104" s="15">
        <v>0</v>
      </c>
      <c r="BR104" s="11">
        <v>0</v>
      </c>
      <c r="BS104" s="15">
        <v>0</v>
      </c>
      <c r="BT104" s="57"/>
      <c r="BU104" s="56"/>
      <c r="BV104" s="57"/>
      <c r="BW104" s="10">
        <v>0</v>
      </c>
      <c r="BX104" s="15">
        <v>0</v>
      </c>
      <c r="BY104" s="11">
        <v>0</v>
      </c>
      <c r="BZ104" s="15">
        <v>0</v>
      </c>
      <c r="CA104" s="57"/>
      <c r="CB104" s="56"/>
      <c r="CC104" s="57"/>
      <c r="CD104" s="10">
        <v>0</v>
      </c>
      <c r="CE104" s="15">
        <v>0</v>
      </c>
      <c r="CF104" s="11">
        <v>0</v>
      </c>
      <c r="CG104" s="15">
        <v>0</v>
      </c>
      <c r="CH104" s="57"/>
      <c r="CI104" s="56"/>
      <c r="CJ104" s="57"/>
      <c r="CK104" s="10">
        <v>0</v>
      </c>
      <c r="CL104" s="15">
        <v>0</v>
      </c>
      <c r="CM104" s="11">
        <v>0</v>
      </c>
      <c r="CN104" s="15">
        <v>0</v>
      </c>
      <c r="CO104" s="57"/>
      <c r="CP104" s="56"/>
      <c r="CQ104" s="57"/>
    </row>
    <row r="105" spans="1:95" ht="12.75">
      <c r="A105" s="25">
        <v>1998</v>
      </c>
      <c r="B105" s="9"/>
      <c r="C105" s="9"/>
      <c r="D105" s="10">
        <v>3745402.37</v>
      </c>
      <c r="E105" s="15">
        <v>0.09680924208315637</v>
      </c>
      <c r="F105" s="11">
        <v>1432</v>
      </c>
      <c r="G105" s="15">
        <v>0.17080152671755724</v>
      </c>
      <c r="H105" s="15"/>
      <c r="I105" s="10">
        <v>2626316.18</v>
      </c>
      <c r="J105" s="15">
        <v>0.08274372624363809</v>
      </c>
      <c r="K105" s="11">
        <v>1256</v>
      </c>
      <c r="L105" s="15">
        <v>0.16474291710388247</v>
      </c>
      <c r="M105" s="57"/>
      <c r="N105" s="56"/>
      <c r="O105" s="57"/>
      <c r="P105" s="15"/>
      <c r="Q105" s="10">
        <v>1829464.57</v>
      </c>
      <c r="R105" s="15">
        <v>0.05288346473812123</v>
      </c>
      <c r="S105" s="11">
        <v>959</v>
      </c>
      <c r="T105" s="15">
        <v>0.1202809482001756</v>
      </c>
      <c r="U105" s="57"/>
      <c r="V105" s="56"/>
      <c r="W105" s="57"/>
      <c r="X105" s="15"/>
      <c r="Y105" s="10">
        <v>1263465.99</v>
      </c>
      <c r="Z105" s="15">
        <v>0.03958901818162512</v>
      </c>
      <c r="AA105" s="11">
        <v>1518</v>
      </c>
      <c r="AB105" s="15">
        <v>0.19861311003532645</v>
      </c>
      <c r="AC105" s="57"/>
      <c r="AD105" s="56"/>
      <c r="AE105" s="57"/>
      <c r="AF105" s="15"/>
      <c r="AG105" s="10">
        <v>921688.0400000012</v>
      </c>
      <c r="AH105" s="15">
        <v>0.01709883531943378</v>
      </c>
      <c r="AI105" s="11">
        <v>1387</v>
      </c>
      <c r="AJ105" s="15">
        <v>0.1295656235404017</v>
      </c>
      <c r="AK105" s="57"/>
      <c r="AL105" s="56"/>
      <c r="AM105" s="57"/>
      <c r="AN105" s="10">
        <v>398146.63</v>
      </c>
      <c r="AO105" s="15">
        <v>0.006487515789602825</v>
      </c>
      <c r="AP105" s="11">
        <v>272</v>
      </c>
      <c r="AQ105" s="15">
        <v>0.025217875023178193</v>
      </c>
      <c r="AR105" s="57"/>
      <c r="AS105" s="56"/>
      <c r="AT105" s="57"/>
      <c r="AU105" s="10">
        <v>166195.2</v>
      </c>
      <c r="AV105" s="15">
        <v>0.0030387393437080086</v>
      </c>
      <c r="AW105" s="11">
        <v>168</v>
      </c>
      <c r="AX105" s="15">
        <v>0.016825237856785177</v>
      </c>
      <c r="AY105" s="57"/>
      <c r="AZ105" s="56"/>
      <c r="BA105" s="57"/>
      <c r="BB105" s="10">
        <v>62184.01</v>
      </c>
      <c r="BC105" s="15">
        <v>0.0011916838035656212</v>
      </c>
      <c r="BD105" s="11">
        <v>80</v>
      </c>
      <c r="BE105" s="15">
        <v>0.008120178643930167</v>
      </c>
      <c r="BF105" s="57"/>
      <c r="BG105" s="56"/>
      <c r="BH105" s="57"/>
      <c r="BI105" s="10">
        <v>5431.24</v>
      </c>
      <c r="BJ105" s="15">
        <v>0.00012048558996368177</v>
      </c>
      <c r="BK105" s="11">
        <v>2</v>
      </c>
      <c r="BL105" s="15">
        <v>0.00022180326050792945</v>
      </c>
      <c r="BM105" s="57"/>
      <c r="BN105" s="56"/>
      <c r="BO105" s="57"/>
      <c r="BP105" s="10">
        <v>0</v>
      </c>
      <c r="BQ105" s="15">
        <v>0</v>
      </c>
      <c r="BR105" s="11">
        <v>0</v>
      </c>
      <c r="BS105" s="15">
        <v>0</v>
      </c>
      <c r="BT105" s="57"/>
      <c r="BU105" s="56"/>
      <c r="BV105" s="57"/>
      <c r="BW105" s="10">
        <v>0</v>
      </c>
      <c r="BX105" s="15">
        <v>0</v>
      </c>
      <c r="BY105" s="11">
        <v>0</v>
      </c>
      <c r="BZ105" s="15">
        <v>0</v>
      </c>
      <c r="CA105" s="57"/>
      <c r="CB105" s="56"/>
      <c r="CC105" s="57"/>
      <c r="CD105" s="10">
        <v>0</v>
      </c>
      <c r="CE105" s="15">
        <v>0</v>
      </c>
      <c r="CF105" s="11">
        <v>0</v>
      </c>
      <c r="CG105" s="15">
        <v>0</v>
      </c>
      <c r="CH105" s="57"/>
      <c r="CI105" s="56"/>
      <c r="CJ105" s="57"/>
      <c r="CK105" s="10">
        <v>0</v>
      </c>
      <c r="CL105" s="15">
        <v>0</v>
      </c>
      <c r="CM105" s="11">
        <v>0</v>
      </c>
      <c r="CN105" s="15">
        <v>0</v>
      </c>
      <c r="CO105" s="57"/>
      <c r="CP105" s="56"/>
      <c r="CQ105" s="57"/>
    </row>
    <row r="106" spans="1:95" ht="12.75">
      <c r="A106" s="25">
        <v>1999</v>
      </c>
      <c r="B106" s="9"/>
      <c r="C106" s="9"/>
      <c r="D106" s="10">
        <v>12735620.860000014</v>
      </c>
      <c r="E106" s="15">
        <v>0.3291838048671493</v>
      </c>
      <c r="F106" s="11">
        <v>3728</v>
      </c>
      <c r="G106" s="15">
        <v>0.4446564885496183</v>
      </c>
      <c r="H106" s="15"/>
      <c r="I106" s="10">
        <v>9677600.120000012</v>
      </c>
      <c r="J106" s="15">
        <v>0.30489881649538497</v>
      </c>
      <c r="K106" s="11">
        <v>3334</v>
      </c>
      <c r="L106" s="15">
        <v>0.4373032528856243</v>
      </c>
      <c r="M106" s="57"/>
      <c r="N106" s="56"/>
      <c r="O106" s="57"/>
      <c r="P106" s="15"/>
      <c r="Q106" s="10">
        <v>7312174.420000008</v>
      </c>
      <c r="R106" s="15">
        <v>0.21136955830692195</v>
      </c>
      <c r="S106" s="11">
        <v>3086</v>
      </c>
      <c r="T106" s="15">
        <v>0.38705631506333876</v>
      </c>
      <c r="U106" s="57"/>
      <c r="V106" s="56"/>
      <c r="W106" s="57"/>
      <c r="X106" s="15"/>
      <c r="Y106" s="10">
        <v>5297945.93</v>
      </c>
      <c r="Z106" s="15">
        <v>0.16600405504230262</v>
      </c>
      <c r="AA106" s="11">
        <v>2013</v>
      </c>
      <c r="AB106" s="15">
        <v>0.2633782546120633</v>
      </c>
      <c r="AC106" s="57"/>
      <c r="AD106" s="56"/>
      <c r="AE106" s="57"/>
      <c r="AF106" s="15"/>
      <c r="AG106" s="10">
        <v>3861033.5799999908</v>
      </c>
      <c r="AH106" s="15">
        <v>0.07162854944632199</v>
      </c>
      <c r="AI106" s="11">
        <v>1787</v>
      </c>
      <c r="AJ106" s="15">
        <v>0.16693134049509575</v>
      </c>
      <c r="AK106" s="57"/>
      <c r="AL106" s="56"/>
      <c r="AM106" s="57"/>
      <c r="AN106" s="10">
        <v>2651441.98</v>
      </c>
      <c r="AO106" s="15">
        <v>0.043203358798907264</v>
      </c>
      <c r="AP106" s="11">
        <v>1303</v>
      </c>
      <c r="AQ106" s="15">
        <v>0.120804746894122</v>
      </c>
      <c r="AR106" s="57"/>
      <c r="AS106" s="56"/>
      <c r="AT106" s="57"/>
      <c r="AU106" s="10">
        <v>1756834.67</v>
      </c>
      <c r="AV106" s="15">
        <v>0.032122243194263565</v>
      </c>
      <c r="AW106" s="11">
        <v>976</v>
      </c>
      <c r="AX106" s="15">
        <v>0.09774661992989485</v>
      </c>
      <c r="AY106" s="57"/>
      <c r="AZ106" s="56"/>
      <c r="BA106" s="57"/>
      <c r="BB106" s="10">
        <v>1169135.14</v>
      </c>
      <c r="BC106" s="15">
        <v>0.02240510720549262</v>
      </c>
      <c r="BD106" s="11">
        <v>657</v>
      </c>
      <c r="BE106" s="15">
        <v>0.06668696711327649</v>
      </c>
      <c r="BF106" s="57"/>
      <c r="BG106" s="56"/>
      <c r="BH106" s="57"/>
      <c r="BI106" s="10">
        <v>814704.61</v>
      </c>
      <c r="BJ106" s="15">
        <v>0.018073251335234908</v>
      </c>
      <c r="BK106" s="11">
        <v>546</v>
      </c>
      <c r="BL106" s="15">
        <v>0.060552290118664746</v>
      </c>
      <c r="BM106" s="57"/>
      <c r="BN106" s="56"/>
      <c r="BO106" s="57"/>
      <c r="BP106" s="10">
        <v>462261.3</v>
      </c>
      <c r="BQ106" s="15">
        <v>0.011162990954536945</v>
      </c>
      <c r="BR106" s="11">
        <v>393</v>
      </c>
      <c r="BS106" s="15">
        <v>0.046240734204024005</v>
      </c>
      <c r="BT106" s="57"/>
      <c r="BU106" s="56"/>
      <c r="BV106" s="57"/>
      <c r="BW106" s="10">
        <v>221644.37</v>
      </c>
      <c r="BX106" s="15">
        <v>0.006078672172464177</v>
      </c>
      <c r="BY106" s="11">
        <v>233</v>
      </c>
      <c r="BZ106" s="15">
        <v>0.030154005435485957</v>
      </c>
      <c r="CA106" s="57"/>
      <c r="CB106" s="56"/>
      <c r="CC106" s="57"/>
      <c r="CD106" s="10">
        <v>112214.91</v>
      </c>
      <c r="CE106" s="15">
        <v>0.003548839098325945</v>
      </c>
      <c r="CF106" s="11">
        <v>74</v>
      </c>
      <c r="CG106" s="15">
        <v>0.010757377525803169</v>
      </c>
      <c r="CH106" s="57"/>
      <c r="CI106" s="56"/>
      <c r="CJ106" s="57"/>
      <c r="CK106" s="10">
        <v>29968.35</v>
      </c>
      <c r="CL106" s="15">
        <v>0.0006859032641646389</v>
      </c>
      <c r="CM106" s="11">
        <v>10</v>
      </c>
      <c r="CN106" s="15">
        <v>0.0009874592673052237</v>
      </c>
      <c r="CO106" s="57"/>
      <c r="CP106" s="56"/>
      <c r="CQ106" s="57"/>
    </row>
    <row r="107" spans="1:95" ht="12.75">
      <c r="A107" s="25">
        <v>2000</v>
      </c>
      <c r="B107" s="9"/>
      <c r="C107" s="9"/>
      <c r="D107" s="10">
        <v>5222725.45</v>
      </c>
      <c r="E107" s="15">
        <v>0.13499433237740804</v>
      </c>
      <c r="F107" s="11">
        <v>830</v>
      </c>
      <c r="G107" s="15">
        <v>0.09899809160305344</v>
      </c>
      <c r="H107" s="15"/>
      <c r="I107" s="10">
        <v>4457416.35</v>
      </c>
      <c r="J107" s="15">
        <v>0.1404336770366761</v>
      </c>
      <c r="K107" s="11">
        <v>772</v>
      </c>
      <c r="L107" s="15">
        <v>0.1012591815320042</v>
      </c>
      <c r="M107" s="57"/>
      <c r="N107" s="56"/>
      <c r="O107" s="57"/>
      <c r="P107" s="15"/>
      <c r="Q107" s="10">
        <v>3832320.07</v>
      </c>
      <c r="R107" s="15">
        <v>0.1107790588625827</v>
      </c>
      <c r="S107" s="11">
        <v>701</v>
      </c>
      <c r="T107" s="15">
        <v>0.08792173585852252</v>
      </c>
      <c r="U107" s="57"/>
      <c r="V107" s="56"/>
      <c r="W107" s="57"/>
      <c r="X107" s="15"/>
      <c r="Y107" s="10">
        <v>3239457.03</v>
      </c>
      <c r="Z107" s="15">
        <v>0.10150405651937143</v>
      </c>
      <c r="AA107" s="11">
        <v>640</v>
      </c>
      <c r="AB107" s="15">
        <v>0.08373675258406385</v>
      </c>
      <c r="AC107" s="57"/>
      <c r="AD107" s="56"/>
      <c r="AE107" s="57"/>
      <c r="AF107" s="15"/>
      <c r="AG107" s="10">
        <v>2704608.74</v>
      </c>
      <c r="AH107" s="15">
        <v>0.05017495881660921</v>
      </c>
      <c r="AI107" s="11">
        <v>584</v>
      </c>
      <c r="AJ107" s="15">
        <v>0.05455394675385334</v>
      </c>
      <c r="AK107" s="57"/>
      <c r="AL107" s="56"/>
      <c r="AM107" s="57"/>
      <c r="AN107" s="10">
        <v>2153405.44</v>
      </c>
      <c r="AO107" s="15">
        <v>0.03508820806399044</v>
      </c>
      <c r="AP107" s="11">
        <v>497</v>
      </c>
      <c r="AQ107" s="15">
        <v>0.04607824958279251</v>
      </c>
      <c r="AR107" s="57"/>
      <c r="AS107" s="56"/>
      <c r="AT107" s="57"/>
      <c r="AU107" s="10">
        <v>1648980.73</v>
      </c>
      <c r="AV107" s="15">
        <v>0.030150224683187902</v>
      </c>
      <c r="AW107" s="11">
        <v>428</v>
      </c>
      <c r="AX107" s="15">
        <v>0.042864296444667</v>
      </c>
      <c r="AY107" s="57"/>
      <c r="AZ107" s="56"/>
      <c r="BA107" s="57"/>
      <c r="BB107" s="10">
        <v>1206175.05</v>
      </c>
      <c r="BC107" s="15">
        <v>0.02311493374824097</v>
      </c>
      <c r="BD107" s="11">
        <v>359</v>
      </c>
      <c r="BE107" s="15">
        <v>0.036439301664636624</v>
      </c>
      <c r="BF107" s="57"/>
      <c r="BG107" s="56"/>
      <c r="BH107" s="57"/>
      <c r="BI107" s="10">
        <v>891237.25</v>
      </c>
      <c r="BJ107" s="15">
        <v>0.01977103679157233</v>
      </c>
      <c r="BK107" s="11">
        <v>264</v>
      </c>
      <c r="BL107" s="15">
        <v>0.02927803038704669</v>
      </c>
      <c r="BM107" s="57"/>
      <c r="BN107" s="56"/>
      <c r="BO107" s="57"/>
      <c r="BP107" s="10">
        <v>621164.34</v>
      </c>
      <c r="BQ107" s="15">
        <v>0.015000286436915455</v>
      </c>
      <c r="BR107" s="11">
        <v>219</v>
      </c>
      <c r="BS107" s="15">
        <v>0.025767737380868336</v>
      </c>
      <c r="BT107" s="57"/>
      <c r="BU107" s="56"/>
      <c r="BV107" s="57"/>
      <c r="BW107" s="10">
        <v>458246</v>
      </c>
      <c r="BX107" s="15">
        <v>0.012567552283610988</v>
      </c>
      <c r="BY107" s="11">
        <v>193</v>
      </c>
      <c r="BZ107" s="15">
        <v>0.0249773521418403</v>
      </c>
      <c r="CA107" s="57"/>
      <c r="CB107" s="56"/>
      <c r="CC107" s="57"/>
      <c r="CD107" s="10">
        <v>301904.64</v>
      </c>
      <c r="CE107" s="15">
        <v>0.009547848769811598</v>
      </c>
      <c r="CF107" s="11">
        <v>168</v>
      </c>
      <c r="CG107" s="15">
        <v>0.02442215438290449</v>
      </c>
      <c r="CH107" s="57"/>
      <c r="CI107" s="56"/>
      <c r="CJ107" s="57"/>
      <c r="CK107" s="10">
        <v>1104974.57</v>
      </c>
      <c r="CL107" s="15">
        <v>0.025290203310556612</v>
      </c>
      <c r="CM107" s="11">
        <v>906</v>
      </c>
      <c r="CN107" s="15">
        <v>0.08946380961785326</v>
      </c>
      <c r="CO107" s="57"/>
      <c r="CP107" s="56"/>
      <c r="CQ107" s="57"/>
    </row>
    <row r="108" spans="1:95" ht="12.75">
      <c r="A108" s="25">
        <v>2001</v>
      </c>
      <c r="B108" s="9"/>
      <c r="C108" s="9"/>
      <c r="D108" s="10">
        <v>16899229.090000033</v>
      </c>
      <c r="E108" s="15">
        <v>0.43680261781660934</v>
      </c>
      <c r="F108" s="11">
        <v>2360</v>
      </c>
      <c r="G108" s="15">
        <v>0.2814885496183206</v>
      </c>
      <c r="H108" s="15"/>
      <c r="I108" s="10">
        <v>14920329.230000021</v>
      </c>
      <c r="J108" s="15">
        <v>0.4700742609262201</v>
      </c>
      <c r="K108" s="11">
        <v>2232</v>
      </c>
      <c r="L108" s="15">
        <v>0.29275970619097585</v>
      </c>
      <c r="M108" s="57"/>
      <c r="N108" s="56"/>
      <c r="O108" s="57"/>
      <c r="P108" s="15"/>
      <c r="Q108" s="10">
        <v>13366848.190000027</v>
      </c>
      <c r="R108" s="15">
        <v>0.3863891416687489</v>
      </c>
      <c r="S108" s="11">
        <v>2095</v>
      </c>
      <c r="T108" s="15">
        <v>0.262761821146369</v>
      </c>
      <c r="U108" s="57"/>
      <c r="V108" s="56"/>
      <c r="W108" s="57"/>
      <c r="X108" s="15"/>
      <c r="Y108" s="10">
        <v>11680392.989999963</v>
      </c>
      <c r="Z108" s="15">
        <v>0.365989503563635</v>
      </c>
      <c r="AA108" s="11">
        <v>1921</v>
      </c>
      <c r="AB108" s="15">
        <v>0.25134109642810415</v>
      </c>
      <c r="AC108" s="57"/>
      <c r="AD108" s="56"/>
      <c r="AE108" s="57"/>
      <c r="AF108" s="15"/>
      <c r="AG108" s="10">
        <v>10049633.06999999</v>
      </c>
      <c r="AH108" s="15">
        <v>0.18643729052257782</v>
      </c>
      <c r="AI108" s="11">
        <v>1784</v>
      </c>
      <c r="AJ108" s="15">
        <v>0.16665109761793553</v>
      </c>
      <c r="AK108" s="57"/>
      <c r="AL108" s="56"/>
      <c r="AM108" s="57"/>
      <c r="AN108" s="10">
        <v>8444273.350000026</v>
      </c>
      <c r="AO108" s="15">
        <v>0.13759342051908738</v>
      </c>
      <c r="AP108" s="11">
        <v>1563</v>
      </c>
      <c r="AQ108" s="15">
        <v>0.14491006860745412</v>
      </c>
      <c r="AR108" s="57"/>
      <c r="AS108" s="56"/>
      <c r="AT108" s="57"/>
      <c r="AU108" s="10">
        <v>6960384.139999995</v>
      </c>
      <c r="AV108" s="15">
        <v>0.12726476536951253</v>
      </c>
      <c r="AW108" s="11">
        <v>1360</v>
      </c>
      <c r="AX108" s="15">
        <v>0.13620430645968953</v>
      </c>
      <c r="AY108" s="57"/>
      <c r="AZ108" s="56"/>
      <c r="BA108" s="57"/>
      <c r="BB108" s="10">
        <v>5568569.8999999855</v>
      </c>
      <c r="BC108" s="15">
        <v>0.10671512755213139</v>
      </c>
      <c r="BD108" s="11">
        <v>1189</v>
      </c>
      <c r="BE108" s="15">
        <v>0.1206861550954121</v>
      </c>
      <c r="BF108" s="57"/>
      <c r="BG108" s="56"/>
      <c r="BH108" s="57"/>
      <c r="BI108" s="10">
        <v>4346749.49</v>
      </c>
      <c r="BJ108" s="15">
        <v>0.0964274597931564</v>
      </c>
      <c r="BK108" s="11">
        <v>1031</v>
      </c>
      <c r="BL108" s="15">
        <v>0.11433958079183763</v>
      </c>
      <c r="BM108" s="57"/>
      <c r="BN108" s="56"/>
      <c r="BO108" s="57"/>
      <c r="BP108" s="10">
        <v>3426260.68</v>
      </c>
      <c r="BQ108" s="15">
        <v>0.08273960415618954</v>
      </c>
      <c r="BR108" s="11">
        <v>863</v>
      </c>
      <c r="BS108" s="15">
        <v>0.1015413578068008</v>
      </c>
      <c r="BT108" s="57"/>
      <c r="BU108" s="56"/>
      <c r="BV108" s="57"/>
      <c r="BW108" s="10">
        <v>2500756.48</v>
      </c>
      <c r="BX108" s="15">
        <v>0.06858409633903834</v>
      </c>
      <c r="BY108" s="11">
        <v>698</v>
      </c>
      <c r="BZ108" s="15">
        <v>0.09033259997411673</v>
      </c>
      <c r="CA108" s="57"/>
      <c r="CB108" s="56"/>
      <c r="CC108" s="57"/>
      <c r="CD108" s="10">
        <v>1797840.19</v>
      </c>
      <c r="CE108" s="15">
        <v>0.05685737803304162</v>
      </c>
      <c r="CF108" s="11">
        <v>585</v>
      </c>
      <c r="CG108" s="15">
        <v>0.085041430440471</v>
      </c>
      <c r="CH108" s="57"/>
      <c r="CI108" s="56"/>
      <c r="CJ108" s="57"/>
      <c r="CK108" s="10">
        <v>2844442.22</v>
      </c>
      <c r="CL108" s="15">
        <v>0.0651024231706353</v>
      </c>
      <c r="CM108" s="11">
        <v>1183</v>
      </c>
      <c r="CN108" s="15">
        <v>0.11681643132220795</v>
      </c>
      <c r="CO108" s="57"/>
      <c r="CP108" s="56"/>
      <c r="CQ108" s="57"/>
    </row>
    <row r="109" spans="1:95" ht="12.75">
      <c r="A109" s="25">
        <v>2002</v>
      </c>
      <c r="B109" s="9"/>
      <c r="C109" s="9"/>
      <c r="D109" s="10">
        <v>0</v>
      </c>
      <c r="E109" s="15">
        <v>0</v>
      </c>
      <c r="F109" s="11">
        <v>0</v>
      </c>
      <c r="G109" s="15">
        <v>0</v>
      </c>
      <c r="H109" s="15"/>
      <c r="I109" s="10">
        <v>0</v>
      </c>
      <c r="J109" s="15">
        <v>0</v>
      </c>
      <c r="K109" s="11">
        <v>0</v>
      </c>
      <c r="L109" s="15">
        <v>0</v>
      </c>
      <c r="M109" s="57"/>
      <c r="N109" s="56"/>
      <c r="O109" s="57"/>
      <c r="P109" s="15"/>
      <c r="Q109" s="10">
        <v>8210690.46999999</v>
      </c>
      <c r="R109" s="15">
        <v>0.23734253566106117</v>
      </c>
      <c r="S109" s="11">
        <v>1109</v>
      </c>
      <c r="T109" s="15">
        <v>0.13909444374764832</v>
      </c>
      <c r="U109" s="57"/>
      <c r="V109" s="56"/>
      <c r="W109" s="57"/>
      <c r="X109" s="15"/>
      <c r="Y109" s="10">
        <v>10401448.250000019</v>
      </c>
      <c r="Z109" s="15">
        <v>0.3259154794380218</v>
      </c>
      <c r="AA109" s="11">
        <v>1536</v>
      </c>
      <c r="AB109" s="15">
        <v>0.20096820620175324</v>
      </c>
      <c r="AC109" s="57"/>
      <c r="AD109" s="56"/>
      <c r="AE109" s="57"/>
      <c r="AF109" s="15"/>
      <c r="AG109" s="10">
        <v>36338626.76999991</v>
      </c>
      <c r="AH109" s="15">
        <v>0.6741415402055075</v>
      </c>
      <c r="AI109" s="11">
        <v>5153</v>
      </c>
      <c r="AJ109" s="15">
        <v>0.48136384866884635</v>
      </c>
      <c r="AK109" s="57"/>
      <c r="AL109" s="56"/>
      <c r="AM109" s="57"/>
      <c r="AN109" s="10">
        <v>40763681.479999945</v>
      </c>
      <c r="AO109" s="15">
        <v>0.6642151592337723</v>
      </c>
      <c r="AP109" s="11">
        <v>6016</v>
      </c>
      <c r="AQ109" s="15">
        <v>0.5577600593361766</v>
      </c>
      <c r="AR109" s="57"/>
      <c r="AS109" s="56"/>
      <c r="AT109" s="57"/>
      <c r="AU109" s="10">
        <v>36133710.03999989</v>
      </c>
      <c r="AV109" s="15">
        <v>0.6606744739480124</v>
      </c>
      <c r="AW109" s="11">
        <v>5628</v>
      </c>
      <c r="AX109" s="15">
        <v>0.5636454682023034</v>
      </c>
      <c r="AY109" s="57"/>
      <c r="AZ109" s="56"/>
      <c r="BA109" s="57"/>
      <c r="BB109" s="10">
        <v>31215364.799999956</v>
      </c>
      <c r="BC109" s="15">
        <v>0.5982059480331415</v>
      </c>
      <c r="BD109" s="11">
        <v>5188</v>
      </c>
      <c r="BE109" s="15">
        <v>0.5265935850588713</v>
      </c>
      <c r="BF109" s="57"/>
      <c r="BG109" s="56"/>
      <c r="BH109" s="57"/>
      <c r="BI109" s="10">
        <v>26816361.62</v>
      </c>
      <c r="BJ109" s="15">
        <v>0.5948890401575208</v>
      </c>
      <c r="BK109" s="11">
        <v>4764</v>
      </c>
      <c r="BL109" s="15">
        <v>0.528335366529888</v>
      </c>
      <c r="BM109" s="57"/>
      <c r="BN109" s="56"/>
      <c r="BO109" s="57"/>
      <c r="BP109" s="10">
        <v>22600229.039999984</v>
      </c>
      <c r="BQ109" s="15">
        <v>0.5457652465044834</v>
      </c>
      <c r="BR109" s="11">
        <v>4306</v>
      </c>
      <c r="BS109" s="15">
        <v>0.5066478409224615</v>
      </c>
      <c r="BT109" s="57"/>
      <c r="BU109" s="56"/>
      <c r="BV109" s="57"/>
      <c r="BW109" s="10">
        <v>18868440.629999984</v>
      </c>
      <c r="BX109" s="15">
        <v>0.5174733966640945</v>
      </c>
      <c r="BY109" s="11">
        <v>3897</v>
      </c>
      <c r="BZ109" s="15">
        <v>0.5043354471334283</v>
      </c>
      <c r="CA109" s="57"/>
      <c r="CB109" s="56"/>
      <c r="CC109" s="57"/>
      <c r="CD109" s="10">
        <v>15303365.410000026</v>
      </c>
      <c r="CE109" s="15">
        <v>0.4839747365388161</v>
      </c>
      <c r="CF109" s="11">
        <v>3405</v>
      </c>
      <c r="CG109" s="15">
        <v>0.4949847361535107</v>
      </c>
      <c r="CH109" s="57"/>
      <c r="CI109" s="56"/>
      <c r="CJ109" s="57"/>
      <c r="CK109" s="10">
        <v>16892104.650000032</v>
      </c>
      <c r="CL109" s="15">
        <v>0.38661954088382233</v>
      </c>
      <c r="CM109" s="11">
        <v>3999</v>
      </c>
      <c r="CN109" s="15">
        <v>0.39488496099535897</v>
      </c>
      <c r="CO109" s="57"/>
      <c r="CP109" s="56"/>
      <c r="CQ109" s="57"/>
    </row>
    <row r="110" spans="1:95" ht="12.75">
      <c r="A110" s="25">
        <v>2003</v>
      </c>
      <c r="B110" s="9"/>
      <c r="C110" s="9"/>
      <c r="D110" s="10"/>
      <c r="E110" s="15"/>
      <c r="F110" s="11"/>
      <c r="G110" s="15"/>
      <c r="H110" s="15"/>
      <c r="I110" s="10"/>
      <c r="J110" s="15"/>
      <c r="K110" s="11"/>
      <c r="L110" s="15"/>
      <c r="M110" s="57"/>
      <c r="N110" s="56"/>
      <c r="O110" s="57"/>
      <c r="P110" s="15"/>
      <c r="Q110" s="10"/>
      <c r="R110" s="15"/>
      <c r="S110" s="11"/>
      <c r="T110" s="15"/>
      <c r="U110" s="57"/>
      <c r="V110" s="56"/>
      <c r="W110" s="57"/>
      <c r="X110" s="15"/>
      <c r="Y110" s="10"/>
      <c r="Z110" s="15"/>
      <c r="AA110" s="11"/>
      <c r="AB110" s="15"/>
      <c r="AC110" s="57"/>
      <c r="AD110" s="56"/>
      <c r="AE110" s="57"/>
      <c r="AF110" s="15"/>
      <c r="AG110" s="10"/>
      <c r="AH110" s="15"/>
      <c r="AI110" s="11"/>
      <c r="AJ110" s="15"/>
      <c r="AK110" s="57"/>
      <c r="AL110" s="56"/>
      <c r="AM110" s="57"/>
      <c r="AN110" s="10">
        <v>6960251.270000002</v>
      </c>
      <c r="AO110" s="15">
        <v>0.11341233759463974</v>
      </c>
      <c r="AP110" s="11">
        <v>1135</v>
      </c>
      <c r="AQ110" s="15">
        <v>0.10522900055627665</v>
      </c>
      <c r="AR110" s="57"/>
      <c r="AS110" s="56"/>
      <c r="AT110" s="57"/>
      <c r="AU110" s="10">
        <v>8026049.170000012</v>
      </c>
      <c r="AV110" s="15">
        <v>0.1467495534613156</v>
      </c>
      <c r="AW110" s="11">
        <v>1425</v>
      </c>
      <c r="AX110" s="15">
        <v>0.14271407110665998</v>
      </c>
      <c r="AY110" s="57"/>
      <c r="AZ110" s="56"/>
      <c r="BA110" s="57"/>
      <c r="BB110" s="10">
        <v>12960206.709999999</v>
      </c>
      <c r="BC110" s="15">
        <v>0.24836719965742776</v>
      </c>
      <c r="BD110" s="11">
        <v>2379</v>
      </c>
      <c r="BE110" s="15">
        <v>0.24147381242387334</v>
      </c>
      <c r="BF110" s="57"/>
      <c r="BG110" s="56"/>
      <c r="BH110" s="57"/>
      <c r="BI110" s="10">
        <v>12203437.570000004</v>
      </c>
      <c r="BJ110" s="15">
        <v>0.27071872633255195</v>
      </c>
      <c r="BK110" s="11">
        <v>2410</v>
      </c>
      <c r="BL110" s="15">
        <v>0.267272928912055</v>
      </c>
      <c r="BM110" s="57"/>
      <c r="BN110" s="56"/>
      <c r="BO110" s="57"/>
      <c r="BP110" s="10">
        <v>14300249.880000003</v>
      </c>
      <c r="BQ110" s="15">
        <v>0.34533187194787457</v>
      </c>
      <c r="BR110" s="11">
        <v>2718</v>
      </c>
      <c r="BS110" s="15">
        <v>0.3198023296858454</v>
      </c>
      <c r="BT110" s="57"/>
      <c r="BU110" s="56"/>
      <c r="BV110" s="57"/>
      <c r="BW110" s="10">
        <v>12345036.269999985</v>
      </c>
      <c r="BX110" s="15">
        <v>0.33856681513051673</v>
      </c>
      <c r="BY110" s="11">
        <v>2537</v>
      </c>
      <c r="BZ110" s="15">
        <v>0.3283292351494759</v>
      </c>
      <c r="CA110" s="57"/>
      <c r="CB110" s="56"/>
      <c r="CC110" s="57"/>
      <c r="CD110" s="10">
        <v>10672024.670000017</v>
      </c>
      <c r="CE110" s="15">
        <v>0.33750682870213156</v>
      </c>
      <c r="CF110" s="11">
        <v>2362</v>
      </c>
      <c r="CG110" s="15">
        <v>0.34336386102631195</v>
      </c>
      <c r="CH110" s="57"/>
      <c r="CI110" s="56"/>
      <c r="CJ110" s="57"/>
      <c r="CK110" s="10">
        <v>14440411.690000022</v>
      </c>
      <c r="CL110" s="15">
        <v>0.3305062011773162</v>
      </c>
      <c r="CM110" s="11">
        <v>3215</v>
      </c>
      <c r="CN110" s="15">
        <v>0.3174681544386294</v>
      </c>
      <c r="CO110" s="57"/>
      <c r="CP110" s="56"/>
      <c r="CQ110" s="57"/>
    </row>
    <row r="111" spans="1:95" ht="12.75">
      <c r="A111" s="25">
        <v>2004</v>
      </c>
      <c r="B111" s="9"/>
      <c r="C111" s="9"/>
      <c r="D111" s="10"/>
      <c r="E111" s="15"/>
      <c r="F111" s="11"/>
      <c r="G111" s="15"/>
      <c r="H111" s="15"/>
      <c r="I111" s="10"/>
      <c r="J111" s="15"/>
      <c r="K111" s="11"/>
      <c r="L111" s="15"/>
      <c r="M111" s="57"/>
      <c r="N111" s="56"/>
      <c r="O111" s="57"/>
      <c r="P111" s="15"/>
      <c r="Q111" s="10"/>
      <c r="R111" s="15"/>
      <c r="S111" s="11"/>
      <c r="T111" s="15"/>
      <c r="U111" s="57"/>
      <c r="V111" s="56"/>
      <c r="W111" s="57"/>
      <c r="X111" s="15"/>
      <c r="Y111" s="10"/>
      <c r="Z111" s="15"/>
      <c r="AA111" s="11"/>
      <c r="AB111" s="15"/>
      <c r="AC111" s="57"/>
      <c r="AD111" s="56"/>
      <c r="AE111" s="57"/>
      <c r="AF111" s="15"/>
      <c r="AG111" s="10"/>
      <c r="AH111" s="15"/>
      <c r="AI111" s="11"/>
      <c r="AJ111" s="15"/>
      <c r="AK111" s="57"/>
      <c r="AL111" s="56"/>
      <c r="AM111" s="57"/>
      <c r="AN111" s="10"/>
      <c r="AO111" s="15"/>
      <c r="AP111" s="11"/>
      <c r="AQ111" s="15"/>
      <c r="AR111" s="57"/>
      <c r="AS111" s="56"/>
      <c r="AT111" s="57"/>
      <c r="AU111" s="10"/>
      <c r="AV111" s="15"/>
      <c r="AW111" s="11"/>
      <c r="AX111" s="15"/>
      <c r="AY111" s="57"/>
      <c r="AZ111" s="56"/>
      <c r="BA111" s="57"/>
      <c r="BB111" s="10"/>
      <c r="BC111" s="15"/>
      <c r="BD111" s="11"/>
      <c r="BE111" s="15"/>
      <c r="BF111" s="57"/>
      <c r="BG111" s="56"/>
      <c r="BH111" s="57"/>
      <c r="BI111" s="10"/>
      <c r="BJ111" s="15"/>
      <c r="BK111" s="11"/>
      <c r="BL111" s="15"/>
      <c r="BM111" s="57"/>
      <c r="BN111" s="56"/>
      <c r="BO111" s="57"/>
      <c r="BP111" s="10"/>
      <c r="BQ111" s="15"/>
      <c r="BR111" s="11"/>
      <c r="BS111" s="15"/>
      <c r="BT111" s="57"/>
      <c r="BU111" s="56"/>
      <c r="BV111" s="57"/>
      <c r="BW111" s="10">
        <v>2068505.54</v>
      </c>
      <c r="BX111" s="15">
        <v>0.056729467410275194</v>
      </c>
      <c r="BY111" s="11">
        <v>169</v>
      </c>
      <c r="BZ111" s="15">
        <v>0.021871360165652904</v>
      </c>
      <c r="CA111" s="57"/>
      <c r="CB111" s="56"/>
      <c r="CC111" s="57"/>
      <c r="CD111" s="10">
        <v>3432824.24</v>
      </c>
      <c r="CE111" s="15">
        <v>0.10856436885787321</v>
      </c>
      <c r="CF111" s="11">
        <v>285</v>
      </c>
      <c r="CG111" s="15">
        <v>0.04143044047099869</v>
      </c>
      <c r="CH111" s="57"/>
      <c r="CI111" s="56"/>
      <c r="CJ111" s="57"/>
      <c r="CK111" s="10">
        <v>8379901.09000001</v>
      </c>
      <c r="CL111" s="15">
        <v>0.1917957281935049</v>
      </c>
      <c r="CM111" s="11">
        <v>814</v>
      </c>
      <c r="CN111" s="15">
        <v>0.0803791843586452</v>
      </c>
      <c r="CO111" s="57"/>
      <c r="CP111" s="56"/>
      <c r="CQ111" s="57"/>
    </row>
    <row r="112" spans="1:95" ht="12.75">
      <c r="A112" s="9"/>
      <c r="B112" s="9"/>
      <c r="C112" s="9"/>
      <c r="D112" s="10"/>
      <c r="E112" s="9"/>
      <c r="F112" s="11"/>
      <c r="G112" s="9"/>
      <c r="H112" s="9"/>
      <c r="I112" s="10"/>
      <c r="J112" s="9"/>
      <c r="K112" s="11"/>
      <c r="L112" s="9"/>
      <c r="M112" s="55"/>
      <c r="N112" s="56"/>
      <c r="O112" s="55"/>
      <c r="P112" s="9"/>
      <c r="Q112" s="10"/>
      <c r="R112" s="9"/>
      <c r="S112" s="11"/>
      <c r="T112" s="9"/>
      <c r="U112" s="55"/>
      <c r="V112" s="56"/>
      <c r="W112" s="55"/>
      <c r="X112" s="9"/>
      <c r="Y112" s="10"/>
      <c r="Z112" s="9"/>
      <c r="AA112" s="11"/>
      <c r="AB112" s="9"/>
      <c r="AC112" s="55"/>
      <c r="AD112" s="56"/>
      <c r="AE112" s="55"/>
      <c r="AF112" s="9"/>
      <c r="AG112" s="10"/>
      <c r="AH112" s="9"/>
      <c r="AI112" s="11"/>
      <c r="AJ112" s="9"/>
      <c r="AK112" s="55"/>
      <c r="AL112" s="56"/>
      <c r="AM112" s="55"/>
      <c r="AN112" s="10"/>
      <c r="AO112" s="9"/>
      <c r="AP112" s="11"/>
      <c r="AQ112" s="9"/>
      <c r="AR112" s="55"/>
      <c r="AS112" s="56"/>
      <c r="AT112" s="55"/>
      <c r="AU112" s="10"/>
      <c r="AV112" s="9"/>
      <c r="AW112" s="11"/>
      <c r="AX112" s="9"/>
      <c r="AY112" s="55"/>
      <c r="AZ112" s="56"/>
      <c r="BA112" s="55"/>
      <c r="BB112" s="10"/>
      <c r="BC112" s="9"/>
      <c r="BD112" s="11"/>
      <c r="BE112" s="9"/>
      <c r="BF112" s="55"/>
      <c r="BG112" s="56"/>
      <c r="BH112" s="55"/>
      <c r="BI112" s="10"/>
      <c r="BJ112" s="9"/>
      <c r="BK112" s="11"/>
      <c r="BL112" s="9"/>
      <c r="BM112" s="55"/>
      <c r="BN112" s="56"/>
      <c r="BO112" s="55"/>
      <c r="BP112" s="10"/>
      <c r="BQ112" s="9"/>
      <c r="BR112" s="11"/>
      <c r="BS112" s="9"/>
      <c r="BT112" s="55"/>
      <c r="BU112" s="56"/>
      <c r="BV112" s="55"/>
      <c r="BW112" s="10"/>
      <c r="BX112" s="9"/>
      <c r="BY112" s="11"/>
      <c r="BZ112" s="9"/>
      <c r="CA112" s="55"/>
      <c r="CB112" s="56"/>
      <c r="CC112" s="55"/>
      <c r="CD112" s="10"/>
      <c r="CE112" s="9"/>
      <c r="CF112" s="11"/>
      <c r="CG112" s="9"/>
      <c r="CH112" s="55"/>
      <c r="CI112" s="56"/>
      <c r="CJ112" s="55"/>
      <c r="CK112" s="10"/>
      <c r="CL112" s="9"/>
      <c r="CM112" s="11"/>
      <c r="CN112" s="9"/>
      <c r="CO112" s="55"/>
      <c r="CP112" s="56"/>
      <c r="CQ112" s="55"/>
    </row>
    <row r="113" spans="1:95" ht="13.5" thickBot="1">
      <c r="A113" s="9"/>
      <c r="B113" s="13"/>
      <c r="C113" s="13"/>
      <c r="D113" s="22">
        <f>SUM(D103:D108)</f>
        <v>38688479.42000005</v>
      </c>
      <c r="E113" s="13"/>
      <c r="F113" s="23">
        <f>SUM(F103:F108)</f>
        <v>8384</v>
      </c>
      <c r="G113" s="13"/>
      <c r="H113" s="13"/>
      <c r="I113" s="22">
        <f>SUM(I103:I108)</f>
        <v>31740366.300000034</v>
      </c>
      <c r="J113" s="13"/>
      <c r="K113" s="23">
        <f>SUM(K103:K108)</f>
        <v>7624</v>
      </c>
      <c r="L113" s="13"/>
      <c r="M113" s="54"/>
      <c r="N113" s="32"/>
      <c r="O113" s="54"/>
      <c r="P113" s="13"/>
      <c r="Q113" s="22">
        <f>SUM(Q103:Q109)</f>
        <v>34594264.560000025</v>
      </c>
      <c r="R113" s="13"/>
      <c r="S113" s="23">
        <f>SUM(S103:S109)</f>
        <v>7973</v>
      </c>
      <c r="T113" s="13"/>
      <c r="U113" s="54"/>
      <c r="V113" s="32"/>
      <c r="W113" s="54"/>
      <c r="X113" s="13"/>
      <c r="Y113" s="22">
        <f>SUM(Y103:Y109)</f>
        <v>31914557.31999998</v>
      </c>
      <c r="Z113" s="13"/>
      <c r="AA113" s="23">
        <f>SUM(AA103:AA109)</f>
        <v>7643</v>
      </c>
      <c r="AB113" s="13"/>
      <c r="AC113" s="54"/>
      <c r="AD113" s="32"/>
      <c r="AE113" s="54"/>
      <c r="AF113" s="13"/>
      <c r="AG113" s="22">
        <f>SUM(AG103:AG109)</f>
        <v>53903556.74999989</v>
      </c>
      <c r="AH113" s="13"/>
      <c r="AI113" s="23">
        <f>SUM(AI103:AI109)</f>
        <v>10705</v>
      </c>
      <c r="AJ113" s="13"/>
      <c r="AK113" s="54"/>
      <c r="AL113" s="32"/>
      <c r="AM113" s="54"/>
      <c r="AN113" s="22">
        <f>SUM(AN103:AN110)</f>
        <v>61371200.14999997</v>
      </c>
      <c r="AO113" s="13"/>
      <c r="AP113" s="23">
        <f>SUM(AP103:AP110)</f>
        <v>10786</v>
      </c>
      <c r="AQ113" s="13"/>
      <c r="AR113" s="54"/>
      <c r="AS113" s="32"/>
      <c r="AT113" s="54"/>
      <c r="AU113" s="22">
        <f>SUM(AU103:AU110)</f>
        <v>54692153.94999989</v>
      </c>
      <c r="AV113" s="13"/>
      <c r="AW113" s="23">
        <f>SUM(AW103:AW110)</f>
        <v>9985</v>
      </c>
      <c r="AX113" s="13"/>
      <c r="AY113" s="54"/>
      <c r="AZ113" s="32"/>
      <c r="BA113" s="54"/>
      <c r="BB113" s="22">
        <f>SUM(BB103:BB110)</f>
        <v>52181635.60999994</v>
      </c>
      <c r="BC113" s="13"/>
      <c r="BD113" s="23">
        <f>SUM(BD103:BD110)</f>
        <v>9852</v>
      </c>
      <c r="BE113" s="13"/>
      <c r="BF113" s="54"/>
      <c r="BG113" s="32"/>
      <c r="BH113" s="54"/>
      <c r="BI113" s="22">
        <f>SUM(BI103:BI110)</f>
        <v>45077921.78</v>
      </c>
      <c r="BJ113" s="13"/>
      <c r="BK113" s="23">
        <f>SUM(BK103:BK110)</f>
        <v>9017</v>
      </c>
      <c r="BL113" s="13"/>
      <c r="BM113" s="54"/>
      <c r="BN113" s="32"/>
      <c r="BO113" s="54"/>
      <c r="BP113" s="22">
        <f>SUM(BP103:BP110)</f>
        <v>41410165.23999999</v>
      </c>
      <c r="BQ113" s="13"/>
      <c r="BR113" s="23">
        <f>SUM(BR103:BR110)</f>
        <v>8499</v>
      </c>
      <c r="BS113" s="13"/>
      <c r="BT113" s="54"/>
      <c r="BU113" s="32"/>
      <c r="BV113" s="54"/>
      <c r="BW113" s="22">
        <f>SUM(BW103:BW111)</f>
        <v>36462629.28999997</v>
      </c>
      <c r="BX113" s="13"/>
      <c r="BY113" s="23">
        <f>SUM(BY103:BY111)</f>
        <v>7727</v>
      </c>
      <c r="BZ113" s="13"/>
      <c r="CA113" s="54"/>
      <c r="CB113" s="32"/>
      <c r="CC113" s="54"/>
      <c r="CD113" s="22">
        <f>SUM(CD103:CD111)</f>
        <v>31620174.060000047</v>
      </c>
      <c r="CE113" s="13"/>
      <c r="CF113" s="23">
        <f>SUM(CF103:CF111)</f>
        <v>6879</v>
      </c>
      <c r="CG113" s="13"/>
      <c r="CH113" s="54"/>
      <c r="CI113" s="32"/>
      <c r="CJ113" s="54"/>
      <c r="CK113" s="22">
        <f>SUM(CK103:CK111)</f>
        <v>43691802.57000007</v>
      </c>
      <c r="CL113" s="13"/>
      <c r="CM113" s="23">
        <f>SUM(CM103:CM111)</f>
        <v>10127</v>
      </c>
      <c r="CN113" s="13"/>
      <c r="CO113" s="54"/>
      <c r="CP113" s="32"/>
      <c r="CQ113" s="54"/>
    </row>
    <row r="114" spans="1:95" ht="13.5" thickTop="1">
      <c r="A114" s="9"/>
      <c r="B114" s="9"/>
      <c r="C114" s="9"/>
      <c r="D114" s="11"/>
      <c r="E114" s="9"/>
      <c r="F114" s="11"/>
      <c r="G114" s="9"/>
      <c r="H114" s="9"/>
      <c r="I114" s="11"/>
      <c r="J114" s="9"/>
      <c r="K114" s="11"/>
      <c r="L114" s="9"/>
      <c r="M114" s="9"/>
      <c r="N114" s="11"/>
      <c r="O114" s="9"/>
      <c r="P114" s="9"/>
      <c r="Q114" s="11"/>
      <c r="R114" s="9"/>
      <c r="S114" s="11"/>
      <c r="T114" s="9"/>
      <c r="U114" s="9"/>
      <c r="V114" s="11"/>
      <c r="W114" s="9"/>
      <c r="X114" s="9"/>
      <c r="Y114" s="11"/>
      <c r="Z114" s="9"/>
      <c r="AA114" s="11"/>
      <c r="AB114" s="9"/>
      <c r="AC114" s="9"/>
      <c r="AD114" s="11"/>
      <c r="AE114" s="9"/>
      <c r="AF114" s="9"/>
      <c r="AG114" s="11"/>
      <c r="AH114" s="9"/>
      <c r="AI114" s="11"/>
      <c r="AJ114" s="9"/>
      <c r="AK114" s="9"/>
      <c r="AL114" s="11"/>
      <c r="AM114" s="9"/>
      <c r="AN114" s="11"/>
      <c r="AO114" s="9"/>
      <c r="AP114" s="11"/>
      <c r="AQ114" s="9"/>
      <c r="AR114" s="9"/>
      <c r="AS114" s="11"/>
      <c r="AT114" s="9"/>
      <c r="AU114" s="11"/>
      <c r="AV114" s="9"/>
      <c r="AW114" s="11"/>
      <c r="AX114" s="9"/>
      <c r="AY114" s="9"/>
      <c r="AZ114" s="11"/>
      <c r="BA114" s="9"/>
      <c r="BB114" s="11"/>
      <c r="BC114" s="9"/>
      <c r="BD114" s="11"/>
      <c r="BE114" s="9"/>
      <c r="BF114" s="9"/>
      <c r="BG114" s="11"/>
      <c r="BH114" s="9"/>
      <c r="BI114" s="11"/>
      <c r="BJ114" s="9"/>
      <c r="BK114" s="11"/>
      <c r="BL114" s="9"/>
      <c r="BM114" s="9"/>
      <c r="BN114" s="11"/>
      <c r="BO114" s="9"/>
      <c r="BP114" s="11"/>
      <c r="BQ114" s="9"/>
      <c r="BR114" s="11"/>
      <c r="BS114" s="9"/>
      <c r="BT114" s="9"/>
      <c r="BU114" s="11"/>
      <c r="BV114" s="9"/>
      <c r="BW114" s="11"/>
      <c r="BX114" s="9"/>
      <c r="BY114" s="11"/>
      <c r="BZ114" s="9"/>
      <c r="CA114" s="9"/>
      <c r="CB114" s="11"/>
      <c r="CC114" s="9"/>
      <c r="CD114" s="11"/>
      <c r="CE114" s="9"/>
      <c r="CF114" s="11"/>
      <c r="CG114" s="9"/>
      <c r="CH114" s="9"/>
      <c r="CI114" s="11"/>
      <c r="CJ114" s="9"/>
      <c r="CK114" s="11"/>
      <c r="CL114" s="9"/>
      <c r="CM114" s="11"/>
      <c r="CN114" s="9"/>
      <c r="CO114" s="9"/>
      <c r="CP114" s="11"/>
      <c r="CQ114" s="9"/>
    </row>
    <row r="115" spans="1:95" ht="12.75">
      <c r="A115" s="9"/>
      <c r="B115" s="9"/>
      <c r="C115" s="9"/>
      <c r="D115" s="10"/>
      <c r="E115" s="9"/>
      <c r="F115" s="11"/>
      <c r="G115" s="9"/>
      <c r="H115" s="9"/>
      <c r="I115" s="9"/>
      <c r="J115" s="9"/>
      <c r="K115" s="9"/>
      <c r="L115" s="10"/>
      <c r="M115" s="9"/>
      <c r="N115" s="11"/>
      <c r="O115" s="9"/>
      <c r="P115" s="9"/>
      <c r="Q115" s="9"/>
      <c r="R115" s="9"/>
      <c r="S115" s="9"/>
      <c r="T115" s="10"/>
      <c r="U115" s="9"/>
      <c r="V115" s="11"/>
      <c r="W115" s="9"/>
      <c r="X115" s="9"/>
      <c r="Y115" s="9"/>
      <c r="Z115" s="9"/>
      <c r="AA115" s="9"/>
      <c r="AB115" s="10"/>
      <c r="AC115" s="9"/>
      <c r="AD115" s="11"/>
      <c r="AE115" s="9"/>
      <c r="AF115" s="9"/>
      <c r="AG115" s="9"/>
      <c r="AH115" s="9"/>
      <c r="AI115" s="9"/>
      <c r="AJ115" s="10"/>
      <c r="AK115" s="9"/>
      <c r="AL115" s="11"/>
      <c r="AM115" s="9"/>
      <c r="AN115" s="9"/>
      <c r="AO115" s="9"/>
      <c r="AP115" s="9"/>
      <c r="AQ115" s="10"/>
      <c r="AR115" s="9"/>
      <c r="AS115" s="11"/>
      <c r="AT115" s="9"/>
      <c r="AU115" s="9"/>
      <c r="AV115" s="9"/>
      <c r="AW115" s="9"/>
      <c r="AX115" s="10"/>
      <c r="AY115" s="9"/>
      <c r="AZ115" s="11"/>
      <c r="BA115" s="9"/>
      <c r="BB115" s="9"/>
      <c r="BC115" s="9"/>
      <c r="BD115" s="9"/>
      <c r="BE115" s="10"/>
      <c r="BF115" s="9"/>
      <c r="BG115" s="11"/>
      <c r="BH115" s="9"/>
      <c r="BI115" s="9"/>
      <c r="BJ115" s="9"/>
      <c r="BK115" s="9"/>
      <c r="BL115" s="10"/>
      <c r="BM115" s="9"/>
      <c r="BN115" s="11"/>
      <c r="BO115" s="9"/>
      <c r="BP115" s="9"/>
      <c r="BQ115" s="9"/>
      <c r="BR115" s="9"/>
      <c r="BS115" s="10"/>
      <c r="BT115" s="9"/>
      <c r="BU115" s="11"/>
      <c r="BV115" s="9"/>
      <c r="BW115" s="9"/>
      <c r="BX115" s="9"/>
      <c r="BY115" s="9"/>
      <c r="BZ115" s="10"/>
      <c r="CA115" s="9"/>
      <c r="CB115" s="11"/>
      <c r="CC115" s="9"/>
      <c r="CD115" s="9"/>
      <c r="CE115" s="9"/>
      <c r="CF115" s="9"/>
      <c r="CG115" s="10"/>
      <c r="CH115" s="9"/>
      <c r="CI115" s="11"/>
      <c r="CJ115" s="9"/>
      <c r="CK115" s="9"/>
      <c r="CL115" s="9"/>
      <c r="CM115" s="9"/>
      <c r="CN115" s="10"/>
      <c r="CO115" s="9"/>
      <c r="CP115" s="11"/>
      <c r="CQ115" s="9"/>
    </row>
    <row r="116" spans="1:95" ht="12.75">
      <c r="A116" s="9"/>
      <c r="B116" s="9"/>
      <c r="C116" s="9"/>
      <c r="D116" s="10"/>
      <c r="E116" s="9"/>
      <c r="F116" s="11"/>
      <c r="G116" s="9"/>
      <c r="H116" s="9"/>
      <c r="I116" s="9"/>
      <c r="J116" s="9"/>
      <c r="K116" s="9"/>
      <c r="L116" s="10"/>
      <c r="M116" s="9"/>
      <c r="N116" s="11"/>
      <c r="O116" s="9"/>
      <c r="P116" s="9"/>
      <c r="Q116" s="9"/>
      <c r="R116" s="9"/>
      <c r="S116" s="9"/>
      <c r="T116" s="10"/>
      <c r="U116" s="9"/>
      <c r="V116" s="11"/>
      <c r="W116" s="9"/>
      <c r="X116" s="9"/>
      <c r="Y116" s="9"/>
      <c r="Z116" s="9"/>
      <c r="AA116" s="9"/>
      <c r="AB116" s="10"/>
      <c r="AC116" s="9"/>
      <c r="AD116" s="11"/>
      <c r="AE116" s="9"/>
      <c r="AF116" s="9"/>
      <c r="AG116" s="9"/>
      <c r="AH116" s="9"/>
      <c r="AI116" s="9"/>
      <c r="AJ116" s="10"/>
      <c r="AK116" s="9"/>
      <c r="AL116" s="11"/>
      <c r="AM116" s="9"/>
      <c r="AN116" s="9"/>
      <c r="AO116" s="9"/>
      <c r="AP116" s="9"/>
      <c r="AQ116" s="10"/>
      <c r="AR116" s="9"/>
      <c r="AS116" s="11"/>
      <c r="AT116" s="9"/>
      <c r="AU116" s="9"/>
      <c r="AV116" s="9"/>
      <c r="AW116" s="9"/>
      <c r="AX116" s="10"/>
      <c r="AY116" s="9"/>
      <c r="AZ116" s="11"/>
      <c r="BA116" s="9"/>
      <c r="BB116" s="9"/>
      <c r="BC116" s="9"/>
      <c r="BD116" s="9"/>
      <c r="BE116" s="10"/>
      <c r="BF116" s="9"/>
      <c r="BG116" s="11"/>
      <c r="BH116" s="9"/>
      <c r="BI116" s="9"/>
      <c r="BJ116" s="9"/>
      <c r="BK116" s="9"/>
      <c r="BL116" s="10"/>
      <c r="BM116" s="9"/>
      <c r="BN116" s="11"/>
      <c r="BO116" s="9"/>
      <c r="BP116" s="9"/>
      <c r="BQ116" s="9"/>
      <c r="BR116" s="9"/>
      <c r="BS116" s="10"/>
      <c r="BT116" s="9"/>
      <c r="BU116" s="11"/>
      <c r="BV116" s="9"/>
      <c r="BW116" s="9"/>
      <c r="BX116" s="9"/>
      <c r="BY116" s="9"/>
      <c r="BZ116" s="10"/>
      <c r="CA116" s="9"/>
      <c r="CB116" s="11"/>
      <c r="CC116" s="9"/>
      <c r="CD116" s="9"/>
      <c r="CE116" s="9"/>
      <c r="CF116" s="9"/>
      <c r="CG116" s="10"/>
      <c r="CH116" s="9"/>
      <c r="CI116" s="11"/>
      <c r="CJ116" s="9"/>
      <c r="CK116" s="9"/>
      <c r="CL116" s="9"/>
      <c r="CM116" s="9"/>
      <c r="CN116" s="10"/>
      <c r="CO116" s="9"/>
      <c r="CP116" s="11"/>
      <c r="CQ116" s="9"/>
    </row>
    <row r="117" spans="1:95" ht="12.75">
      <c r="A117" s="9"/>
      <c r="B117" s="9"/>
      <c r="C117" s="9"/>
      <c r="D117" s="10"/>
      <c r="E117" s="9"/>
      <c r="F117" s="11"/>
      <c r="G117" s="9"/>
      <c r="H117" s="9"/>
      <c r="I117" s="70"/>
      <c r="J117" s="55"/>
      <c r="K117" s="55"/>
      <c r="L117" s="64"/>
      <c r="M117" s="55"/>
      <c r="N117" s="56"/>
      <c r="O117" s="55"/>
      <c r="P117" s="9"/>
      <c r="Q117" s="70"/>
      <c r="R117" s="55"/>
      <c r="S117" s="55"/>
      <c r="T117" s="64"/>
      <c r="U117" s="55"/>
      <c r="V117" s="56"/>
      <c r="W117" s="55"/>
      <c r="X117" s="9"/>
      <c r="Y117" s="70"/>
      <c r="Z117" s="55"/>
      <c r="AA117" s="55"/>
      <c r="AB117" s="64"/>
      <c r="AC117" s="55"/>
      <c r="AD117" s="56"/>
      <c r="AE117" s="55"/>
      <c r="AF117" s="9"/>
      <c r="AG117" s="70"/>
      <c r="AH117" s="55"/>
      <c r="AI117" s="55"/>
      <c r="AJ117" s="64"/>
      <c r="AK117" s="55"/>
      <c r="AL117" s="56"/>
      <c r="AM117" s="55"/>
      <c r="AN117" s="70"/>
      <c r="AO117" s="55"/>
      <c r="AP117" s="55"/>
      <c r="AQ117" s="64"/>
      <c r="AR117" s="55"/>
      <c r="AS117" s="56"/>
      <c r="AT117" s="55"/>
      <c r="AU117" s="70"/>
      <c r="AV117" s="55"/>
      <c r="AW117" s="55"/>
      <c r="AX117" s="64"/>
      <c r="AY117" s="55"/>
      <c r="AZ117" s="56"/>
      <c r="BA117" s="55"/>
      <c r="BB117" s="70"/>
      <c r="BC117" s="55"/>
      <c r="BD117" s="55"/>
      <c r="BE117" s="64"/>
      <c r="BF117" s="55"/>
      <c r="BG117" s="56"/>
      <c r="BH117" s="55"/>
      <c r="BI117" s="70"/>
      <c r="BJ117" s="55"/>
      <c r="BK117" s="55"/>
      <c r="BL117" s="64"/>
      <c r="BM117" s="55"/>
      <c r="BN117" s="56"/>
      <c r="BO117" s="55"/>
      <c r="BP117" s="70"/>
      <c r="BQ117" s="55"/>
      <c r="BR117" s="55"/>
      <c r="BS117" s="64"/>
      <c r="BT117" s="55"/>
      <c r="BU117" s="56"/>
      <c r="BV117" s="55"/>
      <c r="BW117" s="70"/>
      <c r="BX117" s="55"/>
      <c r="BY117" s="55"/>
      <c r="BZ117" s="64"/>
      <c r="CA117" s="55"/>
      <c r="CB117" s="56"/>
      <c r="CC117" s="55"/>
      <c r="CD117" s="70"/>
      <c r="CE117" s="55"/>
      <c r="CF117" s="55"/>
      <c r="CG117" s="64"/>
      <c r="CH117" s="55"/>
      <c r="CI117" s="56"/>
      <c r="CJ117" s="55"/>
      <c r="CK117" s="70"/>
      <c r="CL117" s="55"/>
      <c r="CM117" s="55"/>
      <c r="CN117" s="64"/>
      <c r="CO117" s="55"/>
      <c r="CP117" s="56"/>
      <c r="CQ117" s="55"/>
    </row>
    <row r="118" spans="1:95" ht="12.75">
      <c r="A118" s="9"/>
      <c r="B118" s="9"/>
      <c r="C118" s="9"/>
      <c r="D118" s="10"/>
      <c r="E118" s="9"/>
      <c r="F118" s="11"/>
      <c r="G118" s="9"/>
      <c r="H118" s="9"/>
      <c r="I118" s="70"/>
      <c r="J118" s="55"/>
      <c r="K118" s="55"/>
      <c r="L118" s="64"/>
      <c r="M118" s="55"/>
      <c r="N118" s="56"/>
      <c r="O118" s="55"/>
      <c r="P118" s="9"/>
      <c r="Q118" s="70"/>
      <c r="R118" s="55"/>
      <c r="S118" s="55"/>
      <c r="T118" s="64"/>
      <c r="U118" s="55"/>
      <c r="V118" s="56"/>
      <c r="W118" s="55"/>
      <c r="X118" s="9"/>
      <c r="Y118" s="70"/>
      <c r="Z118" s="55"/>
      <c r="AA118" s="55"/>
      <c r="AB118" s="64"/>
      <c r="AC118" s="55"/>
      <c r="AD118" s="56"/>
      <c r="AE118" s="55"/>
      <c r="AF118" s="9"/>
      <c r="AG118" s="70"/>
      <c r="AH118" s="55"/>
      <c r="AI118" s="55"/>
      <c r="AJ118" s="64"/>
      <c r="AK118" s="55"/>
      <c r="AL118" s="56"/>
      <c r="AM118" s="55"/>
      <c r="AN118" s="70"/>
      <c r="AO118" s="55"/>
      <c r="AP118" s="55"/>
      <c r="AQ118" s="64"/>
      <c r="AR118" s="55"/>
      <c r="AS118" s="56"/>
      <c r="AT118" s="55"/>
      <c r="AU118" s="70"/>
      <c r="AV118" s="55"/>
      <c r="AW118" s="55"/>
      <c r="AX118" s="64"/>
      <c r="AY118" s="55"/>
      <c r="AZ118" s="56"/>
      <c r="BA118" s="55"/>
      <c r="BB118" s="70"/>
      <c r="BC118" s="55"/>
      <c r="BD118" s="55"/>
      <c r="BE118" s="64"/>
      <c r="BF118" s="55"/>
      <c r="BG118" s="56"/>
      <c r="BH118" s="55"/>
      <c r="BI118" s="70"/>
      <c r="BJ118" s="55"/>
      <c r="BK118" s="55"/>
      <c r="BL118" s="64"/>
      <c r="BM118" s="55"/>
      <c r="BN118" s="56"/>
      <c r="BO118" s="55"/>
      <c r="BP118" s="70"/>
      <c r="BQ118" s="55"/>
      <c r="BR118" s="55"/>
      <c r="BS118" s="64"/>
      <c r="BT118" s="55"/>
      <c r="BU118" s="56"/>
      <c r="BV118" s="55"/>
      <c r="BW118" s="70"/>
      <c r="BX118" s="55"/>
      <c r="BY118" s="55"/>
      <c r="BZ118" s="64"/>
      <c r="CA118" s="55"/>
      <c r="CB118" s="56"/>
      <c r="CC118" s="55"/>
      <c r="CD118" s="70"/>
      <c r="CE118" s="55"/>
      <c r="CF118" s="55"/>
      <c r="CG118" s="64"/>
      <c r="CH118" s="55"/>
      <c r="CI118" s="56"/>
      <c r="CJ118" s="55"/>
      <c r="CK118" s="70"/>
      <c r="CL118" s="55"/>
      <c r="CM118" s="55"/>
      <c r="CN118" s="64"/>
      <c r="CO118" s="55"/>
      <c r="CP118" s="56"/>
      <c r="CQ118" s="55"/>
    </row>
    <row r="119" spans="1:95" ht="12.75">
      <c r="A119" s="20" t="s">
        <v>111</v>
      </c>
      <c r="B119" s="9"/>
      <c r="C119" s="9"/>
      <c r="D119" s="10"/>
      <c r="E119" s="9"/>
      <c r="F119" s="11"/>
      <c r="G119" s="9"/>
      <c r="H119" s="9"/>
      <c r="I119" s="20" t="s">
        <v>111</v>
      </c>
      <c r="J119" s="9"/>
      <c r="K119" s="9"/>
      <c r="L119" s="10"/>
      <c r="M119" s="9"/>
      <c r="N119" s="11"/>
      <c r="O119" s="9"/>
      <c r="P119" s="9"/>
      <c r="Q119" s="20" t="s">
        <v>111</v>
      </c>
      <c r="R119" s="9"/>
      <c r="S119" s="9"/>
      <c r="T119" s="10"/>
      <c r="U119" s="9"/>
      <c r="V119" s="11"/>
      <c r="W119" s="9"/>
      <c r="X119" s="9"/>
      <c r="Y119" s="20" t="s">
        <v>111</v>
      </c>
      <c r="Z119" s="9"/>
      <c r="AA119" s="9"/>
      <c r="AB119" s="10"/>
      <c r="AC119" s="9"/>
      <c r="AD119" s="11"/>
      <c r="AE119" s="9"/>
      <c r="AF119" s="9"/>
      <c r="AG119" s="20" t="s">
        <v>111</v>
      </c>
      <c r="AH119" s="9"/>
      <c r="AI119" s="9"/>
      <c r="AJ119" s="10"/>
      <c r="AK119" s="9"/>
      <c r="AL119" s="11"/>
      <c r="AM119" s="9"/>
      <c r="AN119" s="20" t="s">
        <v>111</v>
      </c>
      <c r="AO119" s="9"/>
      <c r="AP119" s="9"/>
      <c r="AQ119" s="10"/>
      <c r="AR119" s="9"/>
      <c r="AS119" s="11"/>
      <c r="AT119" s="9"/>
      <c r="AU119" s="20" t="s">
        <v>111</v>
      </c>
      <c r="AV119" s="9"/>
      <c r="AW119" s="9"/>
      <c r="AX119" s="10"/>
      <c r="AY119" s="9"/>
      <c r="AZ119" s="11"/>
      <c r="BA119" s="9"/>
      <c r="BB119" s="20" t="s">
        <v>111</v>
      </c>
      <c r="BC119" s="9"/>
      <c r="BD119" s="9"/>
      <c r="BE119" s="10"/>
      <c r="BF119" s="9"/>
      <c r="BG119" s="11"/>
      <c r="BH119" s="9"/>
      <c r="BI119" s="20" t="s">
        <v>111</v>
      </c>
      <c r="BJ119" s="9"/>
      <c r="BK119" s="9"/>
      <c r="BL119" s="10"/>
      <c r="BM119" s="9"/>
      <c r="BN119" s="11"/>
      <c r="BO119" s="9"/>
      <c r="BP119" s="20" t="s">
        <v>111</v>
      </c>
      <c r="BQ119" s="9"/>
      <c r="BR119" s="9"/>
      <c r="BS119" s="10"/>
      <c r="BT119" s="9"/>
      <c r="BU119" s="11"/>
      <c r="BV119" s="9"/>
      <c r="BW119" s="20" t="s">
        <v>111</v>
      </c>
      <c r="BX119" s="9"/>
      <c r="BY119" s="9"/>
      <c r="BZ119" s="10"/>
      <c r="CA119" s="9"/>
      <c r="CB119" s="11"/>
      <c r="CC119" s="9"/>
      <c r="CD119" s="20" t="s">
        <v>111</v>
      </c>
      <c r="CE119" s="9"/>
      <c r="CF119" s="9"/>
      <c r="CG119" s="10"/>
      <c r="CH119" s="9"/>
      <c r="CI119" s="11"/>
      <c r="CJ119" s="9"/>
      <c r="CK119" s="20" t="s">
        <v>111</v>
      </c>
      <c r="CL119" s="9"/>
      <c r="CM119" s="9"/>
      <c r="CN119" s="10"/>
      <c r="CO119" s="9"/>
      <c r="CP119" s="11"/>
      <c r="CQ119" s="9"/>
    </row>
    <row r="120" spans="1:95" ht="12.75">
      <c r="A120" s="20"/>
      <c r="B120" s="9"/>
      <c r="C120" s="9"/>
      <c r="D120" s="10"/>
      <c r="E120" s="9"/>
      <c r="F120" s="11"/>
      <c r="G120" s="9"/>
      <c r="H120" s="9"/>
      <c r="I120" s="20"/>
      <c r="J120" s="9"/>
      <c r="K120" s="9"/>
      <c r="L120" s="10"/>
      <c r="M120" s="9"/>
      <c r="N120" s="11"/>
      <c r="O120" s="9"/>
      <c r="P120" s="9"/>
      <c r="Q120" s="20"/>
      <c r="R120" s="9"/>
      <c r="S120" s="9"/>
      <c r="T120" s="10"/>
      <c r="U120" s="9"/>
      <c r="V120" s="11"/>
      <c r="W120" s="9"/>
      <c r="X120" s="9"/>
      <c r="Y120" s="20"/>
      <c r="Z120" s="9"/>
      <c r="AA120" s="9"/>
      <c r="AB120" s="10"/>
      <c r="AC120" s="9"/>
      <c r="AD120" s="11"/>
      <c r="AE120" s="9"/>
      <c r="AF120" s="9"/>
      <c r="AG120" s="20"/>
      <c r="AH120" s="9"/>
      <c r="AI120" s="9"/>
      <c r="AJ120" s="10"/>
      <c r="AK120" s="9"/>
      <c r="AL120" s="11"/>
      <c r="AM120" s="9"/>
      <c r="AN120" s="20"/>
      <c r="AO120" s="9"/>
      <c r="AP120" s="9"/>
      <c r="AQ120" s="10"/>
      <c r="AR120" s="9"/>
      <c r="AS120" s="11"/>
      <c r="AT120" s="9"/>
      <c r="AU120" s="20"/>
      <c r="AV120" s="9"/>
      <c r="AW120" s="9"/>
      <c r="AX120" s="10"/>
      <c r="AY120" s="9"/>
      <c r="AZ120" s="11"/>
      <c r="BA120" s="9"/>
      <c r="BB120" s="20"/>
      <c r="BC120" s="9"/>
      <c r="BD120" s="9"/>
      <c r="BE120" s="10"/>
      <c r="BF120" s="9"/>
      <c r="BG120" s="11"/>
      <c r="BH120" s="9"/>
      <c r="BI120" s="20"/>
      <c r="BJ120" s="9"/>
      <c r="BK120" s="9"/>
      <c r="BL120" s="10"/>
      <c r="BM120" s="9"/>
      <c r="BN120" s="11"/>
      <c r="BO120" s="9"/>
      <c r="BP120" s="20"/>
      <c r="BQ120" s="9"/>
      <c r="BR120" s="9"/>
      <c r="BS120" s="10"/>
      <c r="BT120" s="9"/>
      <c r="BU120" s="11"/>
      <c r="BV120" s="9"/>
      <c r="BW120" s="20"/>
      <c r="BX120" s="9"/>
      <c r="BY120" s="9"/>
      <c r="BZ120" s="10"/>
      <c r="CA120" s="9"/>
      <c r="CB120" s="11"/>
      <c r="CC120" s="9"/>
      <c r="CD120" s="20"/>
      <c r="CE120" s="9"/>
      <c r="CF120" s="9"/>
      <c r="CG120" s="10"/>
      <c r="CH120" s="9"/>
      <c r="CI120" s="11"/>
      <c r="CJ120" s="9"/>
      <c r="CK120" s="20"/>
      <c r="CL120" s="9"/>
      <c r="CM120" s="9"/>
      <c r="CN120" s="10"/>
      <c r="CO120" s="9"/>
      <c r="CP120" s="11"/>
      <c r="CQ120" s="9"/>
    </row>
    <row r="121" spans="1:95" s="30" customFormat="1" ht="12.75">
      <c r="A121" s="26"/>
      <c r="B121" s="27"/>
      <c r="C121" s="27"/>
      <c r="D121" s="28" t="s">
        <v>143</v>
      </c>
      <c r="E121" s="27" t="s">
        <v>96</v>
      </c>
      <c r="F121" s="29" t="s">
        <v>97</v>
      </c>
      <c r="G121" s="27" t="s">
        <v>96</v>
      </c>
      <c r="H121" s="27"/>
      <c r="I121" s="28" t="s">
        <v>143</v>
      </c>
      <c r="J121" s="27" t="s">
        <v>96</v>
      </c>
      <c r="K121" s="29" t="s">
        <v>97</v>
      </c>
      <c r="L121" s="27" t="s">
        <v>96</v>
      </c>
      <c r="M121" s="65"/>
      <c r="N121" s="66"/>
      <c r="O121" s="65"/>
      <c r="P121" s="27"/>
      <c r="Q121" s="28" t="s">
        <v>143</v>
      </c>
      <c r="R121" s="27" t="s">
        <v>96</v>
      </c>
      <c r="S121" s="29" t="s">
        <v>97</v>
      </c>
      <c r="T121" s="27" t="s">
        <v>96</v>
      </c>
      <c r="U121" s="65"/>
      <c r="V121" s="66"/>
      <c r="W121" s="65"/>
      <c r="X121" s="27"/>
      <c r="Y121" s="28" t="s">
        <v>143</v>
      </c>
      <c r="Z121" s="27" t="s">
        <v>96</v>
      </c>
      <c r="AA121" s="29" t="s">
        <v>97</v>
      </c>
      <c r="AB121" s="27" t="s">
        <v>96</v>
      </c>
      <c r="AC121" s="65"/>
      <c r="AD121" s="66"/>
      <c r="AE121" s="65"/>
      <c r="AF121" s="27"/>
      <c r="AG121" s="28" t="s">
        <v>143</v>
      </c>
      <c r="AH121" s="27" t="s">
        <v>96</v>
      </c>
      <c r="AI121" s="29" t="s">
        <v>97</v>
      </c>
      <c r="AJ121" s="27" t="s">
        <v>96</v>
      </c>
      <c r="AK121" s="65"/>
      <c r="AL121" s="66"/>
      <c r="AM121" s="65"/>
      <c r="AN121" s="94" t="s">
        <v>143</v>
      </c>
      <c r="AO121" s="45" t="s">
        <v>96</v>
      </c>
      <c r="AP121" s="93" t="s">
        <v>97</v>
      </c>
      <c r="AQ121" s="45" t="s">
        <v>96</v>
      </c>
      <c r="AR121" s="65"/>
      <c r="AS121" s="66"/>
      <c r="AT121" s="65"/>
      <c r="AU121" s="94" t="s">
        <v>143</v>
      </c>
      <c r="AV121" s="45" t="s">
        <v>96</v>
      </c>
      <c r="AW121" s="93" t="s">
        <v>97</v>
      </c>
      <c r="AX121" s="27" t="s">
        <v>96</v>
      </c>
      <c r="AY121" s="65"/>
      <c r="AZ121" s="66"/>
      <c r="BA121" s="65"/>
      <c r="BB121" s="94" t="s">
        <v>143</v>
      </c>
      <c r="BC121" s="45" t="s">
        <v>96</v>
      </c>
      <c r="BD121" s="93" t="s">
        <v>97</v>
      </c>
      <c r="BE121" s="27" t="s">
        <v>96</v>
      </c>
      <c r="BF121" s="65"/>
      <c r="BG121" s="66"/>
      <c r="BH121" s="65"/>
      <c r="BI121" s="94" t="s">
        <v>143</v>
      </c>
      <c r="BJ121" s="45" t="s">
        <v>96</v>
      </c>
      <c r="BK121" s="93" t="s">
        <v>97</v>
      </c>
      <c r="BL121" s="27" t="s">
        <v>96</v>
      </c>
      <c r="BM121" s="65"/>
      <c r="BN121" s="66"/>
      <c r="BO121" s="65"/>
      <c r="BP121" s="94" t="s">
        <v>143</v>
      </c>
      <c r="BQ121" s="45" t="s">
        <v>96</v>
      </c>
      <c r="BR121" s="93" t="s">
        <v>97</v>
      </c>
      <c r="BS121" s="27" t="s">
        <v>96</v>
      </c>
      <c r="BT121" s="65"/>
      <c r="BU121" s="66"/>
      <c r="BV121" s="65"/>
      <c r="BW121" s="94" t="s">
        <v>143</v>
      </c>
      <c r="BX121" s="45" t="s">
        <v>96</v>
      </c>
      <c r="BY121" s="93" t="s">
        <v>97</v>
      </c>
      <c r="BZ121" s="27" t="s">
        <v>96</v>
      </c>
      <c r="CA121" s="65"/>
      <c r="CB121" s="66"/>
      <c r="CC121" s="65"/>
      <c r="CD121" s="94" t="s">
        <v>143</v>
      </c>
      <c r="CE121" s="45" t="s">
        <v>96</v>
      </c>
      <c r="CF121" s="93" t="s">
        <v>97</v>
      </c>
      <c r="CG121" s="27" t="s">
        <v>96</v>
      </c>
      <c r="CH121" s="65"/>
      <c r="CI121" s="66"/>
      <c r="CJ121" s="65"/>
      <c r="CK121" s="94" t="s">
        <v>143</v>
      </c>
      <c r="CL121" s="45" t="s">
        <v>96</v>
      </c>
      <c r="CM121" s="93" t="s">
        <v>97</v>
      </c>
      <c r="CN121" s="27" t="s">
        <v>96</v>
      </c>
      <c r="CO121" s="65"/>
      <c r="CP121" s="66"/>
      <c r="CQ121" s="65"/>
    </row>
    <row r="122" spans="1:95" ht="12.75">
      <c r="A122" s="13"/>
      <c r="B122" s="9"/>
      <c r="C122" s="9"/>
      <c r="D122" s="10"/>
      <c r="E122" s="9"/>
      <c r="F122" s="11"/>
      <c r="G122" s="9"/>
      <c r="H122" s="9"/>
      <c r="I122" s="10"/>
      <c r="J122" s="9"/>
      <c r="K122" s="11"/>
      <c r="L122" s="9"/>
      <c r="M122" s="55"/>
      <c r="N122" s="56"/>
      <c r="O122" s="55"/>
      <c r="P122" s="9"/>
      <c r="Q122" s="10"/>
      <c r="R122" s="9"/>
      <c r="S122" s="11"/>
      <c r="T122" s="9"/>
      <c r="U122" s="55"/>
      <c r="V122" s="56"/>
      <c r="W122" s="55"/>
      <c r="X122" s="9"/>
      <c r="Y122" s="10"/>
      <c r="Z122" s="9"/>
      <c r="AA122" s="11"/>
      <c r="AB122" s="9"/>
      <c r="AC122" s="55"/>
      <c r="AD122" s="56"/>
      <c r="AE122" s="55"/>
      <c r="AF122" s="9"/>
      <c r="AG122" s="10"/>
      <c r="AH122" s="9"/>
      <c r="AI122" s="11"/>
      <c r="AJ122" s="9"/>
      <c r="AK122" s="55"/>
      <c r="AL122" s="56"/>
      <c r="AM122" s="55"/>
      <c r="AN122" s="10"/>
      <c r="AO122" s="9"/>
      <c r="AP122" s="11"/>
      <c r="AQ122" s="9"/>
      <c r="AR122" s="55"/>
      <c r="AS122" s="56"/>
      <c r="AT122" s="55"/>
      <c r="AU122" s="10"/>
      <c r="AV122" s="9"/>
      <c r="AW122" s="11"/>
      <c r="AX122" s="9"/>
      <c r="AY122" s="55"/>
      <c r="AZ122" s="56"/>
      <c r="BA122" s="55"/>
      <c r="BB122" s="10"/>
      <c r="BC122" s="9"/>
      <c r="BD122" s="11"/>
      <c r="BE122" s="9"/>
      <c r="BF122" s="55"/>
      <c r="BG122" s="56"/>
      <c r="BH122" s="55"/>
      <c r="BI122" s="10"/>
      <c r="BJ122" s="9"/>
      <c r="BK122" s="11"/>
      <c r="BL122" s="9"/>
      <c r="BM122" s="55"/>
      <c r="BN122" s="56"/>
      <c r="BO122" s="55"/>
      <c r="BP122" s="10"/>
      <c r="BQ122" s="9"/>
      <c r="BR122" s="11"/>
      <c r="BS122" s="9"/>
      <c r="BT122" s="55"/>
      <c r="BU122" s="56"/>
      <c r="BV122" s="55"/>
      <c r="BW122" s="10"/>
      <c r="BX122" s="9"/>
      <c r="BY122" s="11"/>
      <c r="BZ122" s="9"/>
      <c r="CA122" s="55"/>
      <c r="CB122" s="56"/>
      <c r="CC122" s="55"/>
      <c r="CD122" s="10"/>
      <c r="CE122" s="9"/>
      <c r="CF122" s="11"/>
      <c r="CG122" s="9"/>
      <c r="CH122" s="55"/>
      <c r="CI122" s="56"/>
      <c r="CJ122" s="55"/>
      <c r="CK122" s="10"/>
      <c r="CL122" s="9"/>
      <c r="CM122" s="11"/>
      <c r="CN122" s="9"/>
      <c r="CO122" s="55"/>
      <c r="CP122" s="56"/>
      <c r="CQ122" s="55"/>
    </row>
    <row r="123" spans="1:95" ht="12.75">
      <c r="A123" s="9" t="s">
        <v>48</v>
      </c>
      <c r="B123" s="9"/>
      <c r="C123" s="9"/>
      <c r="D123" s="10">
        <v>35031035.69999992</v>
      </c>
      <c r="E123" s="15">
        <v>0.905464268050057</v>
      </c>
      <c r="F123" s="11">
        <v>8073</v>
      </c>
      <c r="G123" s="15">
        <v>0.962905534351145</v>
      </c>
      <c r="H123" s="15"/>
      <c r="I123" s="10">
        <v>28651934.220000118</v>
      </c>
      <c r="J123" s="15">
        <v>0.902697024640198</v>
      </c>
      <c r="K123" s="11">
        <v>7350</v>
      </c>
      <c r="L123" s="15">
        <v>0.9640608604407135</v>
      </c>
      <c r="M123" s="57"/>
      <c r="N123" s="56"/>
      <c r="O123" s="57"/>
      <c r="P123" s="15"/>
      <c r="Q123" s="10">
        <v>31930405.70999997</v>
      </c>
      <c r="R123" s="15">
        <v>0.9229970955046658</v>
      </c>
      <c r="S123" s="11">
        <v>7744</v>
      </c>
      <c r="T123" s="15">
        <v>0.9712780634641917</v>
      </c>
      <c r="U123" s="57"/>
      <c r="V123" s="56"/>
      <c r="W123" s="57"/>
      <c r="X123" s="15"/>
      <c r="Y123" s="10">
        <v>29688038.430000044</v>
      </c>
      <c r="Z123" s="15">
        <v>0.9302350063115337</v>
      </c>
      <c r="AA123" s="11">
        <v>7456</v>
      </c>
      <c r="AB123" s="15">
        <v>0.9755331676043438</v>
      </c>
      <c r="AC123" s="57"/>
      <c r="AD123" s="56"/>
      <c r="AE123" s="57"/>
      <c r="AF123" s="15"/>
      <c r="AG123" s="10">
        <v>50073012.90999989</v>
      </c>
      <c r="AH123" s="15">
        <v>0.9289370855848023</v>
      </c>
      <c r="AI123" s="11">
        <v>10457</v>
      </c>
      <c r="AJ123" s="15">
        <v>0.9768332554880896</v>
      </c>
      <c r="AK123" s="57"/>
      <c r="AL123" s="56"/>
      <c r="AM123" s="57"/>
      <c r="AN123" s="98">
        <v>56289515.42</v>
      </c>
      <c r="AO123" s="15">
        <v>0.9171975663246013</v>
      </c>
      <c r="AP123" s="11">
        <v>10482</v>
      </c>
      <c r="AQ123" s="15">
        <v>0.9718153161505656</v>
      </c>
      <c r="AR123" s="57"/>
      <c r="AS123" s="56"/>
      <c r="AT123" s="57"/>
      <c r="AU123" s="99">
        <v>49961243.759999916</v>
      </c>
      <c r="AV123" s="15">
        <v>0.9134992892339723</v>
      </c>
      <c r="AW123" s="11">
        <v>9707</v>
      </c>
      <c r="AX123" s="15">
        <v>0.972158237356034</v>
      </c>
      <c r="AY123" s="57"/>
      <c r="AZ123" s="56"/>
      <c r="BA123" s="57"/>
      <c r="BB123" s="99">
        <v>47085252.91000004</v>
      </c>
      <c r="BC123" s="15">
        <v>0.9023337877315726</v>
      </c>
      <c r="BD123" s="11">
        <v>9554</v>
      </c>
      <c r="BE123" s="15">
        <v>0.9697523345513601</v>
      </c>
      <c r="BF123" s="57"/>
      <c r="BG123" s="56"/>
      <c r="BH123" s="57"/>
      <c r="BI123" s="99">
        <v>40511140.21999996</v>
      </c>
      <c r="BJ123" s="15">
        <v>0.898691390825693</v>
      </c>
      <c r="BK123" s="11">
        <v>8737</v>
      </c>
      <c r="BL123" s="15">
        <v>0.9689475435288899</v>
      </c>
      <c r="BM123" s="57"/>
      <c r="BN123" s="56"/>
      <c r="BO123" s="57"/>
      <c r="BP123" s="99">
        <v>36016473.93999997</v>
      </c>
      <c r="BQ123" s="15">
        <v>0.8697495827717687</v>
      </c>
      <c r="BR123" s="11">
        <v>8180</v>
      </c>
      <c r="BS123" s="15">
        <v>0.9624661724908813</v>
      </c>
      <c r="BT123" s="57"/>
      <c r="BU123" s="56"/>
      <c r="BV123" s="57"/>
      <c r="BW123" s="99">
        <v>30523924.49000005</v>
      </c>
      <c r="BX123" s="15">
        <v>0.8371290026079196</v>
      </c>
      <c r="BY123" s="11">
        <v>7374</v>
      </c>
      <c r="BZ123" s="15">
        <v>0.9543160346835771</v>
      </c>
      <c r="CA123" s="57"/>
      <c r="CB123" s="56"/>
      <c r="CC123" s="57"/>
      <c r="CD123" s="99">
        <v>25369784.059999976</v>
      </c>
      <c r="CE123" s="15">
        <v>0.8023290451172169</v>
      </c>
      <c r="CF123" s="11">
        <v>6510</v>
      </c>
      <c r="CG123" s="15">
        <v>0.946358482337549</v>
      </c>
      <c r="CH123" s="57"/>
      <c r="CI123" s="56"/>
      <c r="CJ123" s="57"/>
      <c r="CK123" s="99">
        <v>32595627.419999994</v>
      </c>
      <c r="CL123" s="15">
        <v>0.7460353087464752</v>
      </c>
      <c r="CM123" s="11">
        <v>9469</v>
      </c>
      <c r="CN123" s="15">
        <v>0.9350251802113163</v>
      </c>
      <c r="CO123" s="57"/>
      <c r="CP123" s="56"/>
      <c r="CQ123" s="57"/>
    </row>
    <row r="124" spans="1:95" ht="12.75">
      <c r="A124" s="9" t="s">
        <v>49</v>
      </c>
      <c r="B124" s="9"/>
      <c r="C124" s="9"/>
      <c r="D124" s="10">
        <v>2094762.86</v>
      </c>
      <c r="E124" s="15">
        <v>0.0541443574780847</v>
      </c>
      <c r="F124" s="11">
        <v>240</v>
      </c>
      <c r="G124" s="15">
        <v>0.02862595419847328</v>
      </c>
      <c r="H124" s="15"/>
      <c r="I124" s="10">
        <v>1601992.17</v>
      </c>
      <c r="J124" s="15">
        <v>0.05047176062363193</v>
      </c>
      <c r="K124" s="11">
        <v>203</v>
      </c>
      <c r="L124" s="15">
        <v>0.026626442812172087</v>
      </c>
      <c r="M124" s="57"/>
      <c r="N124" s="56"/>
      <c r="O124" s="57"/>
      <c r="P124" s="15"/>
      <c r="Q124" s="10">
        <v>1259832.83</v>
      </c>
      <c r="R124" s="15">
        <v>0.03641739016636582</v>
      </c>
      <c r="S124" s="11">
        <v>160</v>
      </c>
      <c r="T124" s="15">
        <v>0.020067728583970903</v>
      </c>
      <c r="U124" s="57"/>
      <c r="V124" s="56"/>
      <c r="W124" s="57"/>
      <c r="X124" s="15"/>
      <c r="Y124" s="10">
        <v>946086.61</v>
      </c>
      <c r="Z124" s="15">
        <v>0.02964435948504011</v>
      </c>
      <c r="AA124" s="11">
        <v>124</v>
      </c>
      <c r="AB124" s="15">
        <v>0.016223995813162372</v>
      </c>
      <c r="AC124" s="57"/>
      <c r="AD124" s="56"/>
      <c r="AE124" s="57"/>
      <c r="AF124" s="15"/>
      <c r="AG124" s="10">
        <v>690242.82</v>
      </c>
      <c r="AH124" s="15">
        <v>0.012805144254233307</v>
      </c>
      <c r="AI124" s="11">
        <v>91</v>
      </c>
      <c r="AJ124" s="15">
        <v>0.0085007006071929</v>
      </c>
      <c r="AK124" s="57"/>
      <c r="AL124" s="56"/>
      <c r="AM124" s="57"/>
      <c r="AN124" s="64">
        <v>499179.26</v>
      </c>
      <c r="AO124" s="15">
        <v>0.0081337705435112</v>
      </c>
      <c r="AP124" s="11">
        <v>70</v>
      </c>
      <c r="AQ124" s="15">
        <v>0.006489894307435564</v>
      </c>
      <c r="AR124" s="57"/>
      <c r="AS124" s="56"/>
      <c r="AT124" s="57"/>
      <c r="AU124" s="10">
        <v>327443.78</v>
      </c>
      <c r="AV124" s="15">
        <v>0.005987033904339406</v>
      </c>
      <c r="AW124" s="11">
        <v>46</v>
      </c>
      <c r="AX124" s="15">
        <v>0.004606910365548322</v>
      </c>
      <c r="AY124" s="57"/>
      <c r="AZ124" s="56"/>
      <c r="BA124" s="57"/>
      <c r="BB124" s="10">
        <v>210820.66</v>
      </c>
      <c r="BC124" s="15">
        <v>0.004040131313162567</v>
      </c>
      <c r="BD124" s="11">
        <v>29</v>
      </c>
      <c r="BE124" s="15">
        <v>0.0029435647584246855</v>
      </c>
      <c r="BF124" s="57"/>
      <c r="BG124" s="56"/>
      <c r="BH124" s="57"/>
      <c r="BI124" s="10">
        <v>177553.14</v>
      </c>
      <c r="BJ124" s="15">
        <v>0.003938804917993719</v>
      </c>
      <c r="BK124" s="11">
        <v>26</v>
      </c>
      <c r="BL124" s="15">
        <v>0.0028834423866030833</v>
      </c>
      <c r="BM124" s="57"/>
      <c r="BN124" s="56"/>
      <c r="BO124" s="57"/>
      <c r="BP124" s="10">
        <v>144027.18</v>
      </c>
      <c r="BQ124" s="15">
        <v>0.0034780633973630613</v>
      </c>
      <c r="BR124" s="11">
        <v>22</v>
      </c>
      <c r="BS124" s="15">
        <v>0.002588539828215084</v>
      </c>
      <c r="BT124" s="57"/>
      <c r="BU124" s="56"/>
      <c r="BV124" s="57"/>
      <c r="BW124" s="10">
        <v>97861.07</v>
      </c>
      <c r="BX124" s="15">
        <v>0.002683873102558696</v>
      </c>
      <c r="BY124" s="11">
        <v>17</v>
      </c>
      <c r="BZ124" s="15">
        <v>0.0022000776497994048</v>
      </c>
      <c r="CA124" s="57"/>
      <c r="CB124" s="56"/>
      <c r="CC124" s="57"/>
      <c r="CD124" s="10">
        <v>43020.76</v>
      </c>
      <c r="CE124" s="15">
        <v>0.0013605478552511175</v>
      </c>
      <c r="CF124" s="11">
        <v>9</v>
      </c>
      <c r="CG124" s="15">
        <v>0.0013083296990841692</v>
      </c>
      <c r="CH124" s="57"/>
      <c r="CI124" s="56"/>
      <c r="CJ124" s="57"/>
      <c r="CK124" s="10">
        <v>20114.57</v>
      </c>
      <c r="CL124" s="15">
        <v>0.0004603740019142908</v>
      </c>
      <c r="CM124" s="11">
        <v>4</v>
      </c>
      <c r="CN124" s="15">
        <v>0.00039498370692208945</v>
      </c>
      <c r="CO124" s="57"/>
      <c r="CP124" s="56"/>
      <c r="CQ124" s="57"/>
    </row>
    <row r="125" spans="1:95" ht="12.75">
      <c r="A125" s="9" t="s">
        <v>120</v>
      </c>
      <c r="B125" s="9"/>
      <c r="C125" s="9"/>
      <c r="D125" s="10">
        <v>1562680.86</v>
      </c>
      <c r="E125" s="15">
        <v>0.04039137447185829</v>
      </c>
      <c r="F125" s="11">
        <v>71</v>
      </c>
      <c r="G125" s="15">
        <v>0.00846851145038168</v>
      </c>
      <c r="H125" s="15"/>
      <c r="I125" s="10">
        <v>1486439.91</v>
      </c>
      <c r="J125" s="15">
        <v>0.04683121473617004</v>
      </c>
      <c r="K125" s="11">
        <v>71</v>
      </c>
      <c r="L125" s="15">
        <v>0.009312696747114376</v>
      </c>
      <c r="M125" s="57"/>
      <c r="N125" s="56"/>
      <c r="O125" s="57"/>
      <c r="P125" s="15"/>
      <c r="Q125" s="10">
        <v>1404026.02</v>
      </c>
      <c r="R125" s="15">
        <v>0.040585514328968335</v>
      </c>
      <c r="S125" s="11">
        <v>69</v>
      </c>
      <c r="T125" s="15">
        <v>0.008654207951837451</v>
      </c>
      <c r="U125" s="57"/>
      <c r="V125" s="56"/>
      <c r="W125" s="57"/>
      <c r="X125" s="15"/>
      <c r="Y125" s="10">
        <v>1280432.28</v>
      </c>
      <c r="Z125" s="15">
        <v>0.04012063420342622</v>
      </c>
      <c r="AA125" s="11">
        <v>63</v>
      </c>
      <c r="AB125" s="15">
        <v>0.008242836582493786</v>
      </c>
      <c r="AC125" s="57"/>
      <c r="AD125" s="56"/>
      <c r="AE125" s="57"/>
      <c r="AF125" s="15"/>
      <c r="AG125" s="10">
        <v>3140301.02</v>
      </c>
      <c r="AH125" s="15">
        <v>0.058257770160964464</v>
      </c>
      <c r="AI125" s="11">
        <v>157</v>
      </c>
      <c r="AJ125" s="15">
        <v>0.014666043904717421</v>
      </c>
      <c r="AK125" s="57"/>
      <c r="AL125" s="56"/>
      <c r="AM125" s="57"/>
      <c r="AN125" s="10">
        <v>4582505.47</v>
      </c>
      <c r="AO125" s="15">
        <v>0.07466866313188765</v>
      </c>
      <c r="AP125" s="11">
        <v>234</v>
      </c>
      <c r="AQ125" s="15">
        <v>0.021694789541998886</v>
      </c>
      <c r="AR125" s="57"/>
      <c r="AS125" s="56"/>
      <c r="AT125" s="57"/>
      <c r="AU125" s="10">
        <v>4403466.41</v>
      </c>
      <c r="AV125" s="15">
        <v>0.08051367686168834</v>
      </c>
      <c r="AW125" s="11">
        <v>232</v>
      </c>
      <c r="AX125" s="15">
        <v>0.023234852278417626</v>
      </c>
      <c r="AY125" s="57"/>
      <c r="AZ125" s="56"/>
      <c r="BA125" s="57"/>
      <c r="BB125" s="10">
        <v>4885562.04</v>
      </c>
      <c r="BC125" s="15">
        <v>0.09362608095526494</v>
      </c>
      <c r="BD125" s="11">
        <v>269</v>
      </c>
      <c r="BE125" s="15">
        <v>0.027304100690215185</v>
      </c>
      <c r="BF125" s="57"/>
      <c r="BG125" s="56"/>
      <c r="BH125" s="57"/>
      <c r="BI125" s="10">
        <v>4389228.42</v>
      </c>
      <c r="BJ125" s="15">
        <v>0.09736980425631328</v>
      </c>
      <c r="BK125" s="11">
        <v>254</v>
      </c>
      <c r="BL125" s="15">
        <v>0.028169014084507043</v>
      </c>
      <c r="BM125" s="57"/>
      <c r="BN125" s="56"/>
      <c r="BO125" s="57"/>
      <c r="BP125" s="10">
        <v>5249664.12</v>
      </c>
      <c r="BQ125" s="15">
        <v>0.12677235383086835</v>
      </c>
      <c r="BR125" s="11">
        <v>297</v>
      </c>
      <c r="BS125" s="15">
        <v>0.03494528768090364</v>
      </c>
      <c r="BT125" s="57"/>
      <c r="BU125" s="56"/>
      <c r="BV125" s="57"/>
      <c r="BW125" s="10">
        <v>5840843.729999996</v>
      </c>
      <c r="BX125" s="15">
        <v>0.1601871242895218</v>
      </c>
      <c r="BY125" s="11">
        <v>336</v>
      </c>
      <c r="BZ125" s="15">
        <v>0.043483887666623526</v>
      </c>
      <c r="CA125" s="57"/>
      <c r="CB125" s="56"/>
      <c r="CC125" s="57"/>
      <c r="CD125" s="10">
        <v>6207369.240000001</v>
      </c>
      <c r="CE125" s="15">
        <v>0.19631040702753189</v>
      </c>
      <c r="CF125" s="11">
        <v>360</v>
      </c>
      <c r="CG125" s="15">
        <v>0.05233318796336677</v>
      </c>
      <c r="CH125" s="57"/>
      <c r="CI125" s="56"/>
      <c r="CJ125" s="57"/>
      <c r="CK125" s="10">
        <v>11076060.580000013</v>
      </c>
      <c r="CL125" s="15">
        <v>0.2535043172516105</v>
      </c>
      <c r="CM125" s="11">
        <v>654</v>
      </c>
      <c r="CN125" s="15">
        <v>0.06457983608176163</v>
      </c>
      <c r="CO125" s="57"/>
      <c r="CP125" s="56"/>
      <c r="CQ125" s="57"/>
    </row>
    <row r="126" spans="1:95" ht="12.75">
      <c r="A126" s="9"/>
      <c r="B126" s="9"/>
      <c r="C126" s="9"/>
      <c r="D126" s="10"/>
      <c r="E126" s="10"/>
      <c r="F126" s="11"/>
      <c r="G126" s="10"/>
      <c r="H126" s="10"/>
      <c r="I126" s="10"/>
      <c r="J126" s="10"/>
      <c r="K126" s="11"/>
      <c r="L126" s="10"/>
      <c r="M126" s="64"/>
      <c r="N126" s="56"/>
      <c r="O126" s="64"/>
      <c r="P126" s="10"/>
      <c r="Q126" s="10"/>
      <c r="R126" s="10"/>
      <c r="S126" s="11"/>
      <c r="T126" s="10"/>
      <c r="U126" s="64"/>
      <c r="V126" s="56"/>
      <c r="W126" s="64"/>
      <c r="X126" s="10"/>
      <c r="Y126" s="10"/>
      <c r="Z126" s="10"/>
      <c r="AA126" s="11"/>
      <c r="AB126" s="10"/>
      <c r="AC126" s="64"/>
      <c r="AD126" s="56"/>
      <c r="AE126" s="64"/>
      <c r="AF126" s="10"/>
      <c r="AG126" s="10"/>
      <c r="AH126" s="10"/>
      <c r="AI126" s="11"/>
      <c r="AJ126" s="10"/>
      <c r="AK126" s="64"/>
      <c r="AL126" s="56"/>
      <c r="AM126" s="64"/>
      <c r="AN126" s="10"/>
      <c r="AO126" s="10"/>
      <c r="AP126" s="11"/>
      <c r="AQ126" s="10"/>
      <c r="AR126" s="64"/>
      <c r="AS126" s="56"/>
      <c r="AT126" s="64"/>
      <c r="AU126" s="10"/>
      <c r="AV126" s="10"/>
      <c r="AW126" s="11"/>
      <c r="AX126" s="10"/>
      <c r="AY126" s="64"/>
      <c r="AZ126" s="56"/>
      <c r="BA126" s="64"/>
      <c r="BB126" s="10"/>
      <c r="BC126" s="10"/>
      <c r="BD126" s="11"/>
      <c r="BE126" s="10"/>
      <c r="BF126" s="64"/>
      <c r="BG126" s="56"/>
      <c r="BH126" s="64"/>
      <c r="BI126" s="10"/>
      <c r="BJ126" s="10"/>
      <c r="BK126" s="11"/>
      <c r="BL126" s="10"/>
      <c r="BM126" s="64"/>
      <c r="BN126" s="56"/>
      <c r="BO126" s="64"/>
      <c r="BP126" s="10"/>
      <c r="BQ126" s="10"/>
      <c r="BR126" s="11"/>
      <c r="BS126" s="10"/>
      <c r="BT126" s="64"/>
      <c r="BU126" s="56"/>
      <c r="BV126" s="64"/>
      <c r="BW126" s="10"/>
      <c r="BX126" s="10"/>
      <c r="BY126" s="11"/>
      <c r="BZ126" s="10"/>
      <c r="CA126" s="64"/>
      <c r="CB126" s="56"/>
      <c r="CC126" s="64"/>
      <c r="CD126" s="10"/>
      <c r="CE126" s="10"/>
      <c r="CF126" s="11"/>
      <c r="CG126" s="10"/>
      <c r="CH126" s="64"/>
      <c r="CI126" s="56"/>
      <c r="CJ126" s="64"/>
      <c r="CK126" s="10"/>
      <c r="CL126" s="10"/>
      <c r="CM126" s="11"/>
      <c r="CN126" s="10"/>
      <c r="CO126" s="64"/>
      <c r="CP126" s="56"/>
      <c r="CQ126" s="64"/>
    </row>
    <row r="127" spans="1:95" s="1" customFormat="1" ht="13.5" thickBot="1">
      <c r="A127" s="9"/>
      <c r="B127" s="13"/>
      <c r="C127" s="13"/>
      <c r="D127" s="22">
        <f>SUM(D123:D125)</f>
        <v>38688479.41999992</v>
      </c>
      <c r="E127" s="21"/>
      <c r="F127" s="23">
        <f>SUM(F123:F125)</f>
        <v>8384</v>
      </c>
      <c r="G127" s="21"/>
      <c r="H127" s="21"/>
      <c r="I127" s="22">
        <f>SUM(I123:I125)</f>
        <v>31740366.30000012</v>
      </c>
      <c r="J127" s="21"/>
      <c r="K127" s="23">
        <f>SUM(K123:K125)</f>
        <v>7624</v>
      </c>
      <c r="L127" s="21"/>
      <c r="M127" s="31"/>
      <c r="N127" s="32"/>
      <c r="O127" s="31"/>
      <c r="P127" s="21"/>
      <c r="Q127" s="22">
        <f>SUM(Q123:Q125)</f>
        <v>34594264.55999997</v>
      </c>
      <c r="R127" s="21"/>
      <c r="S127" s="23">
        <f>SUM(S123:S125)</f>
        <v>7973</v>
      </c>
      <c r="T127" s="21"/>
      <c r="U127" s="31"/>
      <c r="V127" s="32"/>
      <c r="W127" s="31"/>
      <c r="X127" s="21"/>
      <c r="Y127" s="22">
        <f>SUM(Y123:Y125)</f>
        <v>31914557.320000045</v>
      </c>
      <c r="Z127" s="21"/>
      <c r="AA127" s="23">
        <f>SUM(AA123:AA125)</f>
        <v>7643</v>
      </c>
      <c r="AB127" s="21"/>
      <c r="AC127" s="31"/>
      <c r="AD127" s="32"/>
      <c r="AE127" s="31"/>
      <c r="AF127" s="21"/>
      <c r="AG127" s="22">
        <f>SUM(AG123:AG125)</f>
        <v>53903556.749999896</v>
      </c>
      <c r="AH127" s="21"/>
      <c r="AI127" s="23">
        <f>SUM(AI123:AI125)</f>
        <v>10705</v>
      </c>
      <c r="AJ127" s="21"/>
      <c r="AK127" s="31"/>
      <c r="AL127" s="32"/>
      <c r="AM127" s="31"/>
      <c r="AN127" s="22">
        <f>SUM(AN123:AN125)</f>
        <v>61371200.15</v>
      </c>
      <c r="AO127" s="21"/>
      <c r="AP127" s="23">
        <f>SUM(AP123:AP125)</f>
        <v>10786</v>
      </c>
      <c r="AQ127" s="21"/>
      <c r="AR127" s="31"/>
      <c r="AS127" s="32"/>
      <c r="AT127" s="31"/>
      <c r="AU127" s="22">
        <f>SUM(AU123:AU125)</f>
        <v>54692153.94999991</v>
      </c>
      <c r="AV127" s="21"/>
      <c r="AW127" s="23">
        <f>SUM(AW123:AW125)</f>
        <v>9985</v>
      </c>
      <c r="AX127" s="21"/>
      <c r="AY127" s="31"/>
      <c r="AZ127" s="32"/>
      <c r="BA127" s="31"/>
      <c r="BB127" s="22">
        <f>SUM(BB123:BB125)</f>
        <v>52181635.61000004</v>
      </c>
      <c r="BC127" s="21"/>
      <c r="BD127" s="23">
        <f>SUM(BD123:BD125)</f>
        <v>9852</v>
      </c>
      <c r="BE127" s="21"/>
      <c r="BF127" s="31"/>
      <c r="BG127" s="32"/>
      <c r="BH127" s="31"/>
      <c r="BI127" s="22">
        <f>SUM(BI123:BI125)</f>
        <v>45077921.779999964</v>
      </c>
      <c r="BJ127" s="21"/>
      <c r="BK127" s="23">
        <f>SUM(BK123:BK125)</f>
        <v>9017</v>
      </c>
      <c r="BL127" s="21"/>
      <c r="BM127" s="31"/>
      <c r="BN127" s="32"/>
      <c r="BO127" s="31"/>
      <c r="BP127" s="22">
        <f>SUM(BP123:BP125)</f>
        <v>41410165.239999965</v>
      </c>
      <c r="BQ127" s="21"/>
      <c r="BR127" s="23">
        <f>SUM(BR123:BR125)</f>
        <v>8499</v>
      </c>
      <c r="BS127" s="21"/>
      <c r="BT127" s="31"/>
      <c r="BU127" s="32"/>
      <c r="BV127" s="31"/>
      <c r="BW127" s="22">
        <f>SUM(BW123:BW125)</f>
        <v>36462629.290000044</v>
      </c>
      <c r="BX127" s="21"/>
      <c r="BY127" s="23">
        <f>SUM(BY123:BY125)</f>
        <v>7727</v>
      </c>
      <c r="BZ127" s="21"/>
      <c r="CA127" s="31"/>
      <c r="CB127" s="32"/>
      <c r="CC127" s="31"/>
      <c r="CD127" s="22">
        <f>SUM(CD123:CD125)</f>
        <v>31620174.05999998</v>
      </c>
      <c r="CE127" s="21"/>
      <c r="CF127" s="23">
        <f>SUM(CF123:CF125)</f>
        <v>6879</v>
      </c>
      <c r="CG127" s="21"/>
      <c r="CH127" s="31"/>
      <c r="CI127" s="32"/>
      <c r="CJ127" s="31"/>
      <c r="CK127" s="22">
        <f>SUM(CK123:CK125)</f>
        <v>43691802.57000001</v>
      </c>
      <c r="CL127" s="21"/>
      <c r="CM127" s="23">
        <f>SUM(CM123:CM125)</f>
        <v>10127</v>
      </c>
      <c r="CN127" s="21"/>
      <c r="CO127" s="31"/>
      <c r="CP127" s="32"/>
      <c r="CQ127" s="31"/>
    </row>
    <row r="128" spans="1:95" ht="13.5" thickTop="1">
      <c r="A128" s="40"/>
      <c r="B128" s="35"/>
      <c r="C128" s="35"/>
      <c r="D128" s="36"/>
      <c r="E128" s="36"/>
      <c r="F128" s="37"/>
      <c r="G128" s="36"/>
      <c r="H128" s="36"/>
      <c r="I128" s="9"/>
      <c r="J128" s="9"/>
      <c r="K128" s="9"/>
      <c r="L128" s="9"/>
      <c r="M128" s="9"/>
      <c r="N128" s="9"/>
      <c r="O128" s="9"/>
      <c r="P128" s="36"/>
      <c r="Q128" s="9"/>
      <c r="R128" s="9"/>
      <c r="S128" s="9"/>
      <c r="T128" s="9"/>
      <c r="U128" s="9"/>
      <c r="V128" s="9"/>
      <c r="W128" s="9"/>
      <c r="X128" s="36"/>
      <c r="Y128" s="9"/>
      <c r="Z128" s="9"/>
      <c r="AA128" s="9"/>
      <c r="AB128" s="9"/>
      <c r="AC128" s="9"/>
      <c r="AD128" s="9"/>
      <c r="AE128" s="9"/>
      <c r="AF128" s="36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</row>
    <row r="129" spans="1:95" ht="12.75">
      <c r="A129" s="13" t="s">
        <v>100</v>
      </c>
      <c r="B129" s="35"/>
      <c r="C129" s="35"/>
      <c r="D129" s="36"/>
      <c r="E129" s="35"/>
      <c r="F129" s="37"/>
      <c r="G129" s="35"/>
      <c r="H129" s="35"/>
      <c r="I129" s="55"/>
      <c r="J129" s="55"/>
      <c r="K129" s="55"/>
      <c r="L129" s="64"/>
      <c r="M129" s="57"/>
      <c r="N129" s="56"/>
      <c r="O129" s="57"/>
      <c r="P129" s="35"/>
      <c r="Q129" s="55"/>
      <c r="R129" s="55"/>
      <c r="S129" s="55"/>
      <c r="T129" s="64"/>
      <c r="U129" s="57"/>
      <c r="V129" s="56"/>
      <c r="W129" s="57"/>
      <c r="X129" s="35"/>
      <c r="Y129" s="55"/>
      <c r="Z129" s="55"/>
      <c r="AA129" s="55"/>
      <c r="AB129" s="64"/>
      <c r="AC129" s="57"/>
      <c r="AD129" s="56"/>
      <c r="AE129" s="57"/>
      <c r="AF129" s="35"/>
      <c r="AG129" s="55"/>
      <c r="AH129" s="55"/>
      <c r="AI129" s="55"/>
      <c r="AJ129" s="64"/>
      <c r="AK129" s="57"/>
      <c r="AL129" s="56"/>
      <c r="AM129" s="57"/>
      <c r="AN129" s="55"/>
      <c r="AO129" s="55"/>
      <c r="AP129" s="55"/>
      <c r="AQ129" s="64"/>
      <c r="AR129" s="57"/>
      <c r="AS129" s="56"/>
      <c r="AT129" s="57"/>
      <c r="AU129" s="55"/>
      <c r="AV129" s="55"/>
      <c r="AW129" s="55"/>
      <c r="AX129" s="64"/>
      <c r="AY129" s="57"/>
      <c r="AZ129" s="56"/>
      <c r="BA129" s="57"/>
      <c r="BB129" s="55"/>
      <c r="BC129" s="55"/>
      <c r="BD129" s="55"/>
      <c r="BE129" s="64"/>
      <c r="BF129" s="57"/>
      <c r="BG129" s="56"/>
      <c r="BH129" s="57"/>
      <c r="BI129" s="55"/>
      <c r="BJ129" s="55"/>
      <c r="BK129" s="55"/>
      <c r="BL129" s="64"/>
      <c r="BM129" s="57"/>
      <c r="BN129" s="56"/>
      <c r="BO129" s="57"/>
      <c r="BP129" s="55"/>
      <c r="BQ129" s="55"/>
      <c r="BR129" s="55"/>
      <c r="BS129" s="64"/>
      <c r="BT129" s="57"/>
      <c r="BU129" s="56"/>
      <c r="BV129" s="57"/>
      <c r="BW129" s="55"/>
      <c r="BX129" s="55"/>
      <c r="BY129" s="55"/>
      <c r="BZ129" s="64"/>
      <c r="CA129" s="57"/>
      <c r="CB129" s="56"/>
      <c r="CC129" s="57"/>
      <c r="CD129" s="55"/>
      <c r="CE129" s="55"/>
      <c r="CF129" s="55"/>
      <c r="CG129" s="64"/>
      <c r="CH129" s="57"/>
      <c r="CI129" s="56"/>
      <c r="CJ129" s="57"/>
      <c r="CK129" s="55"/>
      <c r="CL129" s="55"/>
      <c r="CM129" s="55"/>
      <c r="CN129" s="64"/>
      <c r="CO129" s="57"/>
      <c r="CP129" s="56"/>
      <c r="CQ129" s="57"/>
    </row>
    <row r="130" spans="1:95" s="1" customFormat="1" ht="12.75">
      <c r="A130" s="13" t="s">
        <v>131</v>
      </c>
      <c r="B130" s="35"/>
      <c r="C130" s="35"/>
      <c r="D130" s="36"/>
      <c r="E130" s="35"/>
      <c r="F130" s="37"/>
      <c r="G130" s="35"/>
      <c r="H130" s="35"/>
      <c r="I130" s="55"/>
      <c r="J130" s="55"/>
      <c r="K130" s="55"/>
      <c r="L130" s="64"/>
      <c r="M130" s="55"/>
      <c r="N130" s="56"/>
      <c r="O130" s="55"/>
      <c r="P130" s="35"/>
      <c r="Q130" s="55"/>
      <c r="R130" s="55"/>
      <c r="S130" s="55"/>
      <c r="T130" s="64"/>
      <c r="U130" s="55"/>
      <c r="V130" s="56"/>
      <c r="W130" s="55"/>
      <c r="X130" s="35"/>
      <c r="Y130" s="55"/>
      <c r="Z130" s="55"/>
      <c r="AA130" s="55"/>
      <c r="AB130" s="64"/>
      <c r="AC130" s="55"/>
      <c r="AD130" s="56"/>
      <c r="AE130" s="55"/>
      <c r="AF130" s="35"/>
      <c r="AG130" s="55"/>
      <c r="AH130" s="55"/>
      <c r="AI130" s="55"/>
      <c r="AJ130" s="64"/>
      <c r="AK130" s="55"/>
      <c r="AL130" s="56"/>
      <c r="AM130" s="55"/>
      <c r="AN130" s="55"/>
      <c r="AO130" s="55"/>
      <c r="AP130" s="55"/>
      <c r="AQ130" s="64"/>
      <c r="AR130" s="55"/>
      <c r="AS130" s="56"/>
      <c r="AT130" s="55"/>
      <c r="AU130" s="55"/>
      <c r="AV130" s="55"/>
      <c r="AW130" s="55"/>
      <c r="AX130" s="64"/>
      <c r="AY130" s="55"/>
      <c r="AZ130" s="56"/>
      <c r="BA130" s="55"/>
      <c r="BB130" s="55"/>
      <c r="BC130" s="55"/>
      <c r="BD130" s="55"/>
      <c r="BE130" s="64"/>
      <c r="BF130" s="55"/>
      <c r="BG130" s="56"/>
      <c r="BH130" s="55"/>
      <c r="BI130" s="55"/>
      <c r="BJ130" s="55"/>
      <c r="BK130" s="55"/>
      <c r="BL130" s="64"/>
      <c r="BM130" s="55"/>
      <c r="BN130" s="56"/>
      <c r="BO130" s="55"/>
      <c r="BP130" s="55"/>
      <c r="BQ130" s="55"/>
      <c r="BR130" s="55"/>
      <c r="BS130" s="64"/>
      <c r="BT130" s="55"/>
      <c r="BU130" s="56"/>
      <c r="BV130" s="55"/>
      <c r="BW130" s="55"/>
      <c r="BX130" s="55"/>
      <c r="BY130" s="55"/>
      <c r="BZ130" s="64"/>
      <c r="CA130" s="55"/>
      <c r="CB130" s="56"/>
      <c r="CC130" s="55"/>
      <c r="CD130" s="55"/>
      <c r="CE130" s="55"/>
      <c r="CF130" s="55"/>
      <c r="CG130" s="64"/>
      <c r="CH130" s="55"/>
      <c r="CI130" s="56"/>
      <c r="CJ130" s="55"/>
      <c r="CK130" s="55"/>
      <c r="CL130" s="55"/>
      <c r="CM130" s="55"/>
      <c r="CN130" s="64"/>
      <c r="CO130" s="55"/>
      <c r="CP130" s="56"/>
      <c r="CQ130" s="55"/>
    </row>
    <row r="131" spans="1:95" ht="12.75">
      <c r="A131" s="40"/>
      <c r="B131" s="35"/>
      <c r="C131" s="35"/>
      <c r="D131" s="36"/>
      <c r="E131" s="35"/>
      <c r="F131" s="37"/>
      <c r="G131" s="35"/>
      <c r="H131" s="35"/>
      <c r="I131" s="55"/>
      <c r="J131" s="54"/>
      <c r="K131" s="54"/>
      <c r="L131" s="31"/>
      <c r="M131" s="54"/>
      <c r="N131" s="32"/>
      <c r="O131" s="58"/>
      <c r="P131" s="35"/>
      <c r="Q131" s="55"/>
      <c r="R131" s="54"/>
      <c r="S131" s="54"/>
      <c r="T131" s="31"/>
      <c r="U131" s="54"/>
      <c r="V131" s="32"/>
      <c r="W131" s="58"/>
      <c r="X131" s="35"/>
      <c r="Y131" s="55"/>
      <c r="Z131" s="54"/>
      <c r="AA131" s="54"/>
      <c r="AB131" s="31"/>
      <c r="AC131" s="54"/>
      <c r="AD131" s="32"/>
      <c r="AE131" s="58"/>
      <c r="AF131" s="35"/>
      <c r="AG131" s="55"/>
      <c r="AH131" s="54"/>
      <c r="AI131" s="54"/>
      <c r="AJ131" s="31"/>
      <c r="AK131" s="54"/>
      <c r="AL131" s="32"/>
      <c r="AM131" s="58"/>
      <c r="AN131" s="55"/>
      <c r="AO131" s="54"/>
      <c r="AP131" s="54"/>
      <c r="AQ131" s="31"/>
      <c r="AR131" s="54"/>
      <c r="AS131" s="32"/>
      <c r="AT131" s="58"/>
      <c r="AU131" s="55"/>
      <c r="AV131" s="54"/>
      <c r="AW131" s="54"/>
      <c r="AX131" s="31"/>
      <c r="AY131" s="54"/>
      <c r="AZ131" s="32"/>
      <c r="BA131" s="58"/>
      <c r="BB131" s="55"/>
      <c r="BC131" s="54"/>
      <c r="BD131" s="54"/>
      <c r="BE131" s="31"/>
      <c r="BF131" s="54"/>
      <c r="BG131" s="32"/>
      <c r="BH131" s="58"/>
      <c r="BI131" s="55"/>
      <c r="BJ131" s="54"/>
      <c r="BK131" s="54"/>
      <c r="BL131" s="31"/>
      <c r="BM131" s="54"/>
      <c r="BN131" s="32"/>
      <c r="BO131" s="58"/>
      <c r="BP131" s="55"/>
      <c r="BQ131" s="54"/>
      <c r="BR131" s="54"/>
      <c r="BS131" s="31"/>
      <c r="BT131" s="54"/>
      <c r="BU131" s="32"/>
      <c r="BV131" s="58"/>
      <c r="BW131" s="55"/>
      <c r="BX131" s="54"/>
      <c r="BY131" s="54"/>
      <c r="BZ131" s="31"/>
      <c r="CA131" s="54"/>
      <c r="CB131" s="32"/>
      <c r="CC131" s="58"/>
      <c r="CD131" s="55"/>
      <c r="CE131" s="54"/>
      <c r="CF131" s="54"/>
      <c r="CG131" s="31"/>
      <c r="CH131" s="54"/>
      <c r="CI131" s="32"/>
      <c r="CJ131" s="58"/>
      <c r="CK131" s="55"/>
      <c r="CL131" s="54"/>
      <c r="CM131" s="54"/>
      <c r="CN131" s="31"/>
      <c r="CO131" s="54"/>
      <c r="CP131" s="32"/>
      <c r="CQ131" s="58"/>
    </row>
    <row r="132" spans="4:15" ht="12.75">
      <c r="D132" s="2"/>
      <c r="I132" s="61"/>
      <c r="J132" s="50"/>
      <c r="K132" s="50"/>
      <c r="L132" s="51"/>
      <c r="M132" s="50"/>
      <c r="N132" s="52"/>
      <c r="O132" s="50"/>
    </row>
    <row r="133" spans="4:15" ht="12.75">
      <c r="D133" s="2"/>
      <c r="I133" s="50"/>
      <c r="J133" s="50"/>
      <c r="K133" s="50"/>
      <c r="L133" s="51"/>
      <c r="M133" s="50"/>
      <c r="N133" s="52"/>
      <c r="O133" s="50"/>
    </row>
    <row r="134" spans="4:14" ht="12.75">
      <c r="D134" s="2"/>
      <c r="L134" s="2"/>
      <c r="N134" s="3"/>
    </row>
    <row r="135" spans="4:15" ht="12.75">
      <c r="D135" s="2"/>
      <c r="I135" s="60"/>
      <c r="J135" s="50"/>
      <c r="K135" s="50"/>
      <c r="L135" s="51"/>
      <c r="M135" s="50"/>
      <c r="N135" s="52"/>
      <c r="O135" s="50"/>
    </row>
    <row r="136" spans="4:15" ht="12.75">
      <c r="D136" s="2"/>
      <c r="I136" s="60"/>
      <c r="J136" s="50"/>
      <c r="K136" s="50"/>
      <c r="L136" s="51"/>
      <c r="M136" s="50"/>
      <c r="N136" s="52"/>
      <c r="O136" s="50"/>
    </row>
    <row r="137" spans="4:15" ht="12.75">
      <c r="D137" s="2"/>
      <c r="I137" s="50"/>
      <c r="J137" s="61"/>
      <c r="K137" s="61"/>
      <c r="L137" s="48"/>
      <c r="M137" s="61"/>
      <c r="N137" s="49"/>
      <c r="O137" s="61"/>
    </row>
    <row r="138" spans="4:15" ht="12.75">
      <c r="D138" s="2"/>
      <c r="I138" s="61"/>
      <c r="J138" s="50"/>
      <c r="K138" s="50"/>
      <c r="L138" s="51"/>
      <c r="M138" s="50"/>
      <c r="N138" s="52"/>
      <c r="O138" s="50"/>
    </row>
    <row r="139" spans="4:15" ht="12.75">
      <c r="D139" s="2"/>
      <c r="I139" s="50"/>
      <c r="J139" s="50"/>
      <c r="K139" s="50"/>
      <c r="L139" s="51"/>
      <c r="M139" s="62"/>
      <c r="N139" s="52"/>
      <c r="O139" s="62"/>
    </row>
    <row r="140" spans="4:15" ht="12.75">
      <c r="D140" s="2"/>
      <c r="I140" s="50"/>
      <c r="J140" s="50"/>
      <c r="K140" s="50"/>
      <c r="L140" s="51"/>
      <c r="M140" s="62"/>
      <c r="N140" s="52"/>
      <c r="O140" s="62"/>
    </row>
    <row r="141" spans="4:15" ht="12.75">
      <c r="D141" s="2"/>
      <c r="I141" s="50"/>
      <c r="J141" s="50"/>
      <c r="K141" s="50"/>
      <c r="L141" s="51"/>
      <c r="M141" s="62"/>
      <c r="N141" s="52"/>
      <c r="O141" s="62"/>
    </row>
    <row r="142" spans="4:15" ht="12.75">
      <c r="D142" s="2"/>
      <c r="I142" s="50"/>
      <c r="J142" s="50"/>
      <c r="K142" s="50"/>
      <c r="L142" s="51"/>
      <c r="M142" s="51"/>
      <c r="N142" s="52"/>
      <c r="O142" s="51"/>
    </row>
    <row r="143" spans="4:15" ht="12.75">
      <c r="D143" s="2"/>
      <c r="I143" s="50"/>
      <c r="J143" s="61"/>
      <c r="K143" s="61"/>
      <c r="L143" s="48"/>
      <c r="M143" s="48"/>
      <c r="N143" s="49"/>
      <c r="O143" s="48"/>
    </row>
    <row r="144" spans="4:15" ht="12.75">
      <c r="D144" s="2"/>
      <c r="I144" s="50"/>
      <c r="J144" s="50"/>
      <c r="K144" s="50"/>
      <c r="L144" s="50"/>
      <c r="M144" s="50"/>
      <c r="N144" s="50"/>
      <c r="O144" s="50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</sheetData>
  <mergeCells count="26">
    <mergeCell ref="CD1:CJ1"/>
    <mergeCell ref="CD3:CJ3"/>
    <mergeCell ref="Y1:AE1"/>
    <mergeCell ref="Y3:AE3"/>
    <mergeCell ref="AN1:AT1"/>
    <mergeCell ref="AN3:AT3"/>
    <mergeCell ref="AG1:AM1"/>
    <mergeCell ref="AG3:AM3"/>
    <mergeCell ref="BW1:CC1"/>
    <mergeCell ref="BW3:CC3"/>
    <mergeCell ref="Q1:W1"/>
    <mergeCell ref="Q3:W3"/>
    <mergeCell ref="A3:G3"/>
    <mergeCell ref="A1:G1"/>
    <mergeCell ref="I1:O1"/>
    <mergeCell ref="I3:O3"/>
    <mergeCell ref="CK1:CQ1"/>
    <mergeCell ref="CK3:CQ3"/>
    <mergeCell ref="AU1:BA1"/>
    <mergeCell ref="AU3:BA3"/>
    <mergeCell ref="BP1:BV1"/>
    <mergeCell ref="BP3:BV3"/>
    <mergeCell ref="BI1:BO1"/>
    <mergeCell ref="BI3:BO3"/>
    <mergeCell ref="BB1:BH1"/>
    <mergeCell ref="BB3:BH3"/>
  </mergeCells>
  <hyperlinks>
    <hyperlink ref="AN123" r:id="rId1" display="..\..\..\..\SHARED\BA\secsupp\secplscf\ppaf2\PPAF2 INVESTOR REPORT - MAR 03.XLS#PCF!D139"/>
    <hyperlink ref="AU123" r:id="rId2" display="..\..\..\..\SHARED\BA\secsupp\secplscf\ppaf2\PPAF2 INVESTOR REPORT - MAR 03.XLS#PCF!D139"/>
    <hyperlink ref="BB123" r:id="rId3" display="..\..\..\..\SHARED\BA\secsupp\secplscf\ppaf2\PPAF2 INVESTOR REPORT - MAR 03.XLS#PCF!D139"/>
    <hyperlink ref="BI123" r:id="rId4" display="..\..\..\..\SHARED\BA\secsupp\secplscf\ppaf2\PPAF2 INVESTOR REPORT - MAR 03.XLS#PCF!D139"/>
    <hyperlink ref="BP123" r:id="rId5" display="..\..\..\..\SHARED\BA\secsupp\secplscf\ppaf2\PPAF2 INVESTOR REPORT - MAR 03.XLS#PCF!D139"/>
    <hyperlink ref="BW123" r:id="rId6" display="..\..\..\..\SHARED\BA\secsupp\secplscf\ppaf2\PPAF2 INVESTOR REPORT - MAR 03.XLS#PCF!D139"/>
    <hyperlink ref="CD123" r:id="rId7" display="..\..\..\..\SHARED\BA\secsupp\secplscf\ppaf2\PPAF2 INVESTOR REPORT - MAR 03.XLS#PCF!D139"/>
    <hyperlink ref="CK123" r:id="rId8" display="..\..\..\..\SHARED\BA\secsupp\secplscf\ppaf2\PPAF2 INVESTOR REPORT - MAR 03.XLS#PCF!D139"/>
  </hyperlink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10" r:id="rId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106"/>
  <sheetViews>
    <sheetView view="pageBreakPreview" zoomScale="60" workbookViewId="0" topLeftCell="CF1">
      <selection activeCell="CL1" sqref="CL1:CR1"/>
    </sheetView>
  </sheetViews>
  <sheetFormatPr defaultColWidth="9.140625" defaultRowHeight="12.75"/>
  <cols>
    <col min="1" max="1" width="22.00390625" style="0" customWidth="1"/>
    <col min="3" max="3" width="26.57421875" style="0" customWidth="1"/>
    <col min="4" max="4" width="13.140625" style="0" customWidth="1"/>
    <col min="5" max="5" width="11.140625" style="0" bestFit="1" customWidth="1"/>
    <col min="6" max="6" width="10.421875" style="0" bestFit="1" customWidth="1"/>
    <col min="7" max="7" width="25.28125" style="0" customWidth="1"/>
    <col min="8" max="8" width="14.00390625" style="0" bestFit="1" customWidth="1"/>
    <col min="9" max="9" width="30.421875" style="0" customWidth="1"/>
    <col min="10" max="10" width="13.00390625" style="0" customWidth="1"/>
    <col min="11" max="11" width="14.57421875" style="0" customWidth="1"/>
    <col min="12" max="12" width="12.28125" style="0" customWidth="1"/>
    <col min="13" max="13" width="21.8515625" style="0" bestFit="1" customWidth="1"/>
    <col min="14" max="14" width="13.7109375" style="0" customWidth="1"/>
    <col min="15" max="15" width="12.7109375" style="0" customWidth="1"/>
    <col min="16" max="16" width="0.13671875" style="0" customWidth="1"/>
    <col min="18" max="18" width="28.421875" style="0" customWidth="1"/>
    <col min="19" max="19" width="22.28125" style="0" bestFit="1" customWidth="1"/>
    <col min="20" max="20" width="13.8515625" style="0" customWidth="1"/>
    <col min="21" max="21" width="15.140625" style="0" bestFit="1" customWidth="1"/>
    <col min="22" max="22" width="17.57421875" style="0" bestFit="1" customWidth="1"/>
    <col min="23" max="23" width="18.421875" style="0" bestFit="1" customWidth="1"/>
    <col min="24" max="24" width="14.00390625" style="0" bestFit="1" customWidth="1"/>
    <col min="25" max="25" width="16.140625" style="0" bestFit="1" customWidth="1"/>
    <col min="26" max="26" width="32.8515625" style="0" customWidth="1"/>
    <col min="27" max="27" width="16.57421875" style="0" customWidth="1"/>
    <col min="28" max="28" width="17.57421875" style="0" customWidth="1"/>
    <col min="29" max="29" width="13.8515625" style="0" customWidth="1"/>
    <col min="31" max="31" width="13.421875" style="0" customWidth="1"/>
    <col min="34" max="34" width="37.57421875" style="0" customWidth="1"/>
    <col min="35" max="35" width="20.28125" style="0" customWidth="1"/>
    <col min="36" max="36" width="20.00390625" style="0" customWidth="1"/>
    <col min="37" max="37" width="13.421875" style="0" bestFit="1" customWidth="1"/>
    <col min="38" max="38" width="12.28125" style="0" bestFit="1" customWidth="1"/>
    <col min="41" max="41" width="28.28125" style="0" customWidth="1"/>
    <col min="42" max="42" width="17.28125" style="0" customWidth="1"/>
    <col min="43" max="43" width="22.28125" style="0" customWidth="1"/>
    <col min="44" max="44" width="15.8515625" style="0" customWidth="1"/>
    <col min="46" max="46" width="11.8515625" style="0" bestFit="1" customWidth="1"/>
    <col min="47" max="47" width="18.28125" style="0" bestFit="1" customWidth="1"/>
    <col min="48" max="48" width="33.8515625" style="0" customWidth="1"/>
    <col min="49" max="49" width="27.421875" style="0" customWidth="1"/>
    <col min="50" max="50" width="20.140625" style="2" customWidth="1"/>
    <col min="51" max="51" width="19.421875" style="0" customWidth="1"/>
    <col min="52" max="52" width="4.421875" style="0" customWidth="1"/>
    <col min="53" max="53" width="21.8515625" style="0" bestFit="1" customWidth="1"/>
    <col min="55" max="55" width="33.7109375" style="0" customWidth="1"/>
    <col min="56" max="56" width="17.57421875" style="0" bestFit="1" customWidth="1"/>
    <col min="57" max="57" width="12.28125" style="0" bestFit="1" customWidth="1"/>
    <col min="58" max="58" width="13.421875" style="0" bestFit="1" customWidth="1"/>
    <col min="59" max="59" width="17.7109375" style="0" bestFit="1" customWidth="1"/>
    <col min="61" max="61" width="13.421875" style="0" customWidth="1"/>
    <col min="62" max="62" width="28.57421875" style="0" customWidth="1"/>
    <col min="63" max="63" width="17.7109375" style="0" customWidth="1"/>
    <col min="64" max="64" width="27.28125" style="0" customWidth="1"/>
    <col min="65" max="65" width="16.28125" style="0" customWidth="1"/>
    <col min="69" max="69" width="34.28125" style="0" customWidth="1"/>
    <col min="70" max="70" width="15.28125" style="0" customWidth="1"/>
    <col min="71" max="71" width="18.140625" style="0" customWidth="1"/>
    <col min="72" max="72" width="17.00390625" style="0" customWidth="1"/>
    <col min="76" max="76" width="40.00390625" style="0" customWidth="1"/>
    <col min="77" max="77" width="19.7109375" style="0" customWidth="1"/>
    <col min="78" max="78" width="17.7109375" style="0" customWidth="1"/>
    <col min="79" max="79" width="16.28125" style="0" customWidth="1"/>
    <col min="80" max="80" width="11.00390625" style="0" customWidth="1"/>
    <col min="83" max="83" width="32.00390625" style="0" customWidth="1"/>
    <col min="84" max="84" width="17.7109375" style="0" customWidth="1"/>
    <col min="85" max="85" width="23.7109375" style="0" customWidth="1"/>
    <col min="86" max="86" width="13.421875" style="0" bestFit="1" customWidth="1"/>
    <col min="90" max="90" width="36.140625" style="0" customWidth="1"/>
    <col min="91" max="91" width="14.57421875" style="0" customWidth="1"/>
    <col min="92" max="92" width="16.28125" style="0" customWidth="1"/>
    <col min="93" max="93" width="18.28125" style="0" customWidth="1"/>
    <col min="94" max="94" width="22.421875" style="0" customWidth="1"/>
  </cols>
  <sheetData>
    <row r="1" spans="1:96" ht="33.75">
      <c r="A1" s="107" t="s">
        <v>126</v>
      </c>
      <c r="B1" s="107"/>
      <c r="C1" s="107"/>
      <c r="D1" s="107"/>
      <c r="E1" s="107"/>
      <c r="F1" s="107"/>
      <c r="G1" s="107"/>
      <c r="H1" s="8"/>
      <c r="I1" s="107" t="s">
        <v>126</v>
      </c>
      <c r="J1" s="107"/>
      <c r="K1" s="107"/>
      <c r="L1" s="107"/>
      <c r="M1" s="107"/>
      <c r="N1" s="107"/>
      <c r="O1" s="107"/>
      <c r="P1" s="8"/>
      <c r="Q1" s="8"/>
      <c r="R1" s="107" t="s">
        <v>126</v>
      </c>
      <c r="S1" s="107"/>
      <c r="T1" s="107"/>
      <c r="U1" s="107"/>
      <c r="V1" s="107"/>
      <c r="W1" s="107"/>
      <c r="X1" s="107"/>
      <c r="Y1" s="8"/>
      <c r="Z1" s="107" t="s">
        <v>126</v>
      </c>
      <c r="AA1" s="107"/>
      <c r="AB1" s="107"/>
      <c r="AC1" s="107"/>
      <c r="AD1" s="107"/>
      <c r="AE1" s="107"/>
      <c r="AF1" s="107"/>
      <c r="AG1" s="8"/>
      <c r="AH1" s="107" t="s">
        <v>126</v>
      </c>
      <c r="AI1" s="107"/>
      <c r="AJ1" s="107"/>
      <c r="AK1" s="107"/>
      <c r="AL1" s="107"/>
      <c r="AM1" s="107"/>
      <c r="AN1" s="107"/>
      <c r="AO1" s="107" t="s">
        <v>126</v>
      </c>
      <c r="AP1" s="107"/>
      <c r="AQ1" s="107"/>
      <c r="AR1" s="107"/>
      <c r="AS1" s="107"/>
      <c r="AT1" s="107"/>
      <c r="AU1" s="107"/>
      <c r="AV1" s="107" t="s">
        <v>126</v>
      </c>
      <c r="AW1" s="107"/>
      <c r="AX1" s="107"/>
      <c r="AY1" s="107"/>
      <c r="AZ1" s="107"/>
      <c r="BA1" s="107"/>
      <c r="BB1" s="107"/>
      <c r="BC1" s="107" t="s">
        <v>126</v>
      </c>
      <c r="BD1" s="107"/>
      <c r="BE1" s="107"/>
      <c r="BF1" s="107"/>
      <c r="BG1" s="107"/>
      <c r="BH1" s="107"/>
      <c r="BI1" s="107"/>
      <c r="BJ1" s="107" t="s">
        <v>126</v>
      </c>
      <c r="BK1" s="107"/>
      <c r="BL1" s="107"/>
      <c r="BM1" s="107"/>
      <c r="BN1" s="107"/>
      <c r="BO1" s="107"/>
      <c r="BP1" s="107"/>
      <c r="BQ1" s="107" t="s">
        <v>126</v>
      </c>
      <c r="BR1" s="107"/>
      <c r="BS1" s="107"/>
      <c r="BT1" s="107"/>
      <c r="BU1" s="107"/>
      <c r="BV1" s="107"/>
      <c r="BW1" s="107"/>
      <c r="BX1" s="107" t="s">
        <v>126</v>
      </c>
      <c r="BY1" s="107"/>
      <c r="BZ1" s="107"/>
      <c r="CA1" s="107"/>
      <c r="CB1" s="107"/>
      <c r="CC1" s="107"/>
      <c r="CD1" s="107"/>
      <c r="CE1" s="107" t="s">
        <v>126</v>
      </c>
      <c r="CF1" s="107"/>
      <c r="CG1" s="107"/>
      <c r="CH1" s="107"/>
      <c r="CI1" s="107"/>
      <c r="CJ1" s="107"/>
      <c r="CK1" s="107"/>
      <c r="CL1" s="107" t="s">
        <v>126</v>
      </c>
      <c r="CM1" s="107"/>
      <c r="CN1" s="107"/>
      <c r="CO1" s="107"/>
      <c r="CP1" s="107"/>
      <c r="CQ1" s="107"/>
      <c r="CR1" s="107"/>
    </row>
    <row r="2" spans="1:96" ht="12.75">
      <c r="A2" s="9"/>
      <c r="B2" s="9"/>
      <c r="C2" s="9"/>
      <c r="D2" s="9"/>
      <c r="E2" s="9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</row>
    <row r="3" spans="1:96" ht="12.75">
      <c r="A3" s="9"/>
      <c r="B3" s="9"/>
      <c r="C3" s="9"/>
      <c r="D3" s="9"/>
      <c r="E3" s="9"/>
      <c r="F3" s="1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</row>
    <row r="4" spans="1:96" ht="18">
      <c r="A4" s="108" t="s">
        <v>134</v>
      </c>
      <c r="B4" s="108"/>
      <c r="C4" s="108"/>
      <c r="D4" s="108"/>
      <c r="E4" s="108"/>
      <c r="F4" s="108"/>
      <c r="G4" s="108"/>
      <c r="H4" s="12"/>
      <c r="I4" s="108" t="s">
        <v>136</v>
      </c>
      <c r="J4" s="108"/>
      <c r="K4" s="108"/>
      <c r="L4" s="108"/>
      <c r="M4" s="108"/>
      <c r="N4" s="108"/>
      <c r="O4" s="108"/>
      <c r="P4" s="12"/>
      <c r="Q4" s="12"/>
      <c r="R4" s="108" t="s">
        <v>145</v>
      </c>
      <c r="S4" s="108"/>
      <c r="T4" s="108"/>
      <c r="U4" s="108"/>
      <c r="V4" s="108"/>
      <c r="W4" s="108"/>
      <c r="X4" s="108"/>
      <c r="Y4" s="12"/>
      <c r="Z4" s="108" t="s">
        <v>147</v>
      </c>
      <c r="AA4" s="108"/>
      <c r="AB4" s="108"/>
      <c r="AC4" s="108"/>
      <c r="AD4" s="108"/>
      <c r="AE4" s="108"/>
      <c r="AF4" s="108"/>
      <c r="AG4" s="12"/>
      <c r="AH4" s="108" t="s">
        <v>149</v>
      </c>
      <c r="AI4" s="108"/>
      <c r="AJ4" s="108"/>
      <c r="AK4" s="108"/>
      <c r="AL4" s="108"/>
      <c r="AM4" s="108"/>
      <c r="AN4" s="108"/>
      <c r="AO4" s="108" t="s">
        <v>151</v>
      </c>
      <c r="AP4" s="108"/>
      <c r="AQ4" s="108"/>
      <c r="AR4" s="108"/>
      <c r="AS4" s="108"/>
      <c r="AT4" s="108"/>
      <c r="AU4" s="108"/>
      <c r="AV4" s="108" t="s">
        <v>153</v>
      </c>
      <c r="AW4" s="108"/>
      <c r="AX4" s="108"/>
      <c r="AY4" s="108"/>
      <c r="AZ4" s="108"/>
      <c r="BA4" s="108"/>
      <c r="BB4" s="108"/>
      <c r="BC4" s="108" t="s">
        <v>155</v>
      </c>
      <c r="BD4" s="108"/>
      <c r="BE4" s="108"/>
      <c r="BF4" s="108"/>
      <c r="BG4" s="108"/>
      <c r="BH4" s="108"/>
      <c r="BI4" s="108"/>
      <c r="BJ4" s="108" t="s">
        <v>157</v>
      </c>
      <c r="BK4" s="108"/>
      <c r="BL4" s="108"/>
      <c r="BM4" s="108"/>
      <c r="BN4" s="108"/>
      <c r="BO4" s="108"/>
      <c r="BP4" s="108"/>
      <c r="BQ4" s="108" t="s">
        <v>159</v>
      </c>
      <c r="BR4" s="108"/>
      <c r="BS4" s="108"/>
      <c r="BT4" s="108"/>
      <c r="BU4" s="108"/>
      <c r="BV4" s="108"/>
      <c r="BW4" s="108"/>
      <c r="BX4" s="108" t="s">
        <v>161</v>
      </c>
      <c r="BY4" s="108"/>
      <c r="BZ4" s="108"/>
      <c r="CA4" s="108"/>
      <c r="CB4" s="108"/>
      <c r="CC4" s="108"/>
      <c r="CD4" s="108"/>
      <c r="CE4" s="108" t="s">
        <v>163</v>
      </c>
      <c r="CF4" s="108"/>
      <c r="CG4" s="108"/>
      <c r="CH4" s="108"/>
      <c r="CI4" s="108"/>
      <c r="CJ4" s="108"/>
      <c r="CK4" s="108"/>
      <c r="CL4" s="108" t="s">
        <v>165</v>
      </c>
      <c r="CM4" s="108"/>
      <c r="CN4" s="108"/>
      <c r="CO4" s="108"/>
      <c r="CP4" s="108"/>
      <c r="CQ4" s="108"/>
      <c r="CR4" s="108"/>
    </row>
    <row r="5" spans="1:96" ht="18">
      <c r="A5" s="12"/>
      <c r="B5" s="12"/>
      <c r="C5" s="12"/>
      <c r="D5" s="12"/>
      <c r="E5" s="12"/>
      <c r="F5" s="12"/>
      <c r="G5" s="12"/>
      <c r="H5" s="12"/>
      <c r="I5" s="9"/>
      <c r="J5" s="59" t="s">
        <v>135</v>
      </c>
      <c r="K5" s="9"/>
      <c r="L5" s="10"/>
      <c r="M5" s="9"/>
      <c r="N5" s="11"/>
      <c r="O5" s="9"/>
      <c r="P5" s="9"/>
      <c r="Q5" s="12"/>
      <c r="R5" s="9"/>
      <c r="S5" s="59" t="s">
        <v>146</v>
      </c>
      <c r="T5" s="9"/>
      <c r="U5" s="10"/>
      <c r="V5" s="9"/>
      <c r="W5" s="11"/>
      <c r="X5" s="9"/>
      <c r="Y5" s="12"/>
      <c r="Z5" s="9"/>
      <c r="AA5" s="59" t="s">
        <v>148</v>
      </c>
      <c r="AB5" s="9"/>
      <c r="AC5" s="10"/>
      <c r="AD5" s="9"/>
      <c r="AE5" s="11"/>
      <c r="AF5" s="9"/>
      <c r="AG5" s="9"/>
      <c r="AH5" s="9"/>
      <c r="AI5" s="59" t="s">
        <v>150</v>
      </c>
      <c r="AJ5" s="9"/>
      <c r="AK5" s="10"/>
      <c r="AL5" s="9"/>
      <c r="AM5" s="11"/>
      <c r="AN5" s="9"/>
      <c r="AO5" s="9"/>
      <c r="AP5" s="59" t="s">
        <v>152</v>
      </c>
      <c r="AQ5" s="9"/>
      <c r="AR5" s="10"/>
      <c r="AS5" s="9"/>
      <c r="AT5" s="11"/>
      <c r="AU5" s="9"/>
      <c r="AV5" s="9"/>
      <c r="AW5" s="59" t="s">
        <v>154</v>
      </c>
      <c r="AX5" s="9"/>
      <c r="AY5" s="10"/>
      <c r="AZ5" s="9"/>
      <c r="BA5" s="11"/>
      <c r="BB5" s="9"/>
      <c r="BC5" s="9"/>
      <c r="BD5" s="59" t="s">
        <v>156</v>
      </c>
      <c r="BE5" s="9"/>
      <c r="BF5" s="10"/>
      <c r="BG5" s="9"/>
      <c r="BH5" s="11"/>
      <c r="BI5" s="9"/>
      <c r="BJ5" s="9"/>
      <c r="BK5" s="59" t="s">
        <v>158</v>
      </c>
      <c r="BL5" s="9"/>
      <c r="BM5" s="10"/>
      <c r="BN5" s="9"/>
      <c r="BO5" s="11"/>
      <c r="BP5" s="9"/>
      <c r="BQ5" s="9"/>
      <c r="BR5" s="59" t="s">
        <v>160</v>
      </c>
      <c r="BS5" s="9"/>
      <c r="BT5" s="10"/>
      <c r="BU5" s="9"/>
      <c r="BV5" s="11"/>
      <c r="BW5" s="9"/>
      <c r="BX5" s="9"/>
      <c r="BY5" s="59" t="s">
        <v>162</v>
      </c>
      <c r="BZ5" s="9"/>
      <c r="CA5" s="10"/>
      <c r="CB5" s="9"/>
      <c r="CC5" s="11"/>
      <c r="CD5" s="9"/>
      <c r="CE5" s="9"/>
      <c r="CF5" s="59" t="s">
        <v>164</v>
      </c>
      <c r="CG5" s="9"/>
      <c r="CH5" s="10"/>
      <c r="CI5" s="9"/>
      <c r="CJ5" s="11"/>
      <c r="CK5" s="9"/>
      <c r="CL5" s="9"/>
      <c r="CM5" s="59" t="s">
        <v>166</v>
      </c>
      <c r="CN5" s="9"/>
      <c r="CO5" s="10"/>
      <c r="CP5" s="9"/>
      <c r="CQ5" s="11"/>
      <c r="CR5" s="9"/>
    </row>
    <row r="6" spans="1:96" ht="18">
      <c r="A6" s="12"/>
      <c r="B6" s="12"/>
      <c r="C6" s="12"/>
      <c r="D6" s="12"/>
      <c r="E6" s="12"/>
      <c r="F6" s="12"/>
      <c r="G6" s="12"/>
      <c r="H6" s="12"/>
      <c r="I6" s="9"/>
      <c r="J6" s="9"/>
      <c r="K6" s="9"/>
      <c r="L6" s="9"/>
      <c r="M6" s="9"/>
      <c r="N6" s="9"/>
      <c r="O6" s="9"/>
      <c r="P6" s="9"/>
      <c r="Q6" s="12"/>
      <c r="R6" s="9"/>
      <c r="S6" s="9"/>
      <c r="T6" s="9"/>
      <c r="U6" s="9"/>
      <c r="V6" s="9"/>
      <c r="W6" s="9"/>
      <c r="X6" s="9"/>
      <c r="Y6" s="1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</row>
    <row r="7" spans="1:96" ht="12.75">
      <c r="A7" s="20" t="s">
        <v>144</v>
      </c>
      <c r="B7" s="9"/>
      <c r="C7" s="9"/>
      <c r="D7" s="9"/>
      <c r="E7" s="9"/>
      <c r="F7" s="9"/>
      <c r="G7" s="9"/>
      <c r="H7" s="9"/>
      <c r="I7" s="20" t="s">
        <v>144</v>
      </c>
      <c r="J7" s="9"/>
      <c r="K7" s="9"/>
      <c r="L7" s="9"/>
      <c r="M7" s="9"/>
      <c r="N7" s="9"/>
      <c r="O7" s="9"/>
      <c r="P7" s="9"/>
      <c r="Q7" s="9"/>
      <c r="R7" s="20" t="s">
        <v>144</v>
      </c>
      <c r="S7" s="9"/>
      <c r="T7" s="9"/>
      <c r="U7" s="9"/>
      <c r="V7" s="9"/>
      <c r="W7" s="9"/>
      <c r="X7" s="9"/>
      <c r="Y7" s="9"/>
      <c r="Z7" s="20" t="s">
        <v>144</v>
      </c>
      <c r="AA7" s="9"/>
      <c r="AB7" s="9"/>
      <c r="AC7" s="9"/>
      <c r="AD7" s="9"/>
      <c r="AE7" s="9"/>
      <c r="AF7" s="9"/>
      <c r="AG7" s="9"/>
      <c r="AH7" s="20" t="s">
        <v>144</v>
      </c>
      <c r="AI7" s="9"/>
      <c r="AJ7" s="9"/>
      <c r="AK7" s="9"/>
      <c r="AL7" s="9"/>
      <c r="AM7" s="9"/>
      <c r="AN7" s="9"/>
      <c r="AO7" s="20" t="s">
        <v>144</v>
      </c>
      <c r="AP7" s="9"/>
      <c r="AQ7" s="9"/>
      <c r="AR7" s="9"/>
      <c r="AS7" s="9"/>
      <c r="AT7" s="9"/>
      <c r="AU7" s="9"/>
      <c r="AV7" s="20" t="s">
        <v>144</v>
      </c>
      <c r="AW7" s="9"/>
      <c r="AX7" s="9"/>
      <c r="AY7" s="9"/>
      <c r="AZ7" s="9"/>
      <c r="BA7" s="9"/>
      <c r="BB7" s="9"/>
      <c r="BC7" s="20" t="s">
        <v>144</v>
      </c>
      <c r="BD7" s="9"/>
      <c r="BE7" s="9"/>
      <c r="BF7" s="9"/>
      <c r="BG7" s="9"/>
      <c r="BH7" s="9"/>
      <c r="BI7" s="9"/>
      <c r="BJ7" s="20" t="s">
        <v>144</v>
      </c>
      <c r="BK7" s="9"/>
      <c r="BL7" s="9"/>
      <c r="BM7" s="9"/>
      <c r="BN7" s="9"/>
      <c r="BO7" s="9"/>
      <c r="BP7" s="9"/>
      <c r="BQ7" s="20" t="s">
        <v>144</v>
      </c>
      <c r="BR7" s="9"/>
      <c r="BS7" s="9"/>
      <c r="BT7" s="9"/>
      <c r="BU7" s="9"/>
      <c r="BV7" s="9"/>
      <c r="BW7" s="9"/>
      <c r="BX7" s="20" t="s">
        <v>144</v>
      </c>
      <c r="BY7" s="9"/>
      <c r="BZ7" s="9"/>
      <c r="CA7" s="9"/>
      <c r="CB7" s="9"/>
      <c r="CC7" s="9"/>
      <c r="CD7" s="9"/>
      <c r="CE7" s="20" t="s">
        <v>144</v>
      </c>
      <c r="CF7" s="9"/>
      <c r="CG7" s="9"/>
      <c r="CH7" s="9"/>
      <c r="CI7" s="9"/>
      <c r="CJ7" s="9"/>
      <c r="CK7" s="9"/>
      <c r="CL7" s="20" t="s">
        <v>144</v>
      </c>
      <c r="CM7" s="9"/>
      <c r="CN7" s="9"/>
      <c r="CO7" s="9"/>
      <c r="CP7" s="9"/>
      <c r="CQ7" s="9"/>
      <c r="CR7" s="9"/>
    </row>
    <row r="8" spans="1:9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</row>
    <row r="9" spans="1:96" ht="12.75">
      <c r="A9" s="9" t="s">
        <v>108</v>
      </c>
      <c r="B9" s="9"/>
      <c r="C9" s="9"/>
      <c r="D9" s="9"/>
      <c r="E9" s="9"/>
      <c r="F9" s="9"/>
      <c r="G9" s="9"/>
      <c r="H9" s="9"/>
      <c r="I9" s="9" t="s">
        <v>108</v>
      </c>
      <c r="J9" s="9"/>
      <c r="K9" s="9"/>
      <c r="L9" s="10"/>
      <c r="M9" s="9"/>
      <c r="N9" s="11"/>
      <c r="O9" s="9"/>
      <c r="P9" s="9"/>
      <c r="Q9" s="9"/>
      <c r="R9" s="9" t="s">
        <v>108</v>
      </c>
      <c r="S9" s="9"/>
      <c r="T9" s="9"/>
      <c r="U9" s="10"/>
      <c r="V9" s="9"/>
      <c r="W9" s="11"/>
      <c r="X9" s="9"/>
      <c r="Y9" s="9"/>
      <c r="Z9" s="9" t="s">
        <v>108</v>
      </c>
      <c r="AA9" s="9"/>
      <c r="AB9" s="9"/>
      <c r="AC9" s="10"/>
      <c r="AD9" s="9"/>
      <c r="AE9" s="11"/>
      <c r="AF9" s="9"/>
      <c r="AG9" s="9"/>
      <c r="AH9" s="9" t="s">
        <v>108</v>
      </c>
      <c r="AI9" s="9"/>
      <c r="AJ9" s="9"/>
      <c r="AK9" s="10"/>
      <c r="AL9" s="9"/>
      <c r="AM9" s="11"/>
      <c r="AN9" s="9"/>
      <c r="AO9" s="9" t="s">
        <v>108</v>
      </c>
      <c r="AP9" s="9"/>
      <c r="AQ9" s="9"/>
      <c r="AR9" s="10"/>
      <c r="AS9" s="9"/>
      <c r="AT9" s="11"/>
      <c r="AU9" s="9"/>
      <c r="AV9" s="9" t="s">
        <v>108</v>
      </c>
      <c r="AW9" s="9"/>
      <c r="AX9" s="9"/>
      <c r="AY9" s="10"/>
      <c r="AZ9" s="9"/>
      <c r="BA9" s="11"/>
      <c r="BB9" s="9"/>
      <c r="BC9" s="9" t="s">
        <v>108</v>
      </c>
      <c r="BD9" s="9"/>
      <c r="BE9" s="9"/>
      <c r="BF9" s="10"/>
      <c r="BG9" s="9"/>
      <c r="BH9" s="11"/>
      <c r="BI9" s="9"/>
      <c r="BJ9" s="9" t="s">
        <v>108</v>
      </c>
      <c r="BK9" s="9"/>
      <c r="BL9" s="9"/>
      <c r="BM9" s="10"/>
      <c r="BN9" s="9"/>
      <c r="BO9" s="11"/>
      <c r="BP9" s="9"/>
      <c r="BQ9" s="9" t="s">
        <v>108</v>
      </c>
      <c r="BR9" s="9"/>
      <c r="BS9" s="9"/>
      <c r="BT9" s="10"/>
      <c r="BU9" s="9"/>
      <c r="BV9" s="11"/>
      <c r="BW9" s="9"/>
      <c r="BX9" s="9" t="s">
        <v>108</v>
      </c>
      <c r="BY9" s="9"/>
      <c r="BZ9" s="9"/>
      <c r="CA9" s="10"/>
      <c r="CB9" s="9"/>
      <c r="CC9" s="11"/>
      <c r="CD9" s="9"/>
      <c r="CE9" s="9" t="s">
        <v>108</v>
      </c>
      <c r="CF9" s="9"/>
      <c r="CG9" s="9"/>
      <c r="CH9" s="10"/>
      <c r="CI9" s="9"/>
      <c r="CJ9" s="11"/>
      <c r="CK9" s="9"/>
      <c r="CL9" s="9" t="s">
        <v>108</v>
      </c>
      <c r="CM9" s="9"/>
      <c r="CN9" s="9"/>
      <c r="CO9" s="10"/>
      <c r="CP9" s="9"/>
      <c r="CQ9" s="11"/>
      <c r="CR9" s="9"/>
    </row>
    <row r="10" spans="1:96" ht="12.75">
      <c r="A10" s="9"/>
      <c r="B10" s="9"/>
      <c r="C10" s="9"/>
      <c r="D10" s="9"/>
      <c r="E10" s="9"/>
      <c r="F10" s="9"/>
      <c r="G10" s="9"/>
      <c r="H10" s="9"/>
      <c r="I10" s="20"/>
      <c r="J10" s="9"/>
      <c r="K10" s="9"/>
      <c r="L10" s="10"/>
      <c r="M10" s="9"/>
      <c r="N10" s="11"/>
      <c r="O10" s="9"/>
      <c r="P10" s="9"/>
      <c r="Q10" s="9"/>
      <c r="R10" s="20"/>
      <c r="S10" s="9"/>
      <c r="T10" s="9"/>
      <c r="U10" s="10"/>
      <c r="V10" s="9"/>
      <c r="W10" s="11"/>
      <c r="X10" s="9"/>
      <c r="Y10" s="9"/>
      <c r="Z10" s="20"/>
      <c r="AA10" s="9"/>
      <c r="AB10" s="9"/>
      <c r="AC10" s="10"/>
      <c r="AD10" s="9"/>
      <c r="AE10" s="11"/>
      <c r="AF10" s="9"/>
      <c r="AG10" s="9"/>
      <c r="AH10" s="20"/>
      <c r="AI10" s="9"/>
      <c r="AJ10" s="9"/>
      <c r="AK10" s="10"/>
      <c r="AL10" s="9"/>
      <c r="AM10" s="11"/>
      <c r="AN10" s="9"/>
      <c r="AO10" s="20"/>
      <c r="AP10" s="9"/>
      <c r="AQ10" s="9"/>
      <c r="AR10" s="10"/>
      <c r="AS10" s="9"/>
      <c r="AT10" s="11"/>
      <c r="AU10" s="9"/>
      <c r="AV10" s="20"/>
      <c r="AW10" s="9"/>
      <c r="AX10" s="9"/>
      <c r="AY10" s="10"/>
      <c r="AZ10" s="9"/>
      <c r="BA10" s="11"/>
      <c r="BB10" s="9"/>
      <c r="BC10" s="20"/>
      <c r="BD10" s="9"/>
      <c r="BE10" s="9"/>
      <c r="BF10" s="10"/>
      <c r="BG10" s="9"/>
      <c r="BH10" s="11"/>
      <c r="BI10" s="9"/>
      <c r="BJ10" s="20"/>
      <c r="BK10" s="9"/>
      <c r="BL10" s="9"/>
      <c r="BM10" s="10"/>
      <c r="BN10" s="9"/>
      <c r="BO10" s="11"/>
      <c r="BP10" s="9"/>
      <c r="BQ10" s="20"/>
      <c r="BR10" s="9"/>
      <c r="BS10" s="9"/>
      <c r="BT10" s="10"/>
      <c r="BU10" s="9"/>
      <c r="BV10" s="11"/>
      <c r="BW10" s="9"/>
      <c r="BX10" s="20"/>
      <c r="BY10" s="9"/>
      <c r="BZ10" s="9"/>
      <c r="CA10" s="10"/>
      <c r="CB10" s="9"/>
      <c r="CC10" s="11"/>
      <c r="CD10" s="9"/>
      <c r="CE10" s="20"/>
      <c r="CF10" s="9"/>
      <c r="CG10" s="9"/>
      <c r="CH10" s="10"/>
      <c r="CI10" s="9"/>
      <c r="CJ10" s="11"/>
      <c r="CK10" s="9"/>
      <c r="CL10" s="20"/>
      <c r="CM10" s="9"/>
      <c r="CN10" s="9"/>
      <c r="CO10" s="10"/>
      <c r="CP10" s="9"/>
      <c r="CQ10" s="11"/>
      <c r="CR10" s="9"/>
    </row>
    <row r="11" spans="1:96" s="46" customFormat="1" ht="12.75">
      <c r="A11" s="27"/>
      <c r="B11" s="27"/>
      <c r="C11" s="28" t="s">
        <v>143</v>
      </c>
      <c r="D11" s="45" t="s">
        <v>96</v>
      </c>
      <c r="E11" s="27" t="s">
        <v>97</v>
      </c>
      <c r="F11" s="27" t="s">
        <v>96</v>
      </c>
      <c r="G11" s="27"/>
      <c r="H11" s="27"/>
      <c r="I11" s="28" t="s">
        <v>143</v>
      </c>
      <c r="J11" s="45" t="s">
        <v>96</v>
      </c>
      <c r="K11" s="27" t="s">
        <v>97</v>
      </c>
      <c r="L11" s="27" t="s">
        <v>96</v>
      </c>
      <c r="M11" s="73"/>
      <c r="N11" s="65"/>
      <c r="O11" s="65"/>
      <c r="P11" s="65"/>
      <c r="Q11" s="27"/>
      <c r="R11" s="28" t="s">
        <v>143</v>
      </c>
      <c r="S11" s="45" t="s">
        <v>96</v>
      </c>
      <c r="T11" s="27" t="s">
        <v>97</v>
      </c>
      <c r="U11" s="27" t="s">
        <v>96</v>
      </c>
      <c r="V11" s="73"/>
      <c r="W11" s="65"/>
      <c r="X11" s="65"/>
      <c r="Y11" s="27"/>
      <c r="Z11" s="28" t="s">
        <v>143</v>
      </c>
      <c r="AA11" s="45" t="s">
        <v>96</v>
      </c>
      <c r="AB11" s="27" t="s">
        <v>97</v>
      </c>
      <c r="AC11" s="27" t="s">
        <v>96</v>
      </c>
      <c r="AD11" s="73"/>
      <c r="AE11" s="65"/>
      <c r="AF11" s="65"/>
      <c r="AG11" s="65"/>
      <c r="AH11" s="28" t="s">
        <v>143</v>
      </c>
      <c r="AI11" s="45" t="s">
        <v>96</v>
      </c>
      <c r="AJ11" s="27" t="s">
        <v>97</v>
      </c>
      <c r="AK11" s="27" t="s">
        <v>96</v>
      </c>
      <c r="AL11" s="73"/>
      <c r="AM11" s="65"/>
      <c r="AN11" s="65"/>
      <c r="AO11" s="94" t="s">
        <v>143</v>
      </c>
      <c r="AP11" s="45" t="s">
        <v>96</v>
      </c>
      <c r="AQ11" s="45" t="s">
        <v>97</v>
      </c>
      <c r="AR11" s="45" t="s">
        <v>96</v>
      </c>
      <c r="AS11" s="73"/>
      <c r="AT11" s="65"/>
      <c r="AU11" s="65"/>
      <c r="AV11" s="94" t="s">
        <v>143</v>
      </c>
      <c r="AW11" s="45" t="s">
        <v>96</v>
      </c>
      <c r="AX11" s="45" t="s">
        <v>97</v>
      </c>
      <c r="AY11" s="45" t="s">
        <v>96</v>
      </c>
      <c r="AZ11" s="73"/>
      <c r="BA11" s="65"/>
      <c r="BB11" s="65"/>
      <c r="BC11" s="94" t="s">
        <v>143</v>
      </c>
      <c r="BD11" s="45" t="s">
        <v>96</v>
      </c>
      <c r="BE11" s="45" t="s">
        <v>97</v>
      </c>
      <c r="BF11" s="45" t="s">
        <v>96</v>
      </c>
      <c r="BG11" s="73"/>
      <c r="BH11" s="65"/>
      <c r="BI11" s="65"/>
      <c r="BJ11" s="94" t="s">
        <v>143</v>
      </c>
      <c r="BK11" s="45" t="s">
        <v>96</v>
      </c>
      <c r="BL11" s="45" t="s">
        <v>97</v>
      </c>
      <c r="BM11" s="45" t="s">
        <v>96</v>
      </c>
      <c r="BN11" s="73"/>
      <c r="BO11" s="65"/>
      <c r="BP11" s="65"/>
      <c r="BQ11" s="94" t="s">
        <v>143</v>
      </c>
      <c r="BR11" s="45" t="s">
        <v>96</v>
      </c>
      <c r="BS11" s="45" t="s">
        <v>97</v>
      </c>
      <c r="BT11" s="45" t="s">
        <v>96</v>
      </c>
      <c r="BU11" s="73"/>
      <c r="BV11" s="65"/>
      <c r="BW11" s="65"/>
      <c r="BX11" s="94" t="s">
        <v>143</v>
      </c>
      <c r="BY11" s="45" t="s">
        <v>96</v>
      </c>
      <c r="BZ11" s="45" t="s">
        <v>97</v>
      </c>
      <c r="CA11" s="45" t="s">
        <v>96</v>
      </c>
      <c r="CB11" s="73"/>
      <c r="CC11" s="65"/>
      <c r="CD11" s="65"/>
      <c r="CE11" s="94" t="s">
        <v>143</v>
      </c>
      <c r="CF11" s="45" t="s">
        <v>96</v>
      </c>
      <c r="CG11" s="45" t="s">
        <v>97</v>
      </c>
      <c r="CH11" s="45" t="s">
        <v>96</v>
      </c>
      <c r="CI11" s="73"/>
      <c r="CJ11" s="65"/>
      <c r="CK11" s="65"/>
      <c r="CL11" s="94" t="s">
        <v>143</v>
      </c>
      <c r="CM11" s="45" t="s">
        <v>96</v>
      </c>
      <c r="CN11" s="45" t="s">
        <v>97</v>
      </c>
      <c r="CO11" s="45" t="s">
        <v>96</v>
      </c>
      <c r="CP11" s="73"/>
      <c r="CQ11" s="65"/>
      <c r="CR11" s="65"/>
    </row>
    <row r="12" spans="1:96" ht="12.75">
      <c r="A12" s="9"/>
      <c r="B12" s="9"/>
      <c r="C12" s="9"/>
      <c r="D12" s="9"/>
      <c r="E12" s="9"/>
      <c r="F12" s="9"/>
      <c r="G12" s="9"/>
      <c r="H12" s="9"/>
      <c r="I12" s="10"/>
      <c r="J12" s="9"/>
      <c r="K12" s="11"/>
      <c r="L12" s="9"/>
      <c r="M12" s="55"/>
      <c r="N12" s="56"/>
      <c r="O12" s="55"/>
      <c r="P12" s="55"/>
      <c r="Q12" s="9"/>
      <c r="R12" s="10"/>
      <c r="S12" s="9"/>
      <c r="T12" s="11"/>
      <c r="U12" s="9"/>
      <c r="V12" s="55"/>
      <c r="W12" s="56"/>
      <c r="X12" s="55"/>
      <c r="Y12" s="9"/>
      <c r="Z12" s="10"/>
      <c r="AA12" s="9"/>
      <c r="AB12" s="11"/>
      <c r="AC12" s="9"/>
      <c r="AD12" s="55"/>
      <c r="AE12" s="56"/>
      <c r="AF12" s="55"/>
      <c r="AG12" s="55"/>
      <c r="AH12" s="10"/>
      <c r="AI12" s="9"/>
      <c r="AJ12" s="11"/>
      <c r="AK12" s="9"/>
      <c r="AL12" s="55"/>
      <c r="AM12" s="56"/>
      <c r="AN12" s="55"/>
      <c r="AO12" s="10"/>
      <c r="AP12" s="9"/>
      <c r="AQ12" s="11"/>
      <c r="AR12" s="9"/>
      <c r="AS12" s="55"/>
      <c r="AT12" s="56"/>
      <c r="AU12" s="55"/>
      <c r="AV12" s="10"/>
      <c r="AW12" s="9"/>
      <c r="AX12" s="11"/>
      <c r="AY12" s="9"/>
      <c r="AZ12" s="55"/>
      <c r="BA12" s="56"/>
      <c r="BB12" s="55"/>
      <c r="BC12" s="10"/>
      <c r="BD12" s="9"/>
      <c r="BE12" s="11"/>
      <c r="BF12" s="9"/>
      <c r="BG12" s="55"/>
      <c r="BH12" s="56"/>
      <c r="BI12" s="55"/>
      <c r="BJ12" s="10"/>
      <c r="BK12" s="9"/>
      <c r="BL12" s="11"/>
      <c r="BM12" s="9"/>
      <c r="BN12" s="55"/>
      <c r="BO12" s="56"/>
      <c r="BP12" s="55"/>
      <c r="BQ12" s="10"/>
      <c r="BR12" s="9"/>
      <c r="BS12" s="11"/>
      <c r="BT12" s="9"/>
      <c r="BU12" s="55"/>
      <c r="BV12" s="56"/>
      <c r="BW12" s="55"/>
      <c r="BX12" s="10"/>
      <c r="BY12" s="9"/>
      <c r="BZ12" s="11"/>
      <c r="CA12" s="9"/>
      <c r="CB12" s="55"/>
      <c r="CC12" s="56"/>
      <c r="CD12" s="55"/>
      <c r="CE12" s="10"/>
      <c r="CF12" s="9"/>
      <c r="CG12" s="11"/>
      <c r="CH12" s="9"/>
      <c r="CI12" s="55"/>
      <c r="CJ12" s="56"/>
      <c r="CK12" s="55"/>
      <c r="CL12" s="10"/>
      <c r="CM12" s="9"/>
      <c r="CN12" s="11"/>
      <c r="CO12" s="9"/>
      <c r="CP12" s="55"/>
      <c r="CQ12" s="56"/>
      <c r="CR12" s="55"/>
    </row>
    <row r="13" spans="1:96" ht="12.75">
      <c r="A13" s="9" t="s">
        <v>41</v>
      </c>
      <c r="B13" s="9"/>
      <c r="C13" s="44">
        <f>28525470.38+30123.13-1536742.43</f>
        <v>27018851.08</v>
      </c>
      <c r="D13" s="34">
        <v>0.2149901851887322</v>
      </c>
      <c r="E13" s="47">
        <f>6243-138</f>
        <v>6105</v>
      </c>
      <c r="F13" s="34">
        <v>0.2834713361386363</v>
      </c>
      <c r="G13" s="10"/>
      <c r="H13" s="11"/>
      <c r="I13" s="10">
        <f>28156261.88-1659936.24</f>
        <v>26496325.64</v>
      </c>
      <c r="J13" s="15">
        <f>+I13/$I$23</f>
        <v>0.20579796976540812</v>
      </c>
      <c r="K13" s="11">
        <f>5958-153</f>
        <v>5805</v>
      </c>
      <c r="L13" s="15">
        <f>+K13/$K$23</f>
        <v>0.31052744195998716</v>
      </c>
      <c r="M13" s="57"/>
      <c r="N13" s="56"/>
      <c r="O13" s="57"/>
      <c r="P13" s="57"/>
      <c r="Q13" s="11"/>
      <c r="R13" s="10">
        <f>25661799.6400001-296174.29-1569265.22</f>
        <v>23796360.130000103</v>
      </c>
      <c r="S13" s="15">
        <v>0.20489540477364246</v>
      </c>
      <c r="T13" s="11">
        <f>5453-504-149</f>
        <v>4800</v>
      </c>
      <c r="U13" s="15">
        <v>0.3021220012189041</v>
      </c>
      <c r="V13" s="57"/>
      <c r="W13" s="56"/>
      <c r="X13" s="92"/>
      <c r="Y13" s="11"/>
      <c r="Z13" s="10">
        <f>23461857.0300001-595532.41+28327.5-1595605.19</f>
        <v>21299046.9300001</v>
      </c>
      <c r="AA13" s="15">
        <f>+Z13/$Z$23</f>
        <v>0.17440115468923384</v>
      </c>
      <c r="AB13" s="11">
        <f>4978-401-12-150</f>
        <v>4415</v>
      </c>
      <c r="AC13" s="15">
        <f>+AB13/$AB$23</f>
        <v>0.25338613406795224</v>
      </c>
      <c r="AD13" s="57"/>
      <c r="AE13" s="56"/>
      <c r="AF13" s="92"/>
      <c r="AG13" s="92"/>
      <c r="AH13" s="10">
        <f>21150797.38-206853.9-1547917.53</f>
        <v>19396025.95</v>
      </c>
      <c r="AI13" s="15">
        <f>+AH13/$AH$23</f>
        <v>0.16319095454325558</v>
      </c>
      <c r="AJ13" s="11">
        <f>4564-456-150</f>
        <v>3958</v>
      </c>
      <c r="AK13" s="15">
        <f>+AJ13/$AJ$23</f>
        <v>0.23492402659069325</v>
      </c>
      <c r="AL13" s="57"/>
      <c r="AM13" s="56"/>
      <c r="AN13" s="92"/>
      <c r="AO13" s="10">
        <f>19560835.13-1504424.89</f>
        <v>18056410.24</v>
      </c>
      <c r="AP13" s="15">
        <f>+AO13/$AO$23</f>
        <v>0.15584665577346724</v>
      </c>
      <c r="AQ13" s="11">
        <f>4199-145</f>
        <v>4054</v>
      </c>
      <c r="AR13" s="15">
        <f>+AQ13/$AQ$23</f>
        <v>0.24973818764245673</v>
      </c>
      <c r="AS13" s="57"/>
      <c r="AT13" s="56"/>
      <c r="AU13" s="64"/>
      <c r="AV13" s="10">
        <f>18050787.16-362166.46-1425188.63</f>
        <v>16263432.07</v>
      </c>
      <c r="AW13" s="15">
        <f>+AV13/AV23</f>
        <v>0.1436733355876936</v>
      </c>
      <c r="AX13" s="11">
        <f>3905-300-139</f>
        <v>3466</v>
      </c>
      <c r="AY13" s="15">
        <f>+AX13/AX23</f>
        <v>0.21757689893283114</v>
      </c>
      <c r="AZ13" s="57"/>
      <c r="BA13" s="64"/>
      <c r="BB13" s="64"/>
      <c r="BC13" s="100">
        <f>16441623-1396808.3</f>
        <v>15044814.7</v>
      </c>
      <c r="BD13" s="15">
        <f>+BC13/BC23</f>
        <v>0.15000504427960776</v>
      </c>
      <c r="BE13" s="11">
        <f>3611-137</f>
        <v>3474</v>
      </c>
      <c r="BF13" s="15">
        <f>+BE13/BE23</f>
        <v>0.2507217090069284</v>
      </c>
      <c r="BG13" s="57"/>
      <c r="BH13" s="64"/>
      <c r="BI13" s="64"/>
      <c r="BJ13" s="10">
        <f>15036795.74-1369254.86</f>
        <v>13667540.88</v>
      </c>
      <c r="BK13" s="15">
        <f>+BJ13/$BJ$23</f>
        <v>0.13970373656338875</v>
      </c>
      <c r="BL13" s="11">
        <f>3364-134</f>
        <v>3230</v>
      </c>
      <c r="BM13" s="15">
        <f>+BL13/$BL$23</f>
        <v>0.2402558762273133</v>
      </c>
      <c r="BN13" s="57"/>
      <c r="BO13" s="64"/>
      <c r="BP13" s="64"/>
      <c r="BQ13" s="10">
        <f>14017716.74-1338934.13</f>
        <v>12678782.61</v>
      </c>
      <c r="BR13" s="15">
        <f>+BQ13/$BQ$23</f>
        <v>0.1370394880292215</v>
      </c>
      <c r="BS13" s="11">
        <f>3151-129</f>
        <v>3022</v>
      </c>
      <c r="BT13" s="15">
        <f>+BS13/$BS$23</f>
        <v>0.23934737842547124</v>
      </c>
      <c r="BU13" s="57"/>
      <c r="BV13" s="64"/>
      <c r="BW13" s="64"/>
      <c r="BX13" s="10">
        <f>13002868.37-1292579.75</f>
        <v>11710288.62</v>
      </c>
      <c r="BY13" s="15">
        <f>+BX13/$BX$23</f>
        <v>0.12973286563717754</v>
      </c>
      <c r="BZ13" s="11">
        <f>2960-116</f>
        <v>2844</v>
      </c>
      <c r="CA13" s="15">
        <f>+BZ13/$BZ$23</f>
        <v>0.2317659522451308</v>
      </c>
      <c r="CB13" s="57"/>
      <c r="CC13" s="64"/>
      <c r="CD13" s="64"/>
      <c r="CE13" s="10">
        <f>11786899.52-1138566.14+4684.71</f>
        <v>10653018.09</v>
      </c>
      <c r="CF13" s="15">
        <f>+CE13/$CE$23</f>
        <v>0.12719684975625442</v>
      </c>
      <c r="CG13" s="11">
        <f>2742-114</f>
        <v>2628</v>
      </c>
      <c r="CH13" s="15">
        <f>+CG13/$CG$23</f>
        <v>0.2264931483237094</v>
      </c>
      <c r="CI13" s="57"/>
      <c r="CJ13" s="64"/>
      <c r="CK13" s="64"/>
      <c r="CL13" s="10">
        <f>10827525.68-1148341.88</f>
        <v>9679183.8</v>
      </c>
      <c r="CM13" s="15">
        <f>+CL13/$CL$23</f>
        <v>0.12247417652808032</v>
      </c>
      <c r="CN13" s="11">
        <f>2508-113</f>
        <v>2395</v>
      </c>
      <c r="CO13" s="15">
        <f>+CN13/$CN$23</f>
        <v>0.219603887768201</v>
      </c>
      <c r="CP13" s="57"/>
      <c r="CQ13" s="64"/>
      <c r="CR13" s="64"/>
    </row>
    <row r="14" spans="1:96" ht="12.75">
      <c r="A14" s="9" t="s">
        <v>42</v>
      </c>
      <c r="B14" s="9"/>
      <c r="C14" s="44">
        <f>2730861.42-96141.13-169743.02</f>
        <v>2464977.27</v>
      </c>
      <c r="D14" s="34">
        <v>0.020581900827206033</v>
      </c>
      <c r="E14" s="47">
        <f>476-15</f>
        <v>461</v>
      </c>
      <c r="F14" s="34">
        <v>0.021899461562825212</v>
      </c>
      <c r="G14" s="10"/>
      <c r="H14" s="11"/>
      <c r="I14" s="10">
        <f>1200422.61-23460.88</f>
        <v>1176961.7300000002</v>
      </c>
      <c r="J14" s="15">
        <f aca="true" t="shared" si="0" ref="J14:J21">+I14/$I$23</f>
        <v>0.009141506555155037</v>
      </c>
      <c r="K14" s="11">
        <v>176</v>
      </c>
      <c r="L14" s="15">
        <f aca="true" t="shared" si="1" ref="L14:L21">+K14/$K$23</f>
        <v>0.009414785492671445</v>
      </c>
      <c r="M14" s="57"/>
      <c r="N14" s="56"/>
      <c r="O14" s="57"/>
      <c r="P14" s="57"/>
      <c r="Q14" s="11"/>
      <c r="R14" s="10">
        <f>994948.17+7322.82-120285.16</f>
        <v>881985.83</v>
      </c>
      <c r="S14" s="15">
        <v>0.00794411580172965</v>
      </c>
      <c r="T14" s="11">
        <f>145-9</f>
        <v>136</v>
      </c>
      <c r="U14" s="15">
        <v>0.008033686076790957</v>
      </c>
      <c r="V14" s="57"/>
      <c r="W14" s="56"/>
      <c r="X14" s="92"/>
      <c r="Y14" s="11"/>
      <c r="Z14" s="10">
        <f>838763.64-163.28-71925.88</f>
        <v>766674.48</v>
      </c>
      <c r="AA14" s="15">
        <f aca="true" t="shared" si="2" ref="AA14:AA21">+Z14/$Z$23</f>
        <v>0.0062776947260694774</v>
      </c>
      <c r="AB14" s="11">
        <f>124-1-7</f>
        <v>116</v>
      </c>
      <c r="AC14" s="15">
        <f aca="true" t="shared" si="3" ref="AC14:AC21">+AB14/$AB$23</f>
        <v>0.006657483930211203</v>
      </c>
      <c r="AD14" s="57"/>
      <c r="AE14" s="56"/>
      <c r="AF14" s="92"/>
      <c r="AG14" s="92"/>
      <c r="AH14" s="10">
        <f>888603.12-47198.66</f>
        <v>841404.46</v>
      </c>
      <c r="AI14" s="15">
        <f aca="true" t="shared" si="4" ref="AI14:AI21">+AH14/$AH$23</f>
        <v>0.00707926445027016</v>
      </c>
      <c r="AJ14" s="11">
        <v>115</v>
      </c>
      <c r="AK14" s="15">
        <f aca="true" t="shared" si="5" ref="AK14:AK21">+AJ14/$AJ$23</f>
        <v>0.0068257359924026595</v>
      </c>
      <c r="AL14" s="57"/>
      <c r="AM14" s="56"/>
      <c r="AN14" s="92"/>
      <c r="AO14" s="10">
        <f>608283.97-52347.76</f>
        <v>555936.21</v>
      </c>
      <c r="AP14" s="15">
        <f aca="true" t="shared" si="6" ref="AP14:AP21">+AO14/$AO$23</f>
        <v>0.0047983402016388834</v>
      </c>
      <c r="AQ14" s="11">
        <v>79</v>
      </c>
      <c r="AR14" s="15">
        <f aca="true" t="shared" si="7" ref="AR14:AR21">+AQ14/$AQ$23</f>
        <v>0.004866629704922072</v>
      </c>
      <c r="AS14" s="57"/>
      <c r="AT14" s="56"/>
      <c r="AU14" s="64"/>
      <c r="AV14" s="10">
        <f>567526.46+4619.25-53711.54</f>
        <v>518434.17</v>
      </c>
      <c r="AW14" s="15">
        <f>+AV14/$AV$23</f>
        <v>0.004579916844485421</v>
      </c>
      <c r="AX14" s="11">
        <f>82+26-4</f>
        <v>104</v>
      </c>
      <c r="AY14" s="15">
        <f>+AX14/$AX$23</f>
        <v>0.006528562460765851</v>
      </c>
      <c r="AZ14" s="57"/>
      <c r="BA14" s="64"/>
      <c r="BB14" s="64"/>
      <c r="BC14" s="10">
        <f>531741.51-46796.44</f>
        <v>484945.07</v>
      </c>
      <c r="BD14" s="15">
        <f>+BC14/$BC$23</f>
        <v>0.004835168006324963</v>
      </c>
      <c r="BE14" s="11">
        <v>66</v>
      </c>
      <c r="BF14" s="15">
        <f>+BE14/$BE$23</f>
        <v>0.004763279445727482</v>
      </c>
      <c r="BG14" s="57"/>
      <c r="BH14" s="64"/>
      <c r="BI14" s="64"/>
      <c r="BJ14" s="10">
        <f>581450.52-89580.47</f>
        <v>491870.05000000005</v>
      </c>
      <c r="BK14" s="15">
        <f aca="true" t="shared" si="8" ref="BK14:BK21">+BJ14/$BJ$23</f>
        <v>0.005027684533153623</v>
      </c>
      <c r="BL14" s="11">
        <v>60</v>
      </c>
      <c r="BM14" s="15">
        <f aca="true" t="shared" si="9" ref="BM14:BM21">+BL14/$BL$23</f>
        <v>0.0044629574531389465</v>
      </c>
      <c r="BN14" s="57"/>
      <c r="BO14" s="64"/>
      <c r="BP14" s="64"/>
      <c r="BQ14" s="10">
        <f>449717.7-62607.97</f>
        <v>387109.73</v>
      </c>
      <c r="BR14" s="15">
        <f aca="true" t="shared" si="10" ref="BR14:BR21">+BQ14/$BQ$23</f>
        <v>0.0041841019632665</v>
      </c>
      <c r="BS14" s="11">
        <v>53</v>
      </c>
      <c r="BT14" s="15">
        <f aca="true" t="shared" si="11" ref="BT14:BT21">+BS14/$BS$23</f>
        <v>0.004197687311896087</v>
      </c>
      <c r="BU14" s="57"/>
      <c r="BV14" s="64"/>
      <c r="BW14" s="64"/>
      <c r="BX14" s="10">
        <f>372447.26-69490.63</f>
        <v>302956.63</v>
      </c>
      <c r="BY14" s="15">
        <f aca="true" t="shared" si="12" ref="BY14:BY21">+BX14/$BX$23</f>
        <v>0.0033563162317413586</v>
      </c>
      <c r="BZ14" s="11">
        <v>39</v>
      </c>
      <c r="CA14" s="15">
        <f aca="true" t="shared" si="13" ref="CA14:CA21">+BZ14/$BZ$23</f>
        <v>0.0031782250835302745</v>
      </c>
      <c r="CB14" s="57"/>
      <c r="CC14" s="64"/>
      <c r="CD14" s="64"/>
      <c r="CE14" s="10">
        <f>309571.37-31732.6</f>
        <v>277838.77</v>
      </c>
      <c r="CF14" s="15">
        <f aca="true" t="shared" si="14" ref="CF14:CF21">+CE14/$CE$23</f>
        <v>0.003317390056563072</v>
      </c>
      <c r="CG14" s="11">
        <v>45</v>
      </c>
      <c r="CH14" s="15">
        <f aca="true" t="shared" si="15" ref="CH14:CH21">+CG14/$CG$23</f>
        <v>0.0038783073343100923</v>
      </c>
      <c r="CI14" s="57"/>
      <c r="CJ14" s="64"/>
      <c r="CK14" s="64"/>
      <c r="CL14" s="10">
        <f>273169.1-31037.56</f>
        <v>242131.53999999998</v>
      </c>
      <c r="CM14" s="15">
        <f aca="true" t="shared" si="16" ref="CM14:CM21">+CL14/$CL$23</f>
        <v>0.0030637770276638345</v>
      </c>
      <c r="CN14" s="11">
        <v>35</v>
      </c>
      <c r="CO14" s="15">
        <f aca="true" t="shared" si="17" ref="CO14:CO21">+CN14/$CN$23</f>
        <v>0.003209242618741977</v>
      </c>
      <c r="CP14" s="57"/>
      <c r="CQ14" s="64"/>
      <c r="CR14" s="64"/>
    </row>
    <row r="15" spans="1:96" ht="12.75">
      <c r="A15" s="9" t="s">
        <v>43</v>
      </c>
      <c r="B15" s="9"/>
      <c r="C15" s="44">
        <f>1700756.67-10100.97-93303.02</f>
        <v>1597352.68</v>
      </c>
      <c r="D15" s="34">
        <v>0.012818228291184825</v>
      </c>
      <c r="E15" s="47">
        <f>276-7</f>
        <v>269</v>
      </c>
      <c r="F15" s="34">
        <v>0.012578616352201259</v>
      </c>
      <c r="G15" s="10"/>
      <c r="H15" s="11"/>
      <c r="I15" s="10">
        <f>789948.31-115992.55</f>
        <v>673955.76</v>
      </c>
      <c r="J15" s="15">
        <f t="shared" si="0"/>
        <v>0.005234640040440817</v>
      </c>
      <c r="K15" s="11">
        <v>113</v>
      </c>
      <c r="L15" s="15">
        <f t="shared" si="1"/>
        <v>0.0060447202310901895</v>
      </c>
      <c r="M15" s="57"/>
      <c r="N15" s="56"/>
      <c r="O15" s="57"/>
      <c r="P15" s="57"/>
      <c r="Q15" s="11"/>
      <c r="R15" s="10">
        <f>721777.17+28600.47-60883.73</f>
        <v>689493.91</v>
      </c>
      <c r="S15" s="15">
        <v>0.005762995093025508</v>
      </c>
      <c r="T15" s="11">
        <f>116+4-5</f>
        <v>115</v>
      </c>
      <c r="U15" s="15">
        <v>0.006426948861432766</v>
      </c>
      <c r="V15" s="57"/>
      <c r="W15" s="56"/>
      <c r="X15" s="92"/>
      <c r="Y15" s="11"/>
      <c r="Z15" s="10">
        <f>759337.1-92171.81</f>
        <v>667165.29</v>
      </c>
      <c r="AA15" s="15">
        <f t="shared" si="2"/>
        <v>0.0054628921813722215</v>
      </c>
      <c r="AB15" s="11">
        <f>115-5</f>
        <v>110</v>
      </c>
      <c r="AC15" s="15">
        <f t="shared" si="3"/>
        <v>0.006313131313131313</v>
      </c>
      <c r="AD15" s="57"/>
      <c r="AE15" s="56"/>
      <c r="AF15" s="92"/>
      <c r="AG15" s="92"/>
      <c r="AH15" s="10">
        <f>789472.32-101543.44</f>
        <v>687928.8799999999</v>
      </c>
      <c r="AI15" s="15">
        <f t="shared" si="4"/>
        <v>0.0057879779535494336</v>
      </c>
      <c r="AJ15" s="11">
        <v>98</v>
      </c>
      <c r="AK15" s="15">
        <f t="shared" si="5"/>
        <v>0.005816714150047484</v>
      </c>
      <c r="AL15" s="57"/>
      <c r="AM15" s="56"/>
      <c r="AN15" s="92"/>
      <c r="AO15" s="10">
        <f>579762.37-58077.43</f>
        <v>521684.94</v>
      </c>
      <c r="AP15" s="15">
        <f t="shared" si="6"/>
        <v>0.004502714115692462</v>
      </c>
      <c r="AQ15" s="11">
        <v>66</v>
      </c>
      <c r="AR15" s="15">
        <f t="shared" si="7"/>
        <v>0.004065791905377934</v>
      </c>
      <c r="AS15" s="57"/>
      <c r="AT15" s="56"/>
      <c r="AU15" s="64"/>
      <c r="AV15" s="10">
        <f>473443.22+4655.15-100990.14</f>
        <v>377108.23</v>
      </c>
      <c r="AW15" s="15">
        <f aca="true" t="shared" si="18" ref="AW15:AW21">+AV15/$AV$23</f>
        <v>0.0033314245756044247</v>
      </c>
      <c r="AX15" s="11">
        <f>71+15-5</f>
        <v>81</v>
      </c>
      <c r="AY15" s="15">
        <f aca="true" t="shared" si="19" ref="AY15:AY21">+AX15/$AX$23</f>
        <v>0.005084745762711864</v>
      </c>
      <c r="AZ15" s="57"/>
      <c r="BA15" s="64"/>
      <c r="BB15" s="64"/>
      <c r="BC15" s="10">
        <f>499207.45-86611.67</f>
        <v>412595.78</v>
      </c>
      <c r="BD15" s="15">
        <f aca="true" t="shared" si="20" ref="BD15:BD21">+BC15/$BC$23</f>
        <v>0.004113805951261022</v>
      </c>
      <c r="BE15" s="11">
        <v>57</v>
      </c>
      <c r="BF15" s="15">
        <f aca="true" t="shared" si="21" ref="BF15:BF21">+BE15/$BE$23</f>
        <v>0.004113741339491917</v>
      </c>
      <c r="BG15" s="57"/>
      <c r="BH15" s="64"/>
      <c r="BI15" s="64"/>
      <c r="BJ15" s="10">
        <f>426257.27-42128.11</f>
        <v>384129.16000000003</v>
      </c>
      <c r="BK15" s="15">
        <f t="shared" si="8"/>
        <v>0.003926403399567209</v>
      </c>
      <c r="BL15" s="11">
        <v>53</v>
      </c>
      <c r="BM15" s="15">
        <f t="shared" si="9"/>
        <v>0.00394227908360607</v>
      </c>
      <c r="BN15" s="57"/>
      <c r="BO15" s="64"/>
      <c r="BP15" s="64"/>
      <c r="BQ15" s="10">
        <f>447904.95-41094.19</f>
        <v>406810.76</v>
      </c>
      <c r="BR15" s="15">
        <f t="shared" si="10"/>
        <v>0.004397041891956416</v>
      </c>
      <c r="BS15" s="11">
        <v>52</v>
      </c>
      <c r="BT15" s="15">
        <f t="shared" si="11"/>
        <v>0.0041184856645018215</v>
      </c>
      <c r="BU15" s="57"/>
      <c r="BV15" s="64"/>
      <c r="BW15" s="64"/>
      <c r="BX15" s="10">
        <f>348629.64-12904.27</f>
        <v>335725.37</v>
      </c>
      <c r="BY15" s="15">
        <f t="shared" si="12"/>
        <v>0.0037193459299384645</v>
      </c>
      <c r="BZ15" s="11">
        <v>52</v>
      </c>
      <c r="CA15" s="15">
        <f t="shared" si="13"/>
        <v>0.004237633444707033</v>
      </c>
      <c r="CB15" s="57"/>
      <c r="CC15" s="64"/>
      <c r="CD15" s="64"/>
      <c r="CE15" s="10">
        <f>173535.01-4173.57</f>
        <v>169361.44</v>
      </c>
      <c r="CF15" s="15">
        <f t="shared" si="14"/>
        <v>0.0020221726327870056</v>
      </c>
      <c r="CG15" s="11">
        <v>31</v>
      </c>
      <c r="CH15" s="15">
        <f t="shared" si="15"/>
        <v>0.002671722830302508</v>
      </c>
      <c r="CI15" s="57"/>
      <c r="CJ15" s="64"/>
      <c r="CK15" s="64"/>
      <c r="CL15" s="10">
        <f>216490.88-26965.48</f>
        <v>189525.4</v>
      </c>
      <c r="CM15" s="15">
        <f t="shared" si="16"/>
        <v>0.0023981327119911734</v>
      </c>
      <c r="CN15" s="11">
        <v>33</v>
      </c>
      <c r="CO15" s="15">
        <f t="shared" si="17"/>
        <v>0.0030258573262424353</v>
      </c>
      <c r="CP15" s="57"/>
      <c r="CQ15" s="64"/>
      <c r="CR15" s="64"/>
    </row>
    <row r="16" spans="1:96" ht="12.75">
      <c r="A16" s="9" t="s">
        <v>44</v>
      </c>
      <c r="B16" s="9"/>
      <c r="C16" s="44">
        <f>1153336.34-118421.1</f>
        <v>1034915.2400000001</v>
      </c>
      <c r="D16" s="34">
        <v>0.008692441878025715</v>
      </c>
      <c r="E16" s="47">
        <f>213-9</f>
        <v>204</v>
      </c>
      <c r="F16" s="34">
        <v>0.009637572960499524</v>
      </c>
      <c r="G16" s="10"/>
      <c r="H16" s="11"/>
      <c r="I16" s="10">
        <f>837449.33-65965.34</f>
        <v>771483.99</v>
      </c>
      <c r="J16" s="15">
        <f t="shared" si="0"/>
        <v>0.005992145515030605</v>
      </c>
      <c r="K16" s="11">
        <v>118</v>
      </c>
      <c r="L16" s="15">
        <f t="shared" si="1"/>
        <v>0.006312185728041083</v>
      </c>
      <c r="M16" s="57"/>
      <c r="N16" s="56"/>
      <c r="O16" s="57"/>
      <c r="P16" s="57"/>
      <c r="Q16" s="11"/>
      <c r="R16" s="10">
        <f>751644.98-18212.49-40009.58</f>
        <v>693422.91</v>
      </c>
      <c r="S16" s="15">
        <v>0.006001473185189903</v>
      </c>
      <c r="T16" s="11">
        <f>111-4-2</f>
        <v>105</v>
      </c>
      <c r="U16" s="15">
        <v>0.006149925203612389</v>
      </c>
      <c r="V16" s="57"/>
      <c r="W16" s="56"/>
      <c r="X16" s="92"/>
      <c r="Y16" s="11"/>
      <c r="Z16" s="10">
        <f>591797.05-1000.51-55687.09</f>
        <v>535109.4500000001</v>
      </c>
      <c r="AA16" s="15">
        <f t="shared" si="2"/>
        <v>0.004381590700834256</v>
      </c>
      <c r="AB16" s="11">
        <f>88-3</f>
        <v>85</v>
      </c>
      <c r="AC16" s="15">
        <f t="shared" si="3"/>
        <v>0.004878328741965106</v>
      </c>
      <c r="AD16" s="57"/>
      <c r="AE16" s="56"/>
      <c r="AF16" s="92"/>
      <c r="AG16" s="92"/>
      <c r="AH16" s="10">
        <f>726170.31-41912.92</f>
        <v>684257.39</v>
      </c>
      <c r="AI16" s="15">
        <f t="shared" si="4"/>
        <v>0.005757087401059943</v>
      </c>
      <c r="AJ16" s="11">
        <v>86</v>
      </c>
      <c r="AK16" s="15">
        <f t="shared" si="5"/>
        <v>0.005104463437796771</v>
      </c>
      <c r="AL16" s="57"/>
      <c r="AM16" s="56"/>
      <c r="AN16" s="92"/>
      <c r="AO16" s="10">
        <f>537422.66-19754.85</f>
        <v>517667.81000000006</v>
      </c>
      <c r="AP16" s="15">
        <f t="shared" si="6"/>
        <v>0.004468041870878243</v>
      </c>
      <c r="AQ16" s="11">
        <v>70</v>
      </c>
      <c r="AR16" s="15">
        <f t="shared" si="7"/>
        <v>0.004312203536006899</v>
      </c>
      <c r="AS16" s="57"/>
      <c r="AT16" s="56"/>
      <c r="AU16" s="64"/>
      <c r="AV16" s="10">
        <f>510532.88+3283.97-52458.18</f>
        <v>461358.67</v>
      </c>
      <c r="AW16" s="15">
        <f t="shared" si="18"/>
        <v>0.004075704238558177</v>
      </c>
      <c r="AX16" s="11">
        <f>63+22-4</f>
        <v>81</v>
      </c>
      <c r="AY16" s="15">
        <f t="shared" si="19"/>
        <v>0.005084745762711864</v>
      </c>
      <c r="AZ16" s="57"/>
      <c r="BA16" s="64"/>
      <c r="BB16" s="64"/>
      <c r="BC16" s="10">
        <f>397718.8-15255.85</f>
        <v>382462.95</v>
      </c>
      <c r="BD16" s="15">
        <f t="shared" si="20"/>
        <v>0.0038133651290540266</v>
      </c>
      <c r="BE16" s="11">
        <v>52</v>
      </c>
      <c r="BF16" s="15">
        <f t="shared" si="21"/>
        <v>0.0037528868360277136</v>
      </c>
      <c r="BG16" s="57"/>
      <c r="BH16" s="64"/>
      <c r="BI16" s="64"/>
      <c r="BJ16" s="10">
        <f>392795.84-6963.06</f>
        <v>385832.78</v>
      </c>
      <c r="BK16" s="15">
        <f t="shared" si="8"/>
        <v>0.003943817071988149</v>
      </c>
      <c r="BL16" s="11">
        <v>54</v>
      </c>
      <c r="BM16" s="15">
        <f t="shared" si="9"/>
        <v>0.004016661707825052</v>
      </c>
      <c r="BN16" s="57"/>
      <c r="BO16" s="64"/>
      <c r="BP16" s="64"/>
      <c r="BQ16" s="10">
        <f>313263.01-20810.54</f>
        <v>292452.47000000003</v>
      </c>
      <c r="BR16" s="15">
        <f t="shared" si="10"/>
        <v>0.003160992501762065</v>
      </c>
      <c r="BS16" s="11">
        <v>48</v>
      </c>
      <c r="BT16" s="15">
        <f t="shared" si="11"/>
        <v>0.0038016790749247583</v>
      </c>
      <c r="BU16" s="57"/>
      <c r="BV16" s="64"/>
      <c r="BW16" s="64"/>
      <c r="BX16" s="10">
        <f>253401.1-10350.85</f>
        <v>243050.25</v>
      </c>
      <c r="BY16" s="15">
        <f t="shared" si="12"/>
        <v>0.0026926411849900597</v>
      </c>
      <c r="BZ16" s="11">
        <v>37</v>
      </c>
      <c r="CA16" s="15">
        <f t="shared" si="13"/>
        <v>0.0030152391818107733</v>
      </c>
      <c r="CB16" s="57"/>
      <c r="CC16" s="64"/>
      <c r="CD16" s="64"/>
      <c r="CE16" s="10">
        <f>273439.75-82459.84</f>
        <v>190979.91</v>
      </c>
      <c r="CF16" s="15">
        <f t="shared" si="14"/>
        <v>0.0022802967866482793</v>
      </c>
      <c r="CG16" s="11">
        <v>32</v>
      </c>
      <c r="CH16" s="15">
        <f t="shared" si="15"/>
        <v>0.0027579074377316213</v>
      </c>
      <c r="CI16" s="57"/>
      <c r="CJ16" s="64"/>
      <c r="CK16" s="64"/>
      <c r="CL16" s="10">
        <f>209725.06-13087.35</f>
        <v>196637.71</v>
      </c>
      <c r="CM16" s="15">
        <f t="shared" si="16"/>
        <v>0.0024881273157161725</v>
      </c>
      <c r="CN16" s="11">
        <v>34</v>
      </c>
      <c r="CO16" s="15">
        <f t="shared" si="17"/>
        <v>0.003117549972492206</v>
      </c>
      <c r="CP16" s="57"/>
      <c r="CQ16" s="64"/>
      <c r="CR16" s="64"/>
    </row>
    <row r="17" spans="1:96" ht="12.75">
      <c r="A17" s="9" t="s">
        <v>45</v>
      </c>
      <c r="B17" s="9"/>
      <c r="C17" s="44">
        <f>741879.38+9285.19-17138.08</f>
        <v>734026.49</v>
      </c>
      <c r="D17" s="34">
        <v>0.005591381427516412</v>
      </c>
      <c r="E17" s="47">
        <v>169</v>
      </c>
      <c r="F17" s="34">
        <v>0.007691959639835302</v>
      </c>
      <c r="G17" s="10"/>
      <c r="H17" s="11"/>
      <c r="I17" s="10">
        <f>975452.68-20211.74</f>
        <v>955240.9400000001</v>
      </c>
      <c r="J17" s="15">
        <f t="shared" si="0"/>
        <v>0.0074193927399512465</v>
      </c>
      <c r="K17" s="11">
        <v>139</v>
      </c>
      <c r="L17" s="15">
        <f t="shared" si="1"/>
        <v>0.0074355408152348345</v>
      </c>
      <c r="M17" s="57"/>
      <c r="N17" s="56"/>
      <c r="O17" s="57"/>
      <c r="P17" s="57"/>
      <c r="Q17" s="11"/>
      <c r="R17" s="10">
        <f>632531-82805.94-35912.87</f>
        <v>513812.19000000006</v>
      </c>
      <c r="S17" s="15">
        <v>0.005050413341816446</v>
      </c>
      <c r="T17" s="11">
        <f>107-43-3</f>
        <v>61</v>
      </c>
      <c r="U17" s="15">
        <v>0.005928306277356086</v>
      </c>
      <c r="V17" s="57"/>
      <c r="W17" s="56"/>
      <c r="X17" s="92"/>
      <c r="Y17" s="11"/>
      <c r="Z17" s="10">
        <f>703445.36-21062.35</f>
        <v>682383.01</v>
      </c>
      <c r="AA17" s="15">
        <f t="shared" si="2"/>
        <v>0.005587498129631777</v>
      </c>
      <c r="AB17" s="11">
        <f>87-2</f>
        <v>85</v>
      </c>
      <c r="AC17" s="15">
        <f t="shared" si="3"/>
        <v>0.004878328741965106</v>
      </c>
      <c r="AD17" s="57"/>
      <c r="AE17" s="56"/>
      <c r="AF17" s="92"/>
      <c r="AG17" s="92"/>
      <c r="AH17" s="10">
        <f>693875.76-34918.57</f>
        <v>658957.1900000001</v>
      </c>
      <c r="AI17" s="15">
        <f t="shared" si="4"/>
        <v>0.005544220920123148</v>
      </c>
      <c r="AJ17" s="11">
        <v>85</v>
      </c>
      <c r="AK17" s="15">
        <f t="shared" si="5"/>
        <v>0.005045109211775879</v>
      </c>
      <c r="AL17" s="57"/>
      <c r="AM17" s="56"/>
      <c r="AN17" s="92"/>
      <c r="AO17" s="10">
        <f>677508.42-61566.7</f>
        <v>615941.7200000001</v>
      </c>
      <c r="AP17" s="15">
        <f t="shared" si="6"/>
        <v>0.005316253670439278</v>
      </c>
      <c r="AQ17" s="11">
        <v>83</v>
      </c>
      <c r="AR17" s="15">
        <f t="shared" si="7"/>
        <v>0.005113041335551038</v>
      </c>
      <c r="AS17" s="57"/>
      <c r="AT17" s="56"/>
      <c r="AU17" s="64"/>
      <c r="AV17" s="10">
        <f>497262.57+3714.62-8276.98</f>
        <v>492700.21</v>
      </c>
      <c r="AW17" s="15">
        <f t="shared" si="18"/>
        <v>0.004352579597638219</v>
      </c>
      <c r="AX17" s="11">
        <f>66+16-1</f>
        <v>81</v>
      </c>
      <c r="AY17" s="15">
        <f t="shared" si="19"/>
        <v>0.005084745762711864</v>
      </c>
      <c r="AZ17" s="57"/>
      <c r="BA17" s="64"/>
      <c r="BB17" s="64"/>
      <c r="BC17" s="10">
        <f>370782.64-52295.84</f>
        <v>318486.80000000005</v>
      </c>
      <c r="BD17" s="15">
        <f t="shared" si="20"/>
        <v>0.0031754878666914116</v>
      </c>
      <c r="BE17" s="11">
        <v>47</v>
      </c>
      <c r="BF17" s="15">
        <f t="shared" si="21"/>
        <v>0.0033920323325635103</v>
      </c>
      <c r="BG17" s="57"/>
      <c r="BH17" s="64"/>
      <c r="BI17" s="64"/>
      <c r="BJ17" s="10">
        <f>312772.19-7105.65</f>
        <v>305666.54</v>
      </c>
      <c r="BK17" s="15">
        <f t="shared" si="8"/>
        <v>0.0031243921752515382</v>
      </c>
      <c r="BL17" s="11">
        <v>43</v>
      </c>
      <c r="BM17" s="15">
        <f t="shared" si="9"/>
        <v>0.0031984528414162453</v>
      </c>
      <c r="BN17" s="57"/>
      <c r="BO17" s="64"/>
      <c r="BP17" s="64"/>
      <c r="BQ17" s="10">
        <f>272629.87-7800</f>
        <v>264829.87</v>
      </c>
      <c r="BR17" s="15">
        <f t="shared" si="10"/>
        <v>0.0028624317425413517</v>
      </c>
      <c r="BS17" s="11">
        <v>30</v>
      </c>
      <c r="BT17" s="15">
        <f t="shared" si="11"/>
        <v>0.002376049421827974</v>
      </c>
      <c r="BU17" s="57"/>
      <c r="BV17" s="64"/>
      <c r="BW17" s="64"/>
      <c r="BX17" s="10">
        <f>400347.73-50885.35</f>
        <v>349462.38</v>
      </c>
      <c r="BY17" s="15">
        <f t="shared" si="12"/>
        <v>0.0038715319033518648</v>
      </c>
      <c r="BZ17" s="11">
        <v>47</v>
      </c>
      <c r="CA17" s="15">
        <f t="shared" si="13"/>
        <v>0.0038301686904082797</v>
      </c>
      <c r="CB17" s="57"/>
      <c r="CC17" s="64"/>
      <c r="CD17" s="64"/>
      <c r="CE17" s="10">
        <f>290662.28-20684.94</f>
        <v>269977.34</v>
      </c>
      <c r="CF17" s="15">
        <f t="shared" si="14"/>
        <v>0.0032235247197982763</v>
      </c>
      <c r="CG17" s="11">
        <v>27</v>
      </c>
      <c r="CH17" s="15">
        <f t="shared" si="15"/>
        <v>0.0023269844005860555</v>
      </c>
      <c r="CI17" s="57"/>
      <c r="CJ17" s="64"/>
      <c r="CK17" s="64"/>
      <c r="CL17" s="10">
        <f>251232.04-13527.97</f>
        <v>237704.07</v>
      </c>
      <c r="CM17" s="15">
        <f t="shared" si="16"/>
        <v>0.00300775466528729</v>
      </c>
      <c r="CN17" s="11">
        <v>32</v>
      </c>
      <c r="CO17" s="15">
        <f t="shared" si="17"/>
        <v>0.0029341646799926646</v>
      </c>
      <c r="CP17" s="57"/>
      <c r="CQ17" s="64"/>
      <c r="CR17" s="64"/>
    </row>
    <row r="18" spans="1:96" ht="12.75">
      <c r="A18" s="9" t="s">
        <v>46</v>
      </c>
      <c r="B18" s="9"/>
      <c r="C18" s="44">
        <f>867659.63+8819.62-30211.91</f>
        <v>846267.34</v>
      </c>
      <c r="D18" s="34">
        <v>0.006539359458390341</v>
      </c>
      <c r="E18" s="47">
        <v>193</v>
      </c>
      <c r="F18" s="34">
        <v>0.008868376996515995</v>
      </c>
      <c r="G18" s="10"/>
      <c r="H18" s="11"/>
      <c r="I18" s="10">
        <f>740293.76-33652.87</f>
        <v>706640.89</v>
      </c>
      <c r="J18" s="15">
        <f t="shared" si="0"/>
        <v>0.0054885066892324435</v>
      </c>
      <c r="K18" s="11">
        <v>118</v>
      </c>
      <c r="L18" s="15">
        <f t="shared" si="1"/>
        <v>0.006312185728041083</v>
      </c>
      <c r="M18" s="57"/>
      <c r="N18" s="56"/>
      <c r="O18" s="57"/>
      <c r="P18" s="57"/>
      <c r="Q18" s="11"/>
      <c r="R18" s="10">
        <f>783687.13+17203.89-61985.79</f>
        <v>738905.23</v>
      </c>
      <c r="S18" s="15">
        <v>0.006257312190488434</v>
      </c>
      <c r="T18" s="11">
        <f>96+4-3</f>
        <v>97</v>
      </c>
      <c r="U18" s="15">
        <v>0.005318854230151255</v>
      </c>
      <c r="V18" s="57"/>
      <c r="W18" s="56"/>
      <c r="X18" s="92"/>
      <c r="Y18" s="11"/>
      <c r="Z18" s="10">
        <f>475268.07-24116.57</f>
        <v>451151.5</v>
      </c>
      <c r="AA18" s="15">
        <f t="shared" si="2"/>
        <v>0.0036941250375365745</v>
      </c>
      <c r="AB18" s="11">
        <f>68-1</f>
        <v>67</v>
      </c>
      <c r="AC18" s="15">
        <f t="shared" si="3"/>
        <v>0.003845270890725436</v>
      </c>
      <c r="AD18" s="57"/>
      <c r="AE18" s="56"/>
      <c r="AF18" s="92"/>
      <c r="AG18" s="92"/>
      <c r="AH18" s="10">
        <f>487570.44-28950.05</f>
        <v>458620.39</v>
      </c>
      <c r="AI18" s="15">
        <f t="shared" si="4"/>
        <v>0.0038586615325238906</v>
      </c>
      <c r="AJ18" s="11">
        <v>72</v>
      </c>
      <c r="AK18" s="15">
        <f t="shared" si="5"/>
        <v>0.004273504273504274</v>
      </c>
      <c r="AL18" s="57"/>
      <c r="AM18" s="56"/>
      <c r="AN18" s="92"/>
      <c r="AO18" s="10">
        <f>468759.45-8978.9</f>
        <v>459780.55</v>
      </c>
      <c r="AP18" s="15">
        <f t="shared" si="6"/>
        <v>0.003968411226526578</v>
      </c>
      <c r="AQ18" s="11">
        <v>66</v>
      </c>
      <c r="AR18" s="15">
        <f t="shared" si="7"/>
        <v>0.004065791905377934</v>
      </c>
      <c r="AS18" s="57"/>
      <c r="AT18" s="56"/>
      <c r="AU18" s="64"/>
      <c r="AV18" s="10">
        <f>419908.72+13181.8</f>
        <v>433090.51999999996</v>
      </c>
      <c r="AW18" s="15">
        <f t="shared" si="18"/>
        <v>0.0038259796180775464</v>
      </c>
      <c r="AX18" s="11">
        <f>57+35</f>
        <v>92</v>
      </c>
      <c r="AY18" s="15">
        <f t="shared" si="19"/>
        <v>0.005775266792215945</v>
      </c>
      <c r="AZ18" s="57"/>
      <c r="BA18" s="64"/>
      <c r="BB18" s="64"/>
      <c r="BC18" s="10">
        <f>588166.58-29472.91</f>
        <v>558693.6699999999</v>
      </c>
      <c r="BD18" s="15">
        <f t="shared" si="20"/>
        <v>0.005570481948646836</v>
      </c>
      <c r="BE18" s="11">
        <v>70</v>
      </c>
      <c r="BF18" s="15">
        <f t="shared" si="21"/>
        <v>0.005051963048498845</v>
      </c>
      <c r="BG18" s="57"/>
      <c r="BH18" s="64"/>
      <c r="BI18" s="64"/>
      <c r="BJ18" s="10">
        <f>445511.83-8100</f>
        <v>437411.83</v>
      </c>
      <c r="BK18" s="15">
        <f t="shared" si="8"/>
        <v>0.004471035982592194</v>
      </c>
      <c r="BL18" s="11">
        <v>53</v>
      </c>
      <c r="BM18" s="15">
        <f t="shared" si="9"/>
        <v>0.00394227908360607</v>
      </c>
      <c r="BN18" s="57"/>
      <c r="BO18" s="64"/>
      <c r="BP18" s="64"/>
      <c r="BQ18" s="10">
        <f>329571.44-9709.44</f>
        <v>319862</v>
      </c>
      <c r="BR18" s="15">
        <f t="shared" si="10"/>
        <v>0.0034572502793312624</v>
      </c>
      <c r="BS18" s="11">
        <v>44</v>
      </c>
      <c r="BT18" s="15">
        <f t="shared" si="11"/>
        <v>0.003484872485347695</v>
      </c>
      <c r="BU18" s="57"/>
      <c r="BV18" s="64"/>
      <c r="BW18" s="64"/>
      <c r="BX18" s="10">
        <f>264002.32-35352.85</f>
        <v>228649.47</v>
      </c>
      <c r="BY18" s="15">
        <f t="shared" si="12"/>
        <v>0.002533101611078981</v>
      </c>
      <c r="BZ18" s="11">
        <v>30</v>
      </c>
      <c r="CA18" s="15">
        <f t="shared" si="13"/>
        <v>0.002444788525792519</v>
      </c>
      <c r="CB18" s="57"/>
      <c r="CC18" s="64"/>
      <c r="CD18" s="64"/>
      <c r="CE18" s="10">
        <f>332097.75-25867.48</f>
        <v>306230.27</v>
      </c>
      <c r="CF18" s="15">
        <f t="shared" si="14"/>
        <v>0.0036563840702167837</v>
      </c>
      <c r="CG18" s="11">
        <v>43</v>
      </c>
      <c r="CH18" s="15">
        <f t="shared" si="15"/>
        <v>0.0037059381194518657</v>
      </c>
      <c r="CI18" s="57"/>
      <c r="CJ18" s="64"/>
      <c r="CK18" s="64"/>
      <c r="CL18" s="10">
        <f>222559.8-15456.79</f>
        <v>207103.00999999998</v>
      </c>
      <c r="CM18" s="15">
        <f t="shared" si="16"/>
        <v>0.002620548501851652</v>
      </c>
      <c r="CN18" s="11">
        <v>26</v>
      </c>
      <c r="CO18" s="15">
        <f t="shared" si="17"/>
        <v>0.00238400880249404</v>
      </c>
      <c r="CP18" s="57"/>
      <c r="CQ18" s="64"/>
      <c r="CR18" s="64"/>
    </row>
    <row r="19" spans="1:96" ht="12.75">
      <c r="A19" s="9" t="s">
        <v>75</v>
      </c>
      <c r="B19" s="9"/>
      <c r="C19" s="44">
        <f>2374851.05-18104.81-166497.69</f>
        <v>2190248.55</v>
      </c>
      <c r="D19" s="34">
        <v>0.017898729108885392</v>
      </c>
      <c r="E19" s="47">
        <v>580</v>
      </c>
      <c r="F19" s="34">
        <v>0.02687661191801276</v>
      </c>
      <c r="G19" s="10"/>
      <c r="H19" s="11"/>
      <c r="I19" s="10">
        <f>596364.88+581872.41+801905.46-41972.83-33098.56-59322.44</f>
        <v>1845748.92</v>
      </c>
      <c r="J19" s="15">
        <f t="shared" si="0"/>
        <v>0.014336002115676545</v>
      </c>
      <c r="K19" s="11">
        <f>95+101+132-11</f>
        <v>317</v>
      </c>
      <c r="L19" s="15">
        <f t="shared" si="1"/>
        <v>0.016957312506686636</v>
      </c>
      <c r="M19" s="57"/>
      <c r="N19" s="56"/>
      <c r="O19" s="57"/>
      <c r="P19" s="57"/>
      <c r="Q19" s="11"/>
      <c r="R19" s="10">
        <f>1775801.13-38875.15-18196.08-66591.17-15682.91</f>
        <v>1636455.82</v>
      </c>
      <c r="S19" s="15">
        <v>0.014178798698189847</v>
      </c>
      <c r="T19" s="11">
        <f>302-5-8</f>
        <v>289</v>
      </c>
      <c r="U19" s="15">
        <v>0.016732228932350823</v>
      </c>
      <c r="V19" s="57"/>
      <c r="W19" s="56"/>
      <c r="X19" s="92"/>
      <c r="Y19" s="11"/>
      <c r="Z19" s="10">
        <f>1696416.72-2005.41-18079.51-64137.53-24376.86</f>
        <v>1587817.41</v>
      </c>
      <c r="AA19" s="15">
        <f t="shared" si="2"/>
        <v>0.013001388778087796</v>
      </c>
      <c r="AB19" s="11">
        <f>270-9</f>
        <v>261</v>
      </c>
      <c r="AC19" s="15">
        <f t="shared" si="3"/>
        <v>0.014979338842975207</v>
      </c>
      <c r="AD19" s="57"/>
      <c r="AE19" s="56"/>
      <c r="AF19" s="92"/>
      <c r="AG19" s="92"/>
      <c r="AH19" s="10">
        <f>384929.73+598947.25+459934.28-51179.56-37372.37</f>
        <v>1355259.3299999998</v>
      </c>
      <c r="AI19" s="15">
        <f t="shared" si="4"/>
        <v>0.011402648371706937</v>
      </c>
      <c r="AJ19" s="11">
        <v>217</v>
      </c>
      <c r="AK19" s="15">
        <f t="shared" si="5"/>
        <v>0.012879867046533712</v>
      </c>
      <c r="AL19" s="57"/>
      <c r="AM19" s="56"/>
      <c r="AN19" s="92"/>
      <c r="AO19" s="10">
        <f>1473294.48-47637.73-35252.33</f>
        <v>1390404.42</v>
      </c>
      <c r="AP19" s="15">
        <f t="shared" si="6"/>
        <v>0.012000717537399471</v>
      </c>
      <c r="AQ19" s="11">
        <v>216</v>
      </c>
      <c r="AR19" s="15">
        <f t="shared" si="7"/>
        <v>0.013306228053964147</v>
      </c>
      <c r="AS19" s="57"/>
      <c r="AT19" s="56"/>
      <c r="AU19" s="64"/>
      <c r="AV19" s="10">
        <f>1388676.38+23301.72-32816.57-34112.49-65480.7</f>
        <v>1279568.3399999999</v>
      </c>
      <c r="AW19" s="15">
        <f t="shared" si="18"/>
        <v>0.011303877971693584</v>
      </c>
      <c r="AX19" s="11">
        <f>198+78-10</f>
        <v>266</v>
      </c>
      <c r="AY19" s="15">
        <f t="shared" si="19"/>
        <v>0.01669805398618958</v>
      </c>
      <c r="AZ19" s="57"/>
      <c r="BA19" s="64"/>
      <c r="BB19" s="64"/>
      <c r="BC19" s="10">
        <f>1051225.48-64853.44-22791.91</f>
        <v>963580.13</v>
      </c>
      <c r="BD19" s="15">
        <f t="shared" si="20"/>
        <v>0.00960742175625468</v>
      </c>
      <c r="BE19" s="11">
        <v>153</v>
      </c>
      <c r="BF19" s="15">
        <f t="shared" si="21"/>
        <v>0.01104214780600462</v>
      </c>
      <c r="BG19" s="57"/>
      <c r="BH19" s="64"/>
      <c r="BI19" s="64"/>
      <c r="BJ19" s="10">
        <f>947631.12-35491.54-17439.74-21072.91</f>
        <v>873626.9299999999</v>
      </c>
      <c r="BK19" s="15">
        <f t="shared" si="8"/>
        <v>0.008929839504778716</v>
      </c>
      <c r="BL19" s="11">
        <v>138</v>
      </c>
      <c r="BM19" s="15">
        <f t="shared" si="9"/>
        <v>0.010264802142219578</v>
      </c>
      <c r="BN19" s="57"/>
      <c r="BO19" s="64"/>
      <c r="BP19" s="64"/>
      <c r="BQ19" s="10">
        <f>974505.59-29094.19-29897.56</f>
        <v>915513.84</v>
      </c>
      <c r="BR19" s="15">
        <f t="shared" si="10"/>
        <v>0.009895393885712077</v>
      </c>
      <c r="BS19" s="11">
        <v>129</v>
      </c>
      <c r="BT19" s="15">
        <f t="shared" si="11"/>
        <v>0.010217012513860289</v>
      </c>
      <c r="BU19" s="57"/>
      <c r="BV19" s="64"/>
      <c r="BW19" s="64"/>
      <c r="BX19" s="10">
        <f>1018009.28-57061.7-3312.09</f>
        <v>957635.4900000001</v>
      </c>
      <c r="BY19" s="15">
        <f t="shared" si="12"/>
        <v>0.010609200198650843</v>
      </c>
      <c r="BZ19" s="11">
        <v>123</v>
      </c>
      <c r="CA19" s="15">
        <f t="shared" si="13"/>
        <v>0.010023632955749328</v>
      </c>
      <c r="CB19" s="57"/>
      <c r="CC19" s="64"/>
      <c r="CD19" s="64"/>
      <c r="CE19" s="10">
        <f>742401.36-29094.19-11120.52-12560.94</f>
        <v>689625.7100000001</v>
      </c>
      <c r="CF19" s="15">
        <f t="shared" si="14"/>
        <v>0.008234118921215526</v>
      </c>
      <c r="CG19" s="11">
        <v>97</v>
      </c>
      <c r="CH19" s="15">
        <f t="shared" si="15"/>
        <v>0.008359906920623977</v>
      </c>
      <c r="CI19" s="57"/>
      <c r="CJ19" s="64"/>
      <c r="CK19" s="64"/>
      <c r="CL19" s="10">
        <f>713845.05-75384.01</f>
        <v>638461.04</v>
      </c>
      <c r="CM19" s="15">
        <f t="shared" si="16"/>
        <v>0.00807867602630521</v>
      </c>
      <c r="CN19" s="11">
        <v>97</v>
      </c>
      <c r="CO19" s="15">
        <f t="shared" si="17"/>
        <v>0.008894186686227764</v>
      </c>
      <c r="CP19" s="57"/>
      <c r="CQ19" s="64"/>
      <c r="CR19" s="64"/>
    </row>
    <row r="20" spans="1:96" ht="12.75">
      <c r="A20" s="9" t="s">
        <v>76</v>
      </c>
      <c r="B20" s="9"/>
      <c r="C20" s="44">
        <f>2693190.35-132866.55</f>
        <v>2560323.8000000003</v>
      </c>
      <c r="D20" s="34">
        <v>0.020297982272746852</v>
      </c>
      <c r="E20" s="47">
        <v>610</v>
      </c>
      <c r="F20" s="34">
        <v>0.028098276096104248</v>
      </c>
      <c r="G20" s="10"/>
      <c r="H20" s="11"/>
      <c r="I20" s="10">
        <f>653132.53+852558.48+786210.63-13066.71-18136.63-45407.86</f>
        <v>2215290.4400000004</v>
      </c>
      <c r="J20" s="15">
        <f t="shared" si="0"/>
        <v>0.017206245167234357</v>
      </c>
      <c r="K20" s="11">
        <f>111+134+122-6</f>
        <v>361</v>
      </c>
      <c r="L20" s="15">
        <f t="shared" si="1"/>
        <v>0.0193110088798545</v>
      </c>
      <c r="M20" s="57"/>
      <c r="N20" s="56"/>
      <c r="O20" s="57"/>
      <c r="P20" s="57"/>
      <c r="Q20" s="11"/>
      <c r="R20" s="10">
        <f>2127829.99+329325.39-42384.57-10193.69</f>
        <v>2404577.1200000006</v>
      </c>
      <c r="S20" s="15">
        <v>0.016989556196634087</v>
      </c>
      <c r="T20" s="11">
        <f>342+520-5</f>
        <v>857</v>
      </c>
      <c r="U20" s="15">
        <v>0.018948418194913847</v>
      </c>
      <c r="V20" s="57"/>
      <c r="W20" s="56"/>
      <c r="X20" s="92"/>
      <c r="Y20" s="11"/>
      <c r="Z20" s="10">
        <f>1732582.32+595532.41-1466.65-16401.98-16591.04</f>
        <v>2293655.06</v>
      </c>
      <c r="AA20" s="15">
        <f t="shared" si="2"/>
        <v>0.018780938519806438</v>
      </c>
      <c r="AB20" s="11">
        <f>305+401-1-4</f>
        <v>701</v>
      </c>
      <c r="AC20" s="15">
        <f t="shared" si="3"/>
        <v>0.04023186409550046</v>
      </c>
      <c r="AD20" s="57"/>
      <c r="AE20" s="56"/>
      <c r="AF20" s="92"/>
      <c r="AG20" s="92"/>
      <c r="AH20" s="10">
        <f>493362.55+493241.81+447078.25+206853.9-36322.61-5985.61</f>
        <v>1598228.2899999996</v>
      </c>
      <c r="AI20" s="15">
        <f t="shared" si="4"/>
        <v>0.013446898910915049</v>
      </c>
      <c r="AJ20" s="11">
        <v>699</v>
      </c>
      <c r="AK20" s="15">
        <f t="shared" si="5"/>
        <v>0.04148860398860399</v>
      </c>
      <c r="AL20" s="57"/>
      <c r="AM20" s="56"/>
      <c r="AN20" s="92"/>
      <c r="AO20" s="10">
        <f>1376531.12-27188.69-32276.35-16182.53</f>
        <v>1300883.55</v>
      </c>
      <c r="AP20" s="15">
        <f t="shared" si="6"/>
        <v>0.011228054088464048</v>
      </c>
      <c r="AQ20" s="11">
        <v>193</v>
      </c>
      <c r="AR20" s="15">
        <f t="shared" si="7"/>
        <v>0.011889361177847594</v>
      </c>
      <c r="AS20" s="57"/>
      <c r="AT20" s="56"/>
      <c r="AU20" s="64"/>
      <c r="AV20" s="10">
        <f>1272985.11+8270.93-25671.76</f>
        <v>1255584.28</v>
      </c>
      <c r="AW20" s="15">
        <f t="shared" si="18"/>
        <v>0.011091999575651231</v>
      </c>
      <c r="AX20" s="11">
        <f>184+58-2</f>
        <v>240</v>
      </c>
      <c r="AY20" s="15">
        <f t="shared" si="19"/>
        <v>0.015065913370998116</v>
      </c>
      <c r="AZ20" s="57"/>
      <c r="BA20" s="64"/>
      <c r="BB20" s="64"/>
      <c r="BC20" s="10">
        <f>1286855.65-15845.82-36848.2-8978.9</f>
        <v>1225182.73</v>
      </c>
      <c r="BD20" s="15">
        <f t="shared" si="20"/>
        <v>0.012215742987134346</v>
      </c>
      <c r="BE20" s="11">
        <v>176</v>
      </c>
      <c r="BF20" s="15">
        <f t="shared" si="21"/>
        <v>0.012702078521939953</v>
      </c>
      <c r="BG20" s="57"/>
      <c r="BH20" s="64"/>
      <c r="BI20" s="64"/>
      <c r="BJ20" s="10">
        <f>1088312.22-62754.3-15439.02-20496.37</f>
        <v>989622.5299999999</v>
      </c>
      <c r="BK20" s="15">
        <f t="shared" si="8"/>
        <v>0.010115496740940734</v>
      </c>
      <c r="BL20" s="11">
        <v>149</v>
      </c>
      <c r="BM20" s="15">
        <f t="shared" si="9"/>
        <v>0.011083011008628385</v>
      </c>
      <c r="BN20" s="57"/>
      <c r="BO20" s="64"/>
      <c r="BP20" s="64"/>
      <c r="BQ20" s="10">
        <f>981700.049999999-41556.31-26039.51-36550.98</f>
        <v>877553.2499999991</v>
      </c>
      <c r="BR20" s="15">
        <f t="shared" si="10"/>
        <v>0.009485094255305582</v>
      </c>
      <c r="BS20" s="11">
        <v>141</v>
      </c>
      <c r="BT20" s="15">
        <f t="shared" si="11"/>
        <v>0.011167432282591478</v>
      </c>
      <c r="BU20" s="57"/>
      <c r="BV20" s="64"/>
      <c r="BW20" s="64"/>
      <c r="BX20" s="10">
        <f>763642.58-50156.08</f>
        <v>713486.5</v>
      </c>
      <c r="BY20" s="15">
        <f t="shared" si="12"/>
        <v>0.007904386581928676</v>
      </c>
      <c r="BZ20" s="11">
        <v>113</v>
      </c>
      <c r="CA20" s="15">
        <f t="shared" si="13"/>
        <v>0.009208703447151821</v>
      </c>
      <c r="CB20" s="57"/>
      <c r="CC20" s="64"/>
      <c r="CD20" s="64"/>
      <c r="CE20" s="10">
        <f>801176.25-10527.77-50156.08-3312.09</f>
        <v>737180.31</v>
      </c>
      <c r="CF20" s="15">
        <f t="shared" si="14"/>
        <v>0.008801920013855815</v>
      </c>
      <c r="CG20" s="11">
        <v>108</v>
      </c>
      <c r="CH20" s="15">
        <f t="shared" si="15"/>
        <v>0.009307937602344222</v>
      </c>
      <c r="CI20" s="57"/>
      <c r="CJ20" s="64"/>
      <c r="CK20" s="64"/>
      <c r="CL20" s="10">
        <f>774684.98-29714.45-28277.27-15845.82</f>
        <v>700847.4400000001</v>
      </c>
      <c r="CM20" s="15">
        <f t="shared" si="16"/>
        <v>0.00886807347183687</v>
      </c>
      <c r="CN20" s="11">
        <v>95</v>
      </c>
      <c r="CO20" s="15">
        <f t="shared" si="17"/>
        <v>0.008710801393728223</v>
      </c>
      <c r="CP20" s="57"/>
      <c r="CQ20" s="64"/>
      <c r="CR20" s="64"/>
    </row>
    <row r="21" spans="1:96" ht="12.75">
      <c r="A21" s="9" t="s">
        <v>47</v>
      </c>
      <c r="B21" s="9"/>
      <c r="C21" s="44">
        <f>91894658.2+76118.97+2264923.8</f>
        <v>94235700.97</v>
      </c>
      <c r="D21" s="34">
        <v>0.6925897915473122</v>
      </c>
      <c r="E21" s="47">
        <f>13312+198</f>
        <v>13510</v>
      </c>
      <c r="F21" s="34">
        <v>0.6008777883353694</v>
      </c>
      <c r="G21" s="10"/>
      <c r="H21" s="11"/>
      <c r="I21" s="10">
        <f>91777335.16+2130224.65</f>
        <v>93907559.81</v>
      </c>
      <c r="J21" s="15">
        <f t="shared" si="0"/>
        <v>0.7293835914118708</v>
      </c>
      <c r="K21" s="11">
        <f>11355+192</f>
        <v>11547</v>
      </c>
      <c r="L21" s="15">
        <f t="shared" si="1"/>
        <v>0.6176848186583931</v>
      </c>
      <c r="M21" s="57"/>
      <c r="N21" s="64"/>
      <c r="O21" s="57"/>
      <c r="P21" s="57"/>
      <c r="Q21" s="11"/>
      <c r="R21" s="10">
        <f>91793392.9999998+53615.3+2041390.77</f>
        <v>93888399.0699998</v>
      </c>
      <c r="S21" s="15">
        <v>0.7329199307192837</v>
      </c>
      <c r="T21" s="11">
        <f>11377+28+184</f>
        <v>11589</v>
      </c>
      <c r="U21" s="15">
        <v>0.6303396310044878</v>
      </c>
      <c r="V21" s="57"/>
      <c r="W21" s="56"/>
      <c r="X21" s="92"/>
      <c r="Y21" s="11"/>
      <c r="Z21" s="10">
        <f>91867286.7899999-23691.65+2000155.81</f>
        <v>93843750.9499999</v>
      </c>
      <c r="AA21" s="15">
        <f t="shared" si="2"/>
        <v>0.7684127172374277</v>
      </c>
      <c r="AB21" s="11">
        <f>11386+17+181</f>
        <v>11584</v>
      </c>
      <c r="AC21" s="15">
        <f t="shared" si="3"/>
        <v>0.6648301193755739</v>
      </c>
      <c r="AD21" s="57"/>
      <c r="AE21" s="56"/>
      <c r="AF21" s="92"/>
      <c r="AG21" s="92"/>
      <c r="AH21" s="10">
        <f>91240802.62+2135932.59-202631.27</f>
        <v>93174103.94000001</v>
      </c>
      <c r="AI21" s="15">
        <f t="shared" si="4"/>
        <v>0.7839322859165959</v>
      </c>
      <c r="AJ21" s="11">
        <f>11339+179</f>
        <v>11518</v>
      </c>
      <c r="AK21" s="15">
        <f t="shared" si="5"/>
        <v>0.683641975308642</v>
      </c>
      <c r="AL21" s="57"/>
      <c r="AM21" s="56"/>
      <c r="AN21" s="92"/>
      <c r="AO21" s="10">
        <f>90577709.5699999+1863688.16</f>
        <v>92441397.7299999</v>
      </c>
      <c r="AP21" s="15">
        <f t="shared" si="6"/>
        <v>0.7978708115154938</v>
      </c>
      <c r="AQ21" s="11">
        <f>11234+172</f>
        <v>11406</v>
      </c>
      <c r="AR21" s="15">
        <f t="shared" si="7"/>
        <v>0.7026427647384956</v>
      </c>
      <c r="AS21" s="57"/>
      <c r="AT21" s="56"/>
      <c r="AU21" s="64"/>
      <c r="AV21" s="10">
        <f>90016166.3600009+301139.02-257714.85+2056421.84</f>
        <v>92116012.3700009</v>
      </c>
      <c r="AW21" s="15">
        <f t="shared" si="18"/>
        <v>0.8137651819905977</v>
      </c>
      <c r="AX21" s="11">
        <f>11304+50-20+185</f>
        <v>11519</v>
      </c>
      <c r="AY21" s="15">
        <f t="shared" si="19"/>
        <v>0.7231010671688638</v>
      </c>
      <c r="AZ21" s="57"/>
      <c r="BA21" s="64"/>
      <c r="BB21" s="64"/>
      <c r="BC21" s="10">
        <f>79128070.7699999-196235.84+1972795.12</f>
        <v>80904630.04999991</v>
      </c>
      <c r="BD21" s="15">
        <f t="shared" si="20"/>
        <v>0.8066634820750249</v>
      </c>
      <c r="BE21" s="11">
        <f>9597-15+179</f>
        <v>9761</v>
      </c>
      <c r="BF21" s="15">
        <f t="shared" si="21"/>
        <v>0.7044601616628176</v>
      </c>
      <c r="BG21" s="57"/>
      <c r="BH21" s="64"/>
      <c r="BI21" s="64"/>
      <c r="BJ21" s="10">
        <f>78600794.8399999-211372.88+1907198.91</f>
        <v>80296620.8699999</v>
      </c>
      <c r="BK21" s="15">
        <f t="shared" si="8"/>
        <v>0.820757594028339</v>
      </c>
      <c r="BL21" s="11">
        <f>9508-22+178</f>
        <v>9664</v>
      </c>
      <c r="BM21" s="15">
        <f t="shared" si="9"/>
        <v>0.7188336804522464</v>
      </c>
      <c r="BN21" s="57"/>
      <c r="BO21" s="64"/>
      <c r="BP21" s="64"/>
      <c r="BQ21" s="10">
        <f>74732181.96-199872.24+1843967.06</f>
        <v>76376276.78</v>
      </c>
      <c r="BR21" s="15">
        <f t="shared" si="10"/>
        <v>0.8255182054509033</v>
      </c>
      <c r="BS21" s="11">
        <f>8957-17+167</f>
        <v>9107</v>
      </c>
      <c r="BT21" s="15">
        <f t="shared" si="11"/>
        <v>0.7212894028195787</v>
      </c>
      <c r="BU21" s="57"/>
      <c r="BV21" s="64"/>
      <c r="BW21" s="64"/>
      <c r="BX21" s="10">
        <f>73841277.9-236423.22+1818516.79</f>
        <v>75423371.47000001</v>
      </c>
      <c r="BY21" s="15">
        <f t="shared" si="12"/>
        <v>0.8355806107211423</v>
      </c>
      <c r="BZ21" s="11">
        <f>8847-23+162</f>
        <v>8986</v>
      </c>
      <c r="CA21" s="15">
        <f t="shared" si="13"/>
        <v>0.7322956564257191</v>
      </c>
      <c r="CB21" s="57"/>
      <c r="CC21" s="64"/>
      <c r="CD21" s="64"/>
      <c r="CE21" s="10">
        <f>69037748.4299999-236423.22+1656679.38</f>
        <v>70458004.5899999</v>
      </c>
      <c r="CF21" s="15">
        <f t="shared" si="14"/>
        <v>0.8412673430426608</v>
      </c>
      <c r="CG21" s="11">
        <f>8456-19+155</f>
        <v>8592</v>
      </c>
      <c r="CH21" s="15">
        <f t="shared" si="15"/>
        <v>0.7404981470309403</v>
      </c>
      <c r="CI21" s="57"/>
      <c r="CJ21" s="64"/>
      <c r="CK21" s="64"/>
      <c r="CL21" s="10">
        <f>65541172.63-231020.68+1628659.26</f>
        <v>66938811.21</v>
      </c>
      <c r="CM21" s="15">
        <f t="shared" si="16"/>
        <v>0.8470007337512675</v>
      </c>
      <c r="CN21" s="11">
        <f>8026-19+152</f>
        <v>8159</v>
      </c>
      <c r="CO21" s="15">
        <f t="shared" si="17"/>
        <v>0.7481203007518797</v>
      </c>
      <c r="CP21" s="57"/>
      <c r="CQ21" s="64"/>
      <c r="CR21" s="64"/>
    </row>
    <row r="22" spans="1:96" ht="12.75">
      <c r="A22" s="9"/>
      <c r="B22" s="9"/>
      <c r="C22" s="44"/>
      <c r="D22" s="9"/>
      <c r="E22" s="47"/>
      <c r="F22" s="34"/>
      <c r="G22" s="34"/>
      <c r="H22" s="34"/>
      <c r="I22" s="10"/>
      <c r="J22" s="9"/>
      <c r="K22" s="11"/>
      <c r="L22" s="9"/>
      <c r="M22" s="55"/>
      <c r="N22" s="56"/>
      <c r="O22" s="55"/>
      <c r="P22" s="55"/>
      <c r="Q22" s="34"/>
      <c r="R22" s="10"/>
      <c r="S22" s="9"/>
      <c r="T22" s="11"/>
      <c r="U22" s="9"/>
      <c r="V22" s="55"/>
      <c r="W22" s="56"/>
      <c r="X22" s="55"/>
      <c r="Y22" s="34"/>
      <c r="Z22" s="10"/>
      <c r="AA22" s="9"/>
      <c r="AB22" s="11"/>
      <c r="AC22" s="9"/>
      <c r="AD22" s="55"/>
      <c r="AE22" s="56"/>
      <c r="AF22" s="55"/>
      <c r="AG22" s="55"/>
      <c r="AH22" s="10"/>
      <c r="AI22" s="9"/>
      <c r="AJ22" s="11"/>
      <c r="AK22" s="9"/>
      <c r="AL22" s="55"/>
      <c r="AM22" s="56"/>
      <c r="AN22" s="55"/>
      <c r="AO22" s="10"/>
      <c r="AP22" s="9"/>
      <c r="AQ22" s="11"/>
      <c r="AR22" s="9"/>
      <c r="AS22" s="55"/>
      <c r="AT22" s="56"/>
      <c r="AU22" s="55"/>
      <c r="AV22" s="10"/>
      <c r="AW22" s="9"/>
      <c r="AX22" s="11"/>
      <c r="AY22" s="9"/>
      <c r="AZ22" s="55"/>
      <c r="BA22" s="64"/>
      <c r="BB22" s="55"/>
      <c r="BC22" s="10"/>
      <c r="BD22" s="9"/>
      <c r="BE22" s="11"/>
      <c r="BF22" s="9"/>
      <c r="BG22" s="55"/>
      <c r="BH22" s="64"/>
      <c r="BI22" s="55"/>
      <c r="BJ22" s="10"/>
      <c r="BK22" s="9"/>
      <c r="BL22" s="11"/>
      <c r="BM22" s="9"/>
      <c r="BN22" s="55"/>
      <c r="BO22" s="64"/>
      <c r="BP22" s="55"/>
      <c r="BQ22" s="10"/>
      <c r="BR22" s="9"/>
      <c r="BS22" s="11"/>
      <c r="BT22" s="9"/>
      <c r="BU22" s="55"/>
      <c r="BV22" s="64"/>
      <c r="BW22" s="55"/>
      <c r="BX22" s="10"/>
      <c r="BY22" s="9"/>
      <c r="BZ22" s="11"/>
      <c r="CA22" s="9"/>
      <c r="CB22" s="55"/>
      <c r="CC22" s="64"/>
      <c r="CD22" s="55"/>
      <c r="CE22" s="10"/>
      <c r="CF22" s="9"/>
      <c r="CG22" s="11"/>
      <c r="CH22" s="9"/>
      <c r="CI22" s="55"/>
      <c r="CJ22" s="64"/>
      <c r="CK22" s="55"/>
      <c r="CL22" s="10"/>
      <c r="CM22" s="9"/>
      <c r="CN22" s="11"/>
      <c r="CO22" s="9"/>
      <c r="CP22" s="55"/>
      <c r="CQ22" s="64"/>
      <c r="CR22" s="55"/>
    </row>
    <row r="23" spans="1:96" ht="13.5" thickBot="1">
      <c r="A23" s="9"/>
      <c r="B23" s="9"/>
      <c r="C23" s="82">
        <f>SUM(C13:C21)</f>
        <v>132682663.41999999</v>
      </c>
      <c r="D23" s="13"/>
      <c r="E23" s="83">
        <f>SUM(E13:E21)</f>
        <v>22101</v>
      </c>
      <c r="F23" s="9"/>
      <c r="G23" s="33"/>
      <c r="H23" s="87"/>
      <c r="I23" s="22">
        <f>SUM(I13:I22)</f>
        <v>128749208.12</v>
      </c>
      <c r="J23" s="13"/>
      <c r="K23" s="23">
        <f>SUM(K13:K22)</f>
        <v>18694</v>
      </c>
      <c r="L23" s="24"/>
      <c r="M23" s="54"/>
      <c r="N23" s="32"/>
      <c r="O23" s="58"/>
      <c r="P23" s="58"/>
      <c r="Q23" s="87"/>
      <c r="R23" s="22">
        <f>SUM(R13:R22)</f>
        <v>125243412.2099999</v>
      </c>
      <c r="S23" s="13"/>
      <c r="T23" s="23">
        <f>SUM(T13:T22)</f>
        <v>18049</v>
      </c>
      <c r="U23" s="24"/>
      <c r="V23" s="54"/>
      <c r="W23" s="32"/>
      <c r="X23" s="32"/>
      <c r="Y23" s="87"/>
      <c r="Z23" s="22">
        <f>SUM(Z13:Z22)</f>
        <v>122126754.08</v>
      </c>
      <c r="AA23" s="13"/>
      <c r="AB23" s="23">
        <f>SUM(AB13:AB22)</f>
        <v>17424</v>
      </c>
      <c r="AC23" s="24"/>
      <c r="AD23" s="54"/>
      <c r="AE23" s="32"/>
      <c r="AF23" s="32"/>
      <c r="AG23" s="32"/>
      <c r="AH23" s="22">
        <f>SUM(AH13:AH22)</f>
        <v>118854785.82000001</v>
      </c>
      <c r="AI23" s="13"/>
      <c r="AJ23" s="23">
        <f>SUM(AJ13:AJ22)</f>
        <v>16848</v>
      </c>
      <c r="AK23" s="24"/>
      <c r="AL23" s="54"/>
      <c r="AM23" s="32"/>
      <c r="AN23" s="32"/>
      <c r="AO23" s="22">
        <f>SUM(AO13:AO22)</f>
        <v>115860107.1699999</v>
      </c>
      <c r="AP23" s="13"/>
      <c r="AQ23" s="23">
        <f>SUM(AQ13:AQ22)</f>
        <v>16233</v>
      </c>
      <c r="AR23" s="24"/>
      <c r="AS23" s="54"/>
      <c r="AT23" s="32"/>
      <c r="AU23" s="32"/>
      <c r="AV23" s="22">
        <f>SUM(AV13:AV22)</f>
        <v>113197288.86000091</v>
      </c>
      <c r="AW23" s="13"/>
      <c r="AX23" s="23">
        <f>SUM(AX13:AX22)</f>
        <v>15930</v>
      </c>
      <c r="AY23" s="24"/>
      <c r="AZ23" s="54"/>
      <c r="BA23" s="31"/>
      <c r="BB23" s="32"/>
      <c r="BC23" s="22">
        <f>SUM(BC13:BC22)</f>
        <v>100295391.8799999</v>
      </c>
      <c r="BD23" s="13"/>
      <c r="BE23" s="23">
        <f>SUM(BE13:BE22)</f>
        <v>13856</v>
      </c>
      <c r="BF23" s="24"/>
      <c r="BG23" s="54"/>
      <c r="BH23" s="31"/>
      <c r="BI23" s="32"/>
      <c r="BJ23" s="22">
        <f>SUM(BJ13:BJ22)</f>
        <v>97832321.5699999</v>
      </c>
      <c r="BK23" s="13"/>
      <c r="BL23" s="23">
        <f>SUM(BL13:BL22)</f>
        <v>13444</v>
      </c>
      <c r="BM23" s="24"/>
      <c r="BN23" s="54"/>
      <c r="BO23" s="31"/>
      <c r="BP23" s="32"/>
      <c r="BQ23" s="22">
        <f>SUM(BQ13:BQ22)</f>
        <v>92519191.31</v>
      </c>
      <c r="BR23" s="13"/>
      <c r="BS23" s="23">
        <f>SUM(BS13:BS22)</f>
        <v>12626</v>
      </c>
      <c r="BT23" s="24"/>
      <c r="BU23" s="54"/>
      <c r="BV23" s="31"/>
      <c r="BW23" s="32"/>
      <c r="BX23" s="22">
        <f>SUM(BX13:BX22)</f>
        <v>90264626.18</v>
      </c>
      <c r="BY23" s="13"/>
      <c r="BZ23" s="23">
        <f>SUM(BZ13:BZ22)</f>
        <v>12271</v>
      </c>
      <c r="CA23" s="24"/>
      <c r="CB23" s="54"/>
      <c r="CC23" s="31"/>
      <c r="CD23" s="32"/>
      <c r="CE23" s="22">
        <f>SUM(CE13:CE22)</f>
        <v>83752216.4299999</v>
      </c>
      <c r="CF23" s="13"/>
      <c r="CG23" s="23">
        <f>SUM(CG13:CG22)</f>
        <v>11603</v>
      </c>
      <c r="CH23" s="24"/>
      <c r="CI23" s="54"/>
      <c r="CJ23" s="31"/>
      <c r="CK23" s="32"/>
      <c r="CL23" s="22">
        <f>SUM(CL13:CL22)</f>
        <v>79030405.22</v>
      </c>
      <c r="CM23" s="13"/>
      <c r="CN23" s="23">
        <f>SUM(CN13:CN22)</f>
        <v>10906</v>
      </c>
      <c r="CO23" s="24"/>
      <c r="CP23" s="54"/>
      <c r="CQ23" s="31"/>
      <c r="CR23" s="32"/>
    </row>
    <row r="24" spans="1:96" ht="13.5" thickTop="1">
      <c r="A24" s="9"/>
      <c r="B24" s="9"/>
      <c r="C24" s="9"/>
      <c r="D24" s="9"/>
      <c r="E24" s="47"/>
      <c r="F24" s="9"/>
      <c r="G24" s="9"/>
      <c r="H24" s="9"/>
      <c r="I24" s="9"/>
      <c r="J24" s="9"/>
      <c r="K24" s="9"/>
      <c r="L24" s="9"/>
      <c r="M24" s="55"/>
      <c r="N24" s="55"/>
      <c r="O24" s="55"/>
      <c r="P24" s="55"/>
      <c r="Q24" s="9"/>
      <c r="R24" s="9"/>
      <c r="S24" s="9"/>
      <c r="T24" s="9"/>
      <c r="U24" s="9"/>
      <c r="V24" s="55"/>
      <c r="W24" s="55"/>
      <c r="X24" s="55"/>
      <c r="Y24" s="9"/>
      <c r="Z24" s="9"/>
      <c r="AA24" s="9"/>
      <c r="AB24" s="9"/>
      <c r="AC24" s="9"/>
      <c r="AD24" s="55"/>
      <c r="AE24" s="55"/>
      <c r="AF24" s="55"/>
      <c r="AG24" s="55"/>
      <c r="AH24" s="9"/>
      <c r="AI24" s="9"/>
      <c r="AJ24" s="9"/>
      <c r="AK24" s="9"/>
      <c r="AL24" s="55"/>
      <c r="AM24" s="55"/>
      <c r="AN24" s="55"/>
      <c r="AO24" s="9"/>
      <c r="AP24" s="9"/>
      <c r="AQ24" s="9"/>
      <c r="AR24" s="9"/>
      <c r="AS24" s="55"/>
      <c r="AT24" s="55"/>
      <c r="AU24" s="55"/>
      <c r="AV24" s="9"/>
      <c r="AW24" s="9"/>
      <c r="AX24" s="9"/>
      <c r="AY24" s="9"/>
      <c r="AZ24" s="55"/>
      <c r="BA24" s="55"/>
      <c r="BB24" s="55"/>
      <c r="BC24" s="9"/>
      <c r="BD24" s="9"/>
      <c r="BE24" s="9"/>
      <c r="BF24" s="9"/>
      <c r="BG24" s="55"/>
      <c r="BH24" s="55"/>
      <c r="BI24" s="55"/>
      <c r="BJ24" s="9"/>
      <c r="BK24" s="9"/>
      <c r="BL24" s="9"/>
      <c r="BM24" s="9"/>
      <c r="BN24" s="55"/>
      <c r="BO24" s="55"/>
      <c r="BP24" s="55"/>
      <c r="BQ24" s="9"/>
      <c r="BR24" s="9"/>
      <c r="BS24" s="9"/>
      <c r="BT24" s="9"/>
      <c r="BU24" s="55"/>
      <c r="BV24" s="55"/>
      <c r="BW24" s="55"/>
      <c r="BX24" s="9"/>
      <c r="BY24" s="9"/>
      <c r="BZ24" s="9"/>
      <c r="CA24" s="9"/>
      <c r="CB24" s="55"/>
      <c r="CC24" s="55"/>
      <c r="CD24" s="55"/>
      <c r="CE24" s="9"/>
      <c r="CF24" s="9"/>
      <c r="CG24" s="9"/>
      <c r="CH24" s="9"/>
      <c r="CI24" s="55"/>
      <c r="CJ24" s="55"/>
      <c r="CK24" s="55"/>
      <c r="CL24" s="9"/>
      <c r="CM24" s="9"/>
      <c r="CN24" s="9"/>
      <c r="CO24" s="9"/>
      <c r="CP24" s="89">
        <f>+CL23+CL43+CL61+CL79+CL97</f>
        <v>330666497.9599999</v>
      </c>
      <c r="CQ24" s="55"/>
      <c r="CR24" s="55"/>
    </row>
    <row r="25" spans="1:96" ht="12.75">
      <c r="A25" s="9"/>
      <c r="B25" s="9"/>
      <c r="C25" s="9"/>
      <c r="D25" s="9"/>
      <c r="E25" s="9"/>
      <c r="F25" s="9"/>
      <c r="G25" s="9"/>
      <c r="H25" s="9"/>
      <c r="I25" s="21"/>
      <c r="J25" s="9"/>
      <c r="K25" s="53"/>
      <c r="L25" s="9"/>
      <c r="M25" s="33"/>
      <c r="N25" s="87"/>
      <c r="O25" s="9"/>
      <c r="P25" s="9"/>
      <c r="Q25" s="9"/>
      <c r="R25" s="21"/>
      <c r="S25" s="9"/>
      <c r="T25" s="53"/>
      <c r="U25" s="9"/>
      <c r="V25" s="33"/>
      <c r="W25" s="87"/>
      <c r="X25" s="9"/>
      <c r="Y25" s="9"/>
      <c r="Z25" s="21"/>
      <c r="AA25" s="9"/>
      <c r="AB25" s="53"/>
      <c r="AC25" s="9"/>
      <c r="AD25" s="33"/>
      <c r="AE25" s="87"/>
      <c r="AF25" s="9"/>
      <c r="AG25" s="9"/>
      <c r="AH25" s="21"/>
      <c r="AI25" s="9"/>
      <c r="AJ25" s="53"/>
      <c r="AK25" s="9"/>
      <c r="AL25" s="33"/>
      <c r="AM25" s="87"/>
      <c r="AN25" s="9"/>
      <c r="AO25" s="21"/>
      <c r="AP25" s="9"/>
      <c r="AQ25" s="53"/>
      <c r="AR25" s="9"/>
      <c r="AS25" s="33"/>
      <c r="AT25" s="87"/>
      <c r="AU25" s="9"/>
      <c r="AV25" s="21"/>
      <c r="AW25" s="9"/>
      <c r="AX25" s="53"/>
      <c r="AY25" s="9"/>
      <c r="AZ25" s="33"/>
      <c r="BA25" s="87"/>
      <c r="BB25" s="9"/>
      <c r="BC25" s="21"/>
      <c r="BD25" s="9"/>
      <c r="BE25" s="53"/>
      <c r="BF25" s="9"/>
      <c r="BG25" s="33"/>
      <c r="BH25" s="87"/>
      <c r="BI25" s="9"/>
      <c r="BJ25" s="21"/>
      <c r="BK25" s="9"/>
      <c r="BL25" s="53"/>
      <c r="BM25" s="9"/>
      <c r="BN25" s="33"/>
      <c r="BO25" s="87"/>
      <c r="BP25" s="9"/>
      <c r="BQ25" s="21"/>
      <c r="BR25" s="9"/>
      <c r="BS25" s="53"/>
      <c r="BT25" s="9"/>
      <c r="BU25" s="33"/>
      <c r="BV25" s="87"/>
      <c r="BW25" s="9"/>
      <c r="BX25" s="21"/>
      <c r="BY25" s="9"/>
      <c r="BZ25" s="53"/>
      <c r="CA25" s="9"/>
      <c r="CB25" s="33"/>
      <c r="CC25" s="87"/>
      <c r="CD25" s="9"/>
      <c r="CE25" s="21"/>
      <c r="CF25" s="9"/>
      <c r="CG25" s="53"/>
      <c r="CH25" s="9"/>
      <c r="CI25" s="33"/>
      <c r="CJ25" s="87"/>
      <c r="CK25" s="9"/>
      <c r="CL25" s="21"/>
      <c r="CM25" s="9"/>
      <c r="CN25" s="53"/>
      <c r="CO25" s="9"/>
      <c r="CP25" s="33"/>
      <c r="CQ25" s="87"/>
      <c r="CR25" s="9"/>
    </row>
    <row r="26" spans="1:9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</row>
    <row r="27" spans="1:96" ht="12.75">
      <c r="A27" s="20" t="s">
        <v>127</v>
      </c>
      <c r="B27" s="9"/>
      <c r="C27" s="9"/>
      <c r="D27" s="9"/>
      <c r="E27" s="9"/>
      <c r="F27" s="9"/>
      <c r="G27" s="9"/>
      <c r="H27" s="9"/>
      <c r="I27" s="20" t="s">
        <v>127</v>
      </c>
      <c r="J27" s="9"/>
      <c r="K27" s="9"/>
      <c r="L27" s="9"/>
      <c r="M27" s="9"/>
      <c r="N27" s="9"/>
      <c r="O27" s="9"/>
      <c r="P27" s="9"/>
      <c r="Q27" s="9"/>
      <c r="R27" s="20" t="s">
        <v>127</v>
      </c>
      <c r="S27" s="9"/>
      <c r="T27" s="9"/>
      <c r="U27" s="9"/>
      <c r="V27" s="9"/>
      <c r="W27" s="9"/>
      <c r="X27" s="9"/>
      <c r="Y27" s="9"/>
      <c r="Z27" s="20" t="s">
        <v>127</v>
      </c>
      <c r="AA27" s="9"/>
      <c r="AB27" s="9"/>
      <c r="AC27" s="9"/>
      <c r="AD27" s="9"/>
      <c r="AE27" s="9"/>
      <c r="AF27" s="9"/>
      <c r="AG27" s="9"/>
      <c r="AH27" s="20" t="s">
        <v>127</v>
      </c>
      <c r="AI27" s="9"/>
      <c r="AJ27" s="9"/>
      <c r="AK27" s="9"/>
      <c r="AL27" s="9"/>
      <c r="AM27" s="9"/>
      <c r="AN27" s="9"/>
      <c r="AO27" s="20" t="s">
        <v>127</v>
      </c>
      <c r="AP27" s="9"/>
      <c r="AQ27" s="9"/>
      <c r="AR27" s="9"/>
      <c r="AS27" s="9"/>
      <c r="AT27" s="9"/>
      <c r="AU27" s="9"/>
      <c r="AV27" s="20" t="s">
        <v>127</v>
      </c>
      <c r="AW27" s="9"/>
      <c r="AX27" s="9"/>
      <c r="AY27" s="9"/>
      <c r="AZ27" s="9"/>
      <c r="BA27" s="9"/>
      <c r="BB27" s="9"/>
      <c r="BC27" s="20" t="s">
        <v>127</v>
      </c>
      <c r="BD27" s="9"/>
      <c r="BE27" s="9"/>
      <c r="BF27" s="9"/>
      <c r="BG27" s="9"/>
      <c r="BH27" s="9"/>
      <c r="BI27" s="9"/>
      <c r="BJ27" s="20" t="s">
        <v>127</v>
      </c>
      <c r="BK27" s="9"/>
      <c r="BL27" s="9"/>
      <c r="BM27" s="9"/>
      <c r="BN27" s="9"/>
      <c r="BO27" s="9"/>
      <c r="BP27" s="9"/>
      <c r="BQ27" s="20" t="s">
        <v>127</v>
      </c>
      <c r="BR27" s="9"/>
      <c r="BS27" s="9"/>
      <c r="BT27" s="9"/>
      <c r="BU27" s="9"/>
      <c r="BV27" s="9"/>
      <c r="BW27" s="9"/>
      <c r="BX27" s="20" t="s">
        <v>127</v>
      </c>
      <c r="BY27" s="9"/>
      <c r="BZ27" s="9"/>
      <c r="CA27" s="9"/>
      <c r="CB27" s="9"/>
      <c r="CC27" s="9"/>
      <c r="CD27" s="9"/>
      <c r="CE27" s="20" t="s">
        <v>127</v>
      </c>
      <c r="CF27" s="9"/>
      <c r="CG27" s="9"/>
      <c r="CH27" s="9"/>
      <c r="CI27" s="9"/>
      <c r="CJ27" s="9"/>
      <c r="CK27" s="9"/>
      <c r="CL27" s="20" t="s">
        <v>127</v>
      </c>
      <c r="CM27" s="9"/>
      <c r="CN27" s="9"/>
      <c r="CO27" s="9"/>
      <c r="CP27" s="9"/>
      <c r="CQ27" s="9"/>
      <c r="CR27" s="9"/>
    </row>
    <row r="28" spans="1:96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</row>
    <row r="29" spans="1:96" ht="12.75">
      <c r="A29" s="9" t="s">
        <v>124</v>
      </c>
      <c r="B29" s="9"/>
      <c r="C29" s="9"/>
      <c r="D29" s="9"/>
      <c r="E29" s="9"/>
      <c r="F29" s="9"/>
      <c r="G29" s="9"/>
      <c r="H29" s="9"/>
      <c r="I29" s="9" t="s">
        <v>116</v>
      </c>
      <c r="J29" s="9"/>
      <c r="K29" s="9"/>
      <c r="L29" s="10"/>
      <c r="M29" s="9"/>
      <c r="N29" s="11"/>
      <c r="O29" s="9"/>
      <c r="P29" s="9"/>
      <c r="Q29" s="9"/>
      <c r="R29" s="9" t="s">
        <v>116</v>
      </c>
      <c r="S29" s="9"/>
      <c r="T29" s="9"/>
      <c r="U29" s="10"/>
      <c r="V29" s="9"/>
      <c r="W29" s="11"/>
      <c r="X29" s="9"/>
      <c r="Y29" s="9"/>
      <c r="Z29" s="9" t="s">
        <v>116</v>
      </c>
      <c r="AA29" s="9"/>
      <c r="AB29" s="9"/>
      <c r="AC29" s="10"/>
      <c r="AD29" s="9"/>
      <c r="AE29" s="11"/>
      <c r="AF29" s="9"/>
      <c r="AG29" s="9"/>
      <c r="AH29" s="9" t="s">
        <v>116</v>
      </c>
      <c r="AI29" s="9"/>
      <c r="AJ29" s="9"/>
      <c r="AK29" s="10"/>
      <c r="AL29" s="9"/>
      <c r="AM29" s="11"/>
      <c r="AN29" s="9"/>
      <c r="AO29" s="9" t="s">
        <v>116</v>
      </c>
      <c r="AP29" s="9"/>
      <c r="AQ29" s="9"/>
      <c r="AR29" s="10"/>
      <c r="AS29" s="9"/>
      <c r="AT29" s="11"/>
      <c r="AU29" s="9"/>
      <c r="AV29" s="9" t="s">
        <v>116</v>
      </c>
      <c r="AW29" s="9"/>
      <c r="AX29" s="9"/>
      <c r="AY29" s="10"/>
      <c r="AZ29" s="9"/>
      <c r="BA29" s="11"/>
      <c r="BB29" s="9"/>
      <c r="BC29" s="9" t="s">
        <v>116</v>
      </c>
      <c r="BD29" s="9"/>
      <c r="BE29" s="9"/>
      <c r="BF29" s="10"/>
      <c r="BG29" s="9"/>
      <c r="BH29" s="11"/>
      <c r="BI29" s="9"/>
      <c r="BJ29" s="9" t="s">
        <v>116</v>
      </c>
      <c r="BK29" s="9"/>
      <c r="BL29" s="9"/>
      <c r="BM29" s="10"/>
      <c r="BN29" s="9"/>
      <c r="BO29" s="11"/>
      <c r="BP29" s="9"/>
      <c r="BQ29" s="9" t="s">
        <v>116</v>
      </c>
      <c r="BR29" s="9"/>
      <c r="BS29" s="9"/>
      <c r="BT29" s="10"/>
      <c r="BU29" s="9"/>
      <c r="BV29" s="11"/>
      <c r="BW29" s="9"/>
      <c r="BX29" s="9" t="s">
        <v>116</v>
      </c>
      <c r="BY29" s="9"/>
      <c r="BZ29" s="9"/>
      <c r="CA29" s="10"/>
      <c r="CB29" s="9"/>
      <c r="CC29" s="11"/>
      <c r="CD29" s="9"/>
      <c r="CE29" s="9" t="s">
        <v>116</v>
      </c>
      <c r="CF29" s="9"/>
      <c r="CG29" s="9"/>
      <c r="CH29" s="10"/>
      <c r="CI29" s="9"/>
      <c r="CJ29" s="11"/>
      <c r="CK29" s="9"/>
      <c r="CL29" s="9" t="s">
        <v>116</v>
      </c>
      <c r="CM29" s="9"/>
      <c r="CN29" s="9"/>
      <c r="CO29" s="10"/>
      <c r="CP29" s="9"/>
      <c r="CQ29" s="11"/>
      <c r="CR29" s="9"/>
    </row>
    <row r="30" spans="1:96" ht="12.75">
      <c r="A30" s="9"/>
      <c r="B30" s="9"/>
      <c r="C30" s="9"/>
      <c r="D30" s="9"/>
      <c r="E30" s="9"/>
      <c r="F30" s="9"/>
      <c r="G30" s="9"/>
      <c r="H30" s="9"/>
      <c r="I30" s="20"/>
      <c r="J30" s="9"/>
      <c r="K30" s="9"/>
      <c r="L30" s="10"/>
      <c r="M30" s="9"/>
      <c r="N30" s="11"/>
      <c r="O30" s="9"/>
      <c r="P30" s="9"/>
      <c r="Q30" s="9"/>
      <c r="R30" s="20"/>
      <c r="S30" s="9"/>
      <c r="T30" s="9"/>
      <c r="U30" s="10"/>
      <c r="V30" s="9"/>
      <c r="W30" s="11"/>
      <c r="X30" s="9"/>
      <c r="Y30" s="9"/>
      <c r="Z30" s="20"/>
      <c r="AA30" s="9"/>
      <c r="AB30" s="9"/>
      <c r="AC30" s="10"/>
      <c r="AD30" s="9"/>
      <c r="AE30" s="11"/>
      <c r="AF30" s="9"/>
      <c r="AG30" s="9"/>
      <c r="AH30" s="20"/>
      <c r="AI30" s="9"/>
      <c r="AJ30" s="9"/>
      <c r="AK30" s="10"/>
      <c r="AL30" s="9"/>
      <c r="AM30" s="11"/>
      <c r="AN30" s="9"/>
      <c r="AO30" s="20"/>
      <c r="AP30" s="9"/>
      <c r="AQ30" s="9"/>
      <c r="AR30" s="10"/>
      <c r="AS30" s="9"/>
      <c r="AT30" s="11"/>
      <c r="AU30" s="9"/>
      <c r="AV30" s="20"/>
      <c r="AW30" s="9"/>
      <c r="AX30" s="9"/>
      <c r="AY30" s="10"/>
      <c r="AZ30" s="9"/>
      <c r="BA30" s="11"/>
      <c r="BB30" s="9"/>
      <c r="BC30" s="20"/>
      <c r="BD30" s="9"/>
      <c r="BE30" s="9"/>
      <c r="BF30" s="10"/>
      <c r="BG30" s="9"/>
      <c r="BH30" s="11"/>
      <c r="BI30" s="9"/>
      <c r="BJ30" s="20"/>
      <c r="BK30" s="9"/>
      <c r="BL30" s="9"/>
      <c r="BM30" s="10"/>
      <c r="BN30" s="9"/>
      <c r="BO30" s="11"/>
      <c r="BP30" s="9"/>
      <c r="BQ30" s="20"/>
      <c r="BR30" s="9"/>
      <c r="BS30" s="9"/>
      <c r="BT30" s="10"/>
      <c r="BU30" s="9"/>
      <c r="BV30" s="11"/>
      <c r="BW30" s="9"/>
      <c r="BX30" s="20"/>
      <c r="BY30" s="9"/>
      <c r="BZ30" s="9"/>
      <c r="CA30" s="10"/>
      <c r="CB30" s="9"/>
      <c r="CC30" s="11"/>
      <c r="CD30" s="9"/>
      <c r="CE30" s="20"/>
      <c r="CF30" s="9"/>
      <c r="CG30" s="9"/>
      <c r="CH30" s="10"/>
      <c r="CI30" s="9"/>
      <c r="CJ30" s="11"/>
      <c r="CK30" s="9"/>
      <c r="CL30" s="20"/>
      <c r="CM30" s="9"/>
      <c r="CN30" s="9"/>
      <c r="CO30" s="10"/>
      <c r="CP30" s="9"/>
      <c r="CQ30" s="11"/>
      <c r="CR30" s="9"/>
    </row>
    <row r="31" spans="1:96" s="46" customFormat="1" ht="12.75">
      <c r="A31" s="27"/>
      <c r="B31" s="27"/>
      <c r="C31" s="28" t="s">
        <v>143</v>
      </c>
      <c r="D31" s="27" t="s">
        <v>96</v>
      </c>
      <c r="E31" s="27" t="s">
        <v>97</v>
      </c>
      <c r="F31" s="27" t="s">
        <v>96</v>
      </c>
      <c r="G31" s="27"/>
      <c r="H31" s="27"/>
      <c r="I31" s="28" t="s">
        <v>143</v>
      </c>
      <c r="J31" s="45" t="s">
        <v>96</v>
      </c>
      <c r="K31" s="27" t="s">
        <v>97</v>
      </c>
      <c r="L31" s="27" t="s">
        <v>96</v>
      </c>
      <c r="M31" s="73"/>
      <c r="N31" s="65"/>
      <c r="O31" s="65"/>
      <c r="P31" s="65"/>
      <c r="Q31" s="27"/>
      <c r="R31" s="28" t="s">
        <v>143</v>
      </c>
      <c r="S31" s="45" t="s">
        <v>96</v>
      </c>
      <c r="T31" s="27" t="s">
        <v>97</v>
      </c>
      <c r="U31" s="27" t="s">
        <v>96</v>
      </c>
      <c r="V31" s="73"/>
      <c r="W31" s="65"/>
      <c r="X31" s="65"/>
      <c r="Y31" s="27"/>
      <c r="Z31" s="28" t="s">
        <v>143</v>
      </c>
      <c r="AA31" s="45" t="s">
        <v>96</v>
      </c>
      <c r="AB31" s="27" t="s">
        <v>97</v>
      </c>
      <c r="AC31" s="27" t="s">
        <v>96</v>
      </c>
      <c r="AD31" s="73"/>
      <c r="AE31" s="65"/>
      <c r="AF31" s="65"/>
      <c r="AG31" s="65"/>
      <c r="AH31" s="28" t="s">
        <v>143</v>
      </c>
      <c r="AI31" s="45" t="s">
        <v>96</v>
      </c>
      <c r="AJ31" s="27" t="s">
        <v>97</v>
      </c>
      <c r="AK31" s="27" t="s">
        <v>96</v>
      </c>
      <c r="AL31" s="73"/>
      <c r="AM31" s="65"/>
      <c r="AN31" s="65"/>
      <c r="AO31" s="94" t="s">
        <v>143</v>
      </c>
      <c r="AP31" s="45" t="s">
        <v>96</v>
      </c>
      <c r="AQ31" s="45" t="s">
        <v>97</v>
      </c>
      <c r="AR31" s="45" t="s">
        <v>96</v>
      </c>
      <c r="AS31" s="73"/>
      <c r="AT31" s="65"/>
      <c r="AU31" s="65"/>
      <c r="AV31" s="94" t="s">
        <v>143</v>
      </c>
      <c r="AW31" s="45" t="s">
        <v>96</v>
      </c>
      <c r="AX31" s="45" t="s">
        <v>97</v>
      </c>
      <c r="AY31" s="45" t="s">
        <v>96</v>
      </c>
      <c r="AZ31" s="73"/>
      <c r="BA31" s="65"/>
      <c r="BB31" s="65"/>
      <c r="BC31" s="94" t="s">
        <v>143</v>
      </c>
      <c r="BD31" s="45" t="s">
        <v>96</v>
      </c>
      <c r="BE31" s="45" t="s">
        <v>97</v>
      </c>
      <c r="BF31" s="45" t="s">
        <v>96</v>
      </c>
      <c r="BG31" s="73"/>
      <c r="BH31" s="65"/>
      <c r="BI31" s="65"/>
      <c r="BJ31" s="94" t="s">
        <v>143</v>
      </c>
      <c r="BK31" s="45" t="s">
        <v>96</v>
      </c>
      <c r="BL31" s="45" t="s">
        <v>97</v>
      </c>
      <c r="BM31" s="45" t="s">
        <v>96</v>
      </c>
      <c r="BN31" s="73"/>
      <c r="BO31" s="65"/>
      <c r="BP31" s="65"/>
      <c r="BQ31" s="94" t="s">
        <v>143</v>
      </c>
      <c r="BR31" s="45" t="s">
        <v>96</v>
      </c>
      <c r="BS31" s="45" t="s">
        <v>97</v>
      </c>
      <c r="BT31" s="45" t="s">
        <v>96</v>
      </c>
      <c r="BU31" s="73"/>
      <c r="BV31" s="65"/>
      <c r="BW31" s="65"/>
      <c r="BX31" s="94" t="s">
        <v>143</v>
      </c>
      <c r="BY31" s="45" t="s">
        <v>96</v>
      </c>
      <c r="BZ31" s="45" t="s">
        <v>97</v>
      </c>
      <c r="CA31" s="45" t="s">
        <v>96</v>
      </c>
      <c r="CB31" s="73"/>
      <c r="CC31" s="65"/>
      <c r="CD31" s="65"/>
      <c r="CE31" s="94" t="s">
        <v>143</v>
      </c>
      <c r="CF31" s="45" t="s">
        <v>96</v>
      </c>
      <c r="CG31" s="45" t="s">
        <v>97</v>
      </c>
      <c r="CH31" s="45" t="s">
        <v>96</v>
      </c>
      <c r="CI31" s="73"/>
      <c r="CJ31" s="65"/>
      <c r="CK31" s="65"/>
      <c r="CL31" s="94" t="s">
        <v>143</v>
      </c>
      <c r="CM31" s="45" t="s">
        <v>96</v>
      </c>
      <c r="CN31" s="45" t="s">
        <v>97</v>
      </c>
      <c r="CO31" s="45" t="s">
        <v>96</v>
      </c>
      <c r="CP31" s="73"/>
      <c r="CQ31" s="65"/>
      <c r="CR31" s="65"/>
    </row>
    <row r="32" spans="1:96" ht="12.75">
      <c r="A32" s="9"/>
      <c r="B32" s="9"/>
      <c r="C32" s="9"/>
      <c r="D32" s="9"/>
      <c r="E32" s="9"/>
      <c r="F32" s="9"/>
      <c r="G32" s="9"/>
      <c r="H32" s="9"/>
      <c r="I32" s="10"/>
      <c r="J32" s="9"/>
      <c r="K32" s="11"/>
      <c r="L32" s="9"/>
      <c r="M32" s="55"/>
      <c r="N32" s="56"/>
      <c r="O32" s="55"/>
      <c r="P32" s="55"/>
      <c r="Q32" s="9"/>
      <c r="R32" s="10"/>
      <c r="S32" s="9"/>
      <c r="T32" s="11"/>
      <c r="U32" s="9"/>
      <c r="V32" s="55"/>
      <c r="W32" s="56"/>
      <c r="X32" s="55"/>
      <c r="Y32" s="9"/>
      <c r="Z32" s="10"/>
      <c r="AA32" s="9"/>
      <c r="AB32" s="11"/>
      <c r="AC32" s="9"/>
      <c r="AD32" s="55"/>
      <c r="AE32" s="56"/>
      <c r="AF32" s="55"/>
      <c r="AG32" s="55"/>
      <c r="AH32" s="10"/>
      <c r="AI32" s="9"/>
      <c r="AJ32" s="11"/>
      <c r="AK32" s="9"/>
      <c r="AL32" s="55"/>
      <c r="AM32" s="56"/>
      <c r="AN32" s="55"/>
      <c r="AO32" s="10"/>
      <c r="AP32" s="9"/>
      <c r="AQ32" s="11"/>
      <c r="AR32" s="9"/>
      <c r="AS32" s="55"/>
      <c r="AT32" s="56"/>
      <c r="AU32" s="55"/>
      <c r="AV32" s="10"/>
      <c r="AW32" s="9"/>
      <c r="AX32" s="11"/>
      <c r="AY32" s="9"/>
      <c r="AZ32" s="55"/>
      <c r="BA32" s="56"/>
      <c r="BB32" s="55"/>
      <c r="BC32" s="10"/>
      <c r="BD32" s="9"/>
      <c r="BE32" s="11"/>
      <c r="BF32" s="9"/>
      <c r="BG32" s="55"/>
      <c r="BH32" s="56"/>
      <c r="BI32" s="55"/>
      <c r="BJ32" s="10"/>
      <c r="BK32" s="9"/>
      <c r="BL32" s="11"/>
      <c r="BM32" s="9"/>
      <c r="BN32" s="55"/>
      <c r="BO32" s="56"/>
      <c r="BP32" s="55"/>
      <c r="BQ32" s="10"/>
      <c r="BR32" s="9"/>
      <c r="BS32" s="11"/>
      <c r="BT32" s="9"/>
      <c r="BU32" s="55"/>
      <c r="BV32" s="56"/>
      <c r="BW32" s="55"/>
      <c r="BX32" s="10"/>
      <c r="BY32" s="9"/>
      <c r="BZ32" s="11"/>
      <c r="CA32" s="9"/>
      <c r="CB32" s="55"/>
      <c r="CC32" s="56"/>
      <c r="CD32" s="55"/>
      <c r="CE32" s="10"/>
      <c r="CF32" s="9"/>
      <c r="CG32" s="11"/>
      <c r="CH32" s="9"/>
      <c r="CI32" s="55"/>
      <c r="CJ32" s="56"/>
      <c r="CK32" s="55"/>
      <c r="CL32" s="10"/>
      <c r="CM32" s="9"/>
      <c r="CN32" s="11"/>
      <c r="CO32" s="9"/>
      <c r="CP32" s="55"/>
      <c r="CQ32" s="56"/>
      <c r="CR32" s="55"/>
    </row>
    <row r="33" spans="1:96" ht="12.75">
      <c r="A33" s="9" t="s">
        <v>41</v>
      </c>
      <c r="B33" s="9"/>
      <c r="C33" s="44">
        <v>144916243.59000015</v>
      </c>
      <c r="D33" s="34">
        <v>0.7528983711877915</v>
      </c>
      <c r="E33" s="47">
        <v>23258</v>
      </c>
      <c r="F33" s="34">
        <v>0.7765609348914858</v>
      </c>
      <c r="G33" s="44"/>
      <c r="H33" s="11"/>
      <c r="I33" s="75">
        <f>134139223.42</f>
        <v>134139223.42</v>
      </c>
      <c r="J33" s="15">
        <f>+I33/$I$43</f>
        <v>0.7496606064225756</v>
      </c>
      <c r="K33" s="74">
        <f>20847</f>
        <v>20847</v>
      </c>
      <c r="L33" s="15">
        <f>+K33/$K$43</f>
        <v>0.7709689349112426</v>
      </c>
      <c r="M33" s="90"/>
      <c r="N33" s="56"/>
      <c r="O33" s="57"/>
      <c r="P33" s="57"/>
      <c r="Q33" s="11"/>
      <c r="R33" s="75">
        <v>120540065.00999999</v>
      </c>
      <c r="S33" s="15">
        <v>0.7216553388839245</v>
      </c>
      <c r="T33" s="74">
        <v>19214</v>
      </c>
      <c r="U33" s="15">
        <v>0.7495513770773192</v>
      </c>
      <c r="V33" s="90"/>
      <c r="W33" s="56"/>
      <c r="X33" s="57"/>
      <c r="Y33" s="11"/>
      <c r="Z33" s="75">
        <f>107751439.69-99426.14</f>
        <v>107652013.55</v>
      </c>
      <c r="AA33" s="15">
        <f>+Z33/$Z$43</f>
        <v>0.6918369135462805</v>
      </c>
      <c r="AB33" s="74">
        <f>17635-89</f>
        <v>17546</v>
      </c>
      <c r="AC33" s="15">
        <f>+AB33/$AB$43</f>
        <v>0.7238747473080572</v>
      </c>
      <c r="AD33" s="90"/>
      <c r="AE33" s="56"/>
      <c r="AF33" s="57"/>
      <c r="AG33" s="57"/>
      <c r="AH33" s="75">
        <f>94715498.14+753160.59</f>
        <v>95468658.73</v>
      </c>
      <c r="AI33" s="15">
        <v>0.6532288476415393</v>
      </c>
      <c r="AJ33" s="74">
        <f>15818+184</f>
        <v>16002</v>
      </c>
      <c r="AK33" s="15">
        <v>0.7058926385731771</v>
      </c>
      <c r="AL33" s="90"/>
      <c r="AM33" s="56"/>
      <c r="AN33" s="57"/>
      <c r="AO33" s="75">
        <f>84475745.5799999-244806.67</f>
        <v>84230938.90999989</v>
      </c>
      <c r="AP33" s="15">
        <f>+AO33/$AO$43</f>
        <v>0.6311305853588249</v>
      </c>
      <c r="AQ33" s="74">
        <f>14430-388</f>
        <v>14042</v>
      </c>
      <c r="AR33" s="15">
        <f>+AQ33/$AQ$43</f>
        <v>0.6682529862466092</v>
      </c>
      <c r="AS33" s="90"/>
      <c r="AT33" s="56"/>
      <c r="AU33" s="57"/>
      <c r="AV33" s="75">
        <v>74476946.79999925</v>
      </c>
      <c r="AW33" s="15">
        <f>+AV33/AV43</f>
        <v>0.6018655032305378</v>
      </c>
      <c r="AX33" s="74">
        <v>13053</v>
      </c>
      <c r="AY33" s="15">
        <f>+AX33/$AX$43</f>
        <v>0.6629926859000407</v>
      </c>
      <c r="AZ33" s="90"/>
      <c r="BA33" s="56"/>
      <c r="BB33" s="57"/>
      <c r="BC33" s="75">
        <v>66212542.94999993</v>
      </c>
      <c r="BD33" s="15">
        <v>0.5922246650597639</v>
      </c>
      <c r="BE33" s="74">
        <v>11880</v>
      </c>
      <c r="BF33" s="15">
        <v>0.6632425189816883</v>
      </c>
      <c r="BG33" s="90"/>
      <c r="BH33" s="56"/>
      <c r="BI33" s="57"/>
      <c r="BJ33" s="75">
        <v>59087652.43000027</v>
      </c>
      <c r="BK33" s="15">
        <v>0.5668648742221265</v>
      </c>
      <c r="BL33" s="74">
        <v>10873</v>
      </c>
      <c r="BM33" s="15">
        <v>0.6455500801519919</v>
      </c>
      <c r="BN33" s="90"/>
      <c r="BO33" s="56"/>
      <c r="BP33" s="57"/>
      <c r="BQ33" s="75">
        <v>52757264.070000015</v>
      </c>
      <c r="BR33" s="15">
        <v>0.5474948012657189</v>
      </c>
      <c r="BS33" s="74">
        <v>9963</v>
      </c>
      <c r="BT33" s="15">
        <v>0.6318092459889657</v>
      </c>
      <c r="BU33" s="90"/>
      <c r="BV33" s="56"/>
      <c r="BW33" s="57"/>
      <c r="BX33" s="75">
        <v>46954447.60000002</v>
      </c>
      <c r="BY33" s="15">
        <v>0.5218801387997699</v>
      </c>
      <c r="BZ33" s="74">
        <v>9058</v>
      </c>
      <c r="CA33" s="15">
        <v>0.6125650909582742</v>
      </c>
      <c r="CB33" s="90"/>
      <c r="CC33" s="56"/>
      <c r="CD33" s="57"/>
      <c r="CE33" s="75">
        <v>41353208.90000007</v>
      </c>
      <c r="CF33" s="15">
        <v>0.4936796436433215</v>
      </c>
      <c r="CG33" s="74">
        <v>8192</v>
      </c>
      <c r="CH33" s="15">
        <v>0.591010749585167</v>
      </c>
      <c r="CI33" s="90"/>
      <c r="CJ33" s="56"/>
      <c r="CK33" s="57"/>
      <c r="CL33" s="75">
        <v>36879792.37999998</v>
      </c>
      <c r="CM33" s="15">
        <v>0.46985036538941044</v>
      </c>
      <c r="CN33" s="74">
        <v>7454</v>
      </c>
      <c r="CO33" s="15">
        <v>0.5723280098280098</v>
      </c>
      <c r="CP33" s="90"/>
      <c r="CQ33" s="56"/>
      <c r="CR33" s="57"/>
    </row>
    <row r="34" spans="1:96" ht="12.75">
      <c r="A34" s="9" t="s">
        <v>42</v>
      </c>
      <c r="B34" s="9"/>
      <c r="C34" s="44">
        <v>6984553.889999991</v>
      </c>
      <c r="D34" s="34">
        <v>0.036287576306022994</v>
      </c>
      <c r="E34" s="47">
        <v>982</v>
      </c>
      <c r="F34" s="34">
        <v>0.032787979966611015</v>
      </c>
      <c r="G34" s="44"/>
      <c r="H34" s="11"/>
      <c r="I34" s="75">
        <v>3384698.12</v>
      </c>
      <c r="J34" s="15">
        <f aca="true" t="shared" si="22" ref="J34:J41">+I34/$I$43</f>
        <v>0.018915979834263987</v>
      </c>
      <c r="K34" s="74">
        <v>434</v>
      </c>
      <c r="L34" s="15">
        <f aca="true" t="shared" si="23" ref="L34:L41">+K34/$K$43</f>
        <v>0.016050295857988166</v>
      </c>
      <c r="M34" s="90"/>
      <c r="N34" s="56"/>
      <c r="O34" s="57"/>
      <c r="P34" s="57"/>
      <c r="Q34" s="11"/>
      <c r="R34" s="75">
        <v>2957591.88</v>
      </c>
      <c r="S34" s="15">
        <v>0.01770666019024194</v>
      </c>
      <c r="T34" s="74">
        <v>418</v>
      </c>
      <c r="U34" s="15">
        <v>0.01630646797222439</v>
      </c>
      <c r="V34" s="90"/>
      <c r="W34" s="56"/>
      <c r="X34" s="57"/>
      <c r="Y34" s="11"/>
      <c r="Z34" s="75">
        <v>2572106.63</v>
      </c>
      <c r="AA34" s="15">
        <f aca="true" t="shared" si="24" ref="AA34:AA41">+Z34/$Z$43</f>
        <v>0.01652991201492603</v>
      </c>
      <c r="AB34" s="74">
        <v>353</v>
      </c>
      <c r="AC34" s="15">
        <f aca="true" t="shared" si="25" ref="AC34:AC41">+AB34/$AB$43</f>
        <v>0.014563307067123232</v>
      </c>
      <c r="AD34" s="90"/>
      <c r="AE34" s="56"/>
      <c r="AF34" s="57"/>
      <c r="AG34" s="57"/>
      <c r="AH34" s="75">
        <f>2227812.31+12665.25</f>
        <v>2240477.56</v>
      </c>
      <c r="AI34" s="15">
        <v>0.019385730921465963</v>
      </c>
      <c r="AJ34" s="74">
        <f>319+7</f>
        <v>326</v>
      </c>
      <c r="AK34" s="15">
        <v>0.01761671620912747</v>
      </c>
      <c r="AL34" s="90"/>
      <c r="AM34" s="56"/>
      <c r="AN34" s="57"/>
      <c r="AO34" s="75">
        <f>1885271.13+1988.69</f>
        <v>1887259.8199999998</v>
      </c>
      <c r="AP34" s="15">
        <f aca="true" t="shared" si="26" ref="AP34:AP41">+AO34/$AO$43</f>
        <v>0.014140972549213532</v>
      </c>
      <c r="AQ34" s="74">
        <v>284</v>
      </c>
      <c r="AR34" s="15">
        <f aca="true" t="shared" si="27" ref="AR34:AR41">+AQ34/$AQ$43</f>
        <v>0.013515442821110741</v>
      </c>
      <c r="AS34" s="90"/>
      <c r="AT34" s="56"/>
      <c r="AU34" s="57"/>
      <c r="AV34" s="75">
        <v>1697623.93</v>
      </c>
      <c r="AW34" s="15">
        <f>+AV34/$AV$43</f>
        <v>0.013718893225704352</v>
      </c>
      <c r="AX34" s="74">
        <v>238</v>
      </c>
      <c r="AY34" s="15">
        <f aca="true" t="shared" si="28" ref="AY34:AY41">+AX34/$AX$43</f>
        <v>0.012088581877285657</v>
      </c>
      <c r="AZ34" s="90"/>
      <c r="BA34" s="56"/>
      <c r="BB34" s="57"/>
      <c r="BC34" s="75">
        <v>1402988.46</v>
      </c>
      <c r="BD34" s="15">
        <v>0.01254874580838334</v>
      </c>
      <c r="BE34" s="74">
        <v>190</v>
      </c>
      <c r="BF34" s="15">
        <v>0.01060741402411791</v>
      </c>
      <c r="BG34" s="90"/>
      <c r="BH34" s="56"/>
      <c r="BI34" s="57"/>
      <c r="BJ34" s="75">
        <v>1184739.74</v>
      </c>
      <c r="BK34" s="15">
        <v>0.011365950686510501</v>
      </c>
      <c r="BL34" s="74">
        <v>179</v>
      </c>
      <c r="BM34" s="15">
        <v>0.010627560410853174</v>
      </c>
      <c r="BN34" s="90"/>
      <c r="BO34" s="56"/>
      <c r="BP34" s="57"/>
      <c r="BQ34" s="75">
        <v>1169897.52</v>
      </c>
      <c r="BR34" s="15">
        <v>0.012140751070104866</v>
      </c>
      <c r="BS34" s="74">
        <v>174</v>
      </c>
      <c r="BT34" s="15">
        <v>0.011034307819138816</v>
      </c>
      <c r="BU34" s="90"/>
      <c r="BV34" s="56"/>
      <c r="BW34" s="57"/>
      <c r="BX34" s="75">
        <v>917878.8</v>
      </c>
      <c r="BY34" s="15">
        <v>0.010201860314194521</v>
      </c>
      <c r="BZ34" s="74">
        <v>137</v>
      </c>
      <c r="CA34" s="15">
        <v>0.009264894840062217</v>
      </c>
      <c r="CB34" s="90"/>
      <c r="CC34" s="56"/>
      <c r="CD34" s="57"/>
      <c r="CE34" s="75">
        <v>944319.98</v>
      </c>
      <c r="CF34" s="15">
        <v>0.011273406915990691</v>
      </c>
      <c r="CG34" s="74">
        <v>136</v>
      </c>
      <c r="CH34" s="15">
        <v>0.00981170189741</v>
      </c>
      <c r="CI34" s="90"/>
      <c r="CJ34" s="56"/>
      <c r="CK34" s="57"/>
      <c r="CL34" s="75">
        <v>813397.2</v>
      </c>
      <c r="CM34" s="15">
        <v>0.010362720258533175</v>
      </c>
      <c r="CN34" s="74">
        <v>123</v>
      </c>
      <c r="CO34" s="15">
        <v>0.009444103194103194</v>
      </c>
      <c r="CP34" s="90"/>
      <c r="CQ34" s="56"/>
      <c r="CR34" s="57"/>
    </row>
    <row r="35" spans="1:96" ht="12.75">
      <c r="A35" s="9" t="s">
        <v>43</v>
      </c>
      <c r="B35" s="9"/>
      <c r="C35" s="44">
        <v>3251699.93</v>
      </c>
      <c r="D35" s="34">
        <v>0.016893893467284114</v>
      </c>
      <c r="E35" s="47">
        <v>440</v>
      </c>
      <c r="F35" s="34">
        <v>0.014691151919866445</v>
      </c>
      <c r="G35" s="44"/>
      <c r="H35" s="11"/>
      <c r="I35" s="75">
        <v>2462233.42</v>
      </c>
      <c r="J35" s="15">
        <f t="shared" si="22"/>
        <v>0.013760623863250424</v>
      </c>
      <c r="K35" s="74">
        <v>303</v>
      </c>
      <c r="L35" s="15">
        <f t="shared" si="23"/>
        <v>0.011205621301775147</v>
      </c>
      <c r="M35" s="90"/>
      <c r="N35" s="56"/>
      <c r="O35" s="57"/>
      <c r="P35" s="57"/>
      <c r="Q35" s="11"/>
      <c r="R35" s="75">
        <v>2408729.39</v>
      </c>
      <c r="S35" s="15">
        <v>0.014420702561226524</v>
      </c>
      <c r="T35" s="74">
        <v>316</v>
      </c>
      <c r="U35" s="15">
        <v>0.012327377701490208</v>
      </c>
      <c r="V35" s="90"/>
      <c r="W35" s="56"/>
      <c r="X35" s="57"/>
      <c r="Y35" s="11"/>
      <c r="Z35" s="75">
        <v>2118325.02</v>
      </c>
      <c r="AA35" s="15">
        <f t="shared" si="24"/>
        <v>0.013613637083007103</v>
      </c>
      <c r="AB35" s="74">
        <v>267</v>
      </c>
      <c r="AC35" s="15">
        <f t="shared" si="25"/>
        <v>0.011015305911960064</v>
      </c>
      <c r="AD35" s="90"/>
      <c r="AE35" s="56"/>
      <c r="AF35" s="57"/>
      <c r="AG35" s="57"/>
      <c r="AH35" s="75">
        <f>1780926.1+18075.66</f>
        <v>1799001.76</v>
      </c>
      <c r="AI35" s="15">
        <v>0.01384199175619476</v>
      </c>
      <c r="AJ35" s="74">
        <f>234+12</f>
        <v>246</v>
      </c>
      <c r="AK35" s="15">
        <v>0.011321909424724603</v>
      </c>
      <c r="AL35" s="90"/>
      <c r="AM35" s="56"/>
      <c r="AN35" s="57"/>
      <c r="AO35" s="75">
        <f>1722377.86+6370.42</f>
        <v>1728748.28</v>
      </c>
      <c r="AP35" s="15">
        <f t="shared" si="26"/>
        <v>0.012953267861115229</v>
      </c>
      <c r="AQ35" s="74">
        <f>210+36</f>
        <v>246</v>
      </c>
      <c r="AR35" s="15">
        <f t="shared" si="27"/>
        <v>0.011707038499976206</v>
      </c>
      <c r="AS35" s="90"/>
      <c r="AT35" s="56"/>
      <c r="AU35" s="57"/>
      <c r="AV35" s="75">
        <v>1300714.22</v>
      </c>
      <c r="AW35" s="15">
        <f aca="true" t="shared" si="29" ref="AW35:AW41">+AV35/$AV$43</f>
        <v>0.010511373682942441</v>
      </c>
      <c r="AX35" s="74">
        <v>193</v>
      </c>
      <c r="AY35" s="15">
        <f t="shared" si="28"/>
        <v>0.009802925639983747</v>
      </c>
      <c r="AZ35" s="90"/>
      <c r="BA35" s="56"/>
      <c r="BB35" s="57"/>
      <c r="BC35" s="75">
        <v>1196953.11</v>
      </c>
      <c r="BD35" s="15">
        <v>0.01070590439635114</v>
      </c>
      <c r="BE35" s="74">
        <v>167</v>
      </c>
      <c r="BF35" s="15">
        <v>0.009323358642251004</v>
      </c>
      <c r="BG35" s="90"/>
      <c r="BH35" s="56"/>
      <c r="BI35" s="57"/>
      <c r="BJ35" s="75">
        <v>1166959.58</v>
      </c>
      <c r="BK35" s="15">
        <v>0.011195374470540666</v>
      </c>
      <c r="BL35" s="74">
        <v>148</v>
      </c>
      <c r="BM35" s="15">
        <v>0.008787033188861842</v>
      </c>
      <c r="BN35" s="90"/>
      <c r="BO35" s="56"/>
      <c r="BP35" s="57"/>
      <c r="BQ35" s="75">
        <v>876728.06</v>
      </c>
      <c r="BR35" s="15">
        <v>0.00909835002696301</v>
      </c>
      <c r="BS35" s="74">
        <v>128</v>
      </c>
      <c r="BT35" s="15">
        <v>0.008117191958906715</v>
      </c>
      <c r="BU35" s="90"/>
      <c r="BV35" s="56"/>
      <c r="BW35" s="57"/>
      <c r="BX35" s="75">
        <v>774338.69</v>
      </c>
      <c r="BY35" s="15">
        <v>0.008606468687648496</v>
      </c>
      <c r="BZ35" s="74">
        <v>121</v>
      </c>
      <c r="CA35" s="15">
        <v>0.008182863325894367</v>
      </c>
      <c r="CB35" s="90"/>
      <c r="CC35" s="56"/>
      <c r="CD35" s="57"/>
      <c r="CE35" s="75">
        <v>746359.95</v>
      </c>
      <c r="CF35" s="15">
        <v>0.008910135971229229</v>
      </c>
      <c r="CG35" s="74">
        <v>113</v>
      </c>
      <c r="CH35" s="15">
        <v>0.008152369958877427</v>
      </c>
      <c r="CI35" s="90"/>
      <c r="CJ35" s="56"/>
      <c r="CK35" s="57"/>
      <c r="CL35" s="75">
        <v>741628.59</v>
      </c>
      <c r="CM35" s="15">
        <v>0.009448384643935825</v>
      </c>
      <c r="CN35" s="74">
        <v>106</v>
      </c>
      <c r="CO35" s="15">
        <v>0.008138820638820638</v>
      </c>
      <c r="CP35" s="90"/>
      <c r="CQ35" s="56"/>
      <c r="CR35" s="57"/>
    </row>
    <row r="36" spans="1:96" ht="12.75">
      <c r="A36" s="9" t="s">
        <v>44</v>
      </c>
      <c r="B36" s="9"/>
      <c r="C36" s="44">
        <v>2358253.93</v>
      </c>
      <c r="D36" s="34">
        <v>0.012252080917633778</v>
      </c>
      <c r="E36" s="47">
        <v>304</v>
      </c>
      <c r="F36" s="34">
        <v>0.010150250417362271</v>
      </c>
      <c r="G36" s="44"/>
      <c r="H36" s="11"/>
      <c r="I36" s="75">
        <v>1875644.26</v>
      </c>
      <c r="J36" s="15">
        <f t="shared" si="22"/>
        <v>0.010482367331008238</v>
      </c>
      <c r="K36" s="74">
        <v>250</v>
      </c>
      <c r="L36" s="15">
        <f t="shared" si="23"/>
        <v>0.009245562130177515</v>
      </c>
      <c r="M36" s="90"/>
      <c r="N36" s="56"/>
      <c r="O36" s="57"/>
      <c r="P36" s="57"/>
      <c r="Q36" s="11"/>
      <c r="R36" s="75">
        <v>1806711.36</v>
      </c>
      <c r="S36" s="15">
        <v>0.010816510665213856</v>
      </c>
      <c r="T36" s="74">
        <v>266</v>
      </c>
      <c r="U36" s="15">
        <v>0.010376843255051884</v>
      </c>
      <c r="V36" s="90"/>
      <c r="W36" s="56"/>
      <c r="X36" s="57"/>
      <c r="Y36" s="11"/>
      <c r="Z36" s="75">
        <v>2070984.17</v>
      </c>
      <c r="AA36" s="15">
        <f t="shared" si="24"/>
        <v>0.013309396163877007</v>
      </c>
      <c r="AB36" s="74">
        <v>279</v>
      </c>
      <c r="AC36" s="15">
        <f t="shared" si="25"/>
        <v>0.011510375840587483</v>
      </c>
      <c r="AD36" s="90"/>
      <c r="AE36" s="56"/>
      <c r="AF36" s="57"/>
      <c r="AG36" s="57"/>
      <c r="AH36" s="75">
        <f>1767637.02+25870.99</f>
        <v>1793508.01</v>
      </c>
      <c r="AI36" s="15">
        <v>0.01295782433954582</v>
      </c>
      <c r="AJ36" s="74">
        <v>235</v>
      </c>
      <c r="AK36" s="15">
        <v>0.00983563560062948</v>
      </c>
      <c r="AL36" s="90"/>
      <c r="AM36" s="56"/>
      <c r="AN36" s="57"/>
      <c r="AO36" s="75">
        <f>1592249.29+7160.07</f>
        <v>1599409.36</v>
      </c>
      <c r="AP36" s="15">
        <f t="shared" si="26"/>
        <v>0.011984149514037335</v>
      </c>
      <c r="AQ36" s="74">
        <f>181+33</f>
        <v>214</v>
      </c>
      <c r="AR36" s="15">
        <f t="shared" si="27"/>
        <v>0.010184171703231333</v>
      </c>
      <c r="AS36" s="90"/>
      <c r="AT36" s="56"/>
      <c r="AU36" s="57"/>
      <c r="AV36" s="75">
        <v>1381900.14</v>
      </c>
      <c r="AW36" s="15">
        <f t="shared" si="29"/>
        <v>0.011167455956659314</v>
      </c>
      <c r="AX36" s="74">
        <v>167</v>
      </c>
      <c r="AY36" s="15">
        <f t="shared" si="28"/>
        <v>0.008482324258431533</v>
      </c>
      <c r="AZ36" s="90"/>
      <c r="BA36" s="56"/>
      <c r="BB36" s="57"/>
      <c r="BC36" s="75">
        <v>1133434.85</v>
      </c>
      <c r="BD36" s="15">
        <v>0.010137778198840717</v>
      </c>
      <c r="BE36" s="74">
        <v>152</v>
      </c>
      <c r="BF36" s="15">
        <v>0.008485931219294328</v>
      </c>
      <c r="BG36" s="90"/>
      <c r="BH36" s="56"/>
      <c r="BI36" s="57"/>
      <c r="BJ36" s="75">
        <v>917147.52</v>
      </c>
      <c r="BK36" s="15">
        <v>0.008798770846139923</v>
      </c>
      <c r="BL36" s="74">
        <v>132</v>
      </c>
      <c r="BM36" s="15">
        <v>0.007837083654930832</v>
      </c>
      <c r="BN36" s="90"/>
      <c r="BO36" s="56"/>
      <c r="BP36" s="57"/>
      <c r="BQ36" s="75">
        <v>710065.27</v>
      </c>
      <c r="BR36" s="15">
        <v>0.007368787042643529</v>
      </c>
      <c r="BS36" s="74">
        <v>110</v>
      </c>
      <c r="BT36" s="15">
        <v>0.006975711839685459</v>
      </c>
      <c r="BU36" s="90"/>
      <c r="BV36" s="56"/>
      <c r="BW36" s="57"/>
      <c r="BX36" s="75">
        <v>664922.73</v>
      </c>
      <c r="BY36" s="15">
        <v>0.007390353509845615</v>
      </c>
      <c r="BZ36" s="74">
        <v>101</v>
      </c>
      <c r="CA36" s="15">
        <v>0.006830323933184554</v>
      </c>
      <c r="CB36" s="90"/>
      <c r="CC36" s="56"/>
      <c r="CD36" s="57"/>
      <c r="CE36" s="75">
        <v>553977.93</v>
      </c>
      <c r="CF36" s="15">
        <v>0.006613455989111027</v>
      </c>
      <c r="CG36" s="74">
        <v>89</v>
      </c>
      <c r="CH36" s="15">
        <v>0.006420893153452132</v>
      </c>
      <c r="CI36" s="90"/>
      <c r="CJ36" s="56"/>
      <c r="CK36" s="57"/>
      <c r="CL36" s="75">
        <v>511096.01</v>
      </c>
      <c r="CM36" s="15">
        <v>0.006511388257646418</v>
      </c>
      <c r="CN36" s="74">
        <v>78</v>
      </c>
      <c r="CO36" s="15">
        <v>0.005988943488943489</v>
      </c>
      <c r="CP36" s="90"/>
      <c r="CQ36" s="56"/>
      <c r="CR36" s="57"/>
    </row>
    <row r="37" spans="1:96" ht="12.75">
      <c r="A37" s="9" t="s">
        <v>45</v>
      </c>
      <c r="B37" s="9"/>
      <c r="C37" s="44">
        <v>1900062.74</v>
      </c>
      <c r="D37" s="34">
        <v>0.009871592767391652</v>
      </c>
      <c r="E37" s="47">
        <v>259</v>
      </c>
      <c r="F37" s="34">
        <v>0.008647746243739566</v>
      </c>
      <c r="G37" s="44"/>
      <c r="H37" s="11"/>
      <c r="I37" s="75">
        <v>1939679.6</v>
      </c>
      <c r="J37" s="15">
        <f t="shared" si="22"/>
        <v>0.010840240073916322</v>
      </c>
      <c r="K37" s="74">
        <v>259</v>
      </c>
      <c r="L37" s="15">
        <f t="shared" si="23"/>
        <v>0.009578402366863905</v>
      </c>
      <c r="M37" s="90"/>
      <c r="N37" s="56"/>
      <c r="O37" s="57"/>
      <c r="P37" s="57"/>
      <c r="Q37" s="11"/>
      <c r="R37" s="75">
        <v>1674216.64</v>
      </c>
      <c r="S37" s="15">
        <v>0.010023284595076936</v>
      </c>
      <c r="T37" s="74">
        <v>222</v>
      </c>
      <c r="U37" s="15">
        <v>0.008660372942186158</v>
      </c>
      <c r="V37" s="90"/>
      <c r="W37" s="56"/>
      <c r="X37" s="57"/>
      <c r="Y37" s="11"/>
      <c r="Z37" s="75">
        <v>1488471.9</v>
      </c>
      <c r="AA37" s="15">
        <f t="shared" si="24"/>
        <v>0.009565820194511056</v>
      </c>
      <c r="AB37" s="74">
        <v>212</v>
      </c>
      <c r="AC37" s="15">
        <f t="shared" si="25"/>
        <v>0.008746235405751063</v>
      </c>
      <c r="AD37" s="90"/>
      <c r="AE37" s="56"/>
      <c r="AF37" s="57"/>
      <c r="AG37" s="57"/>
      <c r="AH37" s="75">
        <f>1667870.41+21465.21</f>
        <v>1689335.6199999999</v>
      </c>
      <c r="AI37" s="15">
        <v>0.01121114937017391</v>
      </c>
      <c r="AJ37" s="74">
        <v>218</v>
      </c>
      <c r="AK37" s="15">
        <v>0.008917642944570729</v>
      </c>
      <c r="AL37" s="90"/>
      <c r="AM37" s="56"/>
      <c r="AN37" s="57"/>
      <c r="AO37" s="75">
        <f>1504220.62+3342.04</f>
        <v>1507562.6600000001</v>
      </c>
      <c r="AP37" s="15">
        <f t="shared" si="26"/>
        <v>0.011295955101338054</v>
      </c>
      <c r="AQ37" s="74">
        <v>224</v>
      </c>
      <c r="AR37" s="15">
        <f t="shared" si="27"/>
        <v>0.010660067577214105</v>
      </c>
      <c r="AS37" s="90"/>
      <c r="AT37" s="56"/>
      <c r="AU37" s="57"/>
      <c r="AV37" s="75">
        <v>1478303.24</v>
      </c>
      <c r="AW37" s="15">
        <f t="shared" si="29"/>
        <v>0.011946511795915127</v>
      </c>
      <c r="AX37" s="74">
        <v>186</v>
      </c>
      <c r="AY37" s="15">
        <f t="shared" si="28"/>
        <v>0.009447379114181228</v>
      </c>
      <c r="AZ37" s="90"/>
      <c r="BA37" s="56"/>
      <c r="BB37" s="57"/>
      <c r="BC37" s="75">
        <v>1210502.01</v>
      </c>
      <c r="BD37" s="15">
        <v>0.01082708978520544</v>
      </c>
      <c r="BE37" s="74">
        <v>151</v>
      </c>
      <c r="BF37" s="15">
        <v>0.008430102724430549</v>
      </c>
      <c r="BG37" s="90"/>
      <c r="BH37" s="56"/>
      <c r="BI37" s="57"/>
      <c r="BJ37" s="75">
        <v>1000231.57</v>
      </c>
      <c r="BK37" s="15">
        <v>0.009595848198449872</v>
      </c>
      <c r="BL37" s="74">
        <v>122</v>
      </c>
      <c r="BM37" s="15">
        <v>0.007243365196223951</v>
      </c>
      <c r="BN37" s="90"/>
      <c r="BO37" s="56"/>
      <c r="BP37" s="57"/>
      <c r="BQ37" s="75">
        <v>891662.8</v>
      </c>
      <c r="BR37" s="15">
        <v>0.009253337072868314</v>
      </c>
      <c r="BS37" s="74">
        <v>116</v>
      </c>
      <c r="BT37" s="15">
        <v>0.0073562052127592115</v>
      </c>
      <c r="BU37" s="90"/>
      <c r="BV37" s="56"/>
      <c r="BW37" s="57"/>
      <c r="BX37" s="75">
        <v>756483.89</v>
      </c>
      <c r="BY37" s="15">
        <v>0.008408019638015927</v>
      </c>
      <c r="BZ37" s="74">
        <v>115</v>
      </c>
      <c r="CA37" s="15">
        <v>0.007777101508081423</v>
      </c>
      <c r="CB37" s="90"/>
      <c r="CC37" s="56"/>
      <c r="CD37" s="57"/>
      <c r="CE37" s="75">
        <v>544000.2</v>
      </c>
      <c r="CF37" s="15">
        <v>0.006494340633330999</v>
      </c>
      <c r="CG37" s="74">
        <v>79</v>
      </c>
      <c r="CH37" s="15">
        <v>0.005699444484524926</v>
      </c>
      <c r="CI37" s="90"/>
      <c r="CJ37" s="56"/>
      <c r="CK37" s="57"/>
      <c r="CL37" s="75">
        <v>504865.28</v>
      </c>
      <c r="CM37" s="15">
        <v>0.006432008451573261</v>
      </c>
      <c r="CN37" s="74">
        <v>85</v>
      </c>
      <c r="CO37" s="15">
        <v>0.006526412776412777</v>
      </c>
      <c r="CP37" s="90"/>
      <c r="CQ37" s="56"/>
      <c r="CR37" s="57"/>
    </row>
    <row r="38" spans="1:96" ht="12.75">
      <c r="A38" s="9" t="s">
        <v>46</v>
      </c>
      <c r="B38" s="9"/>
      <c r="C38" s="44">
        <v>1675936.19</v>
      </c>
      <c r="D38" s="34">
        <v>0.00870716488646786</v>
      </c>
      <c r="E38" s="47">
        <v>220</v>
      </c>
      <c r="F38" s="34">
        <v>0.007345575959933222</v>
      </c>
      <c r="G38" s="44"/>
      <c r="H38" s="11"/>
      <c r="I38" s="75">
        <v>1690012.4</v>
      </c>
      <c r="J38" s="15">
        <f t="shared" si="22"/>
        <v>0.009444931082378502</v>
      </c>
      <c r="K38" s="74">
        <v>228</v>
      </c>
      <c r="L38" s="15">
        <f t="shared" si="23"/>
        <v>0.008431952662721894</v>
      </c>
      <c r="M38" s="90"/>
      <c r="N38" s="56"/>
      <c r="O38" s="57"/>
      <c r="P38" s="57"/>
      <c r="Q38" s="11"/>
      <c r="R38" s="75">
        <v>1859375.54</v>
      </c>
      <c r="S38" s="15">
        <v>0.011131803233388521</v>
      </c>
      <c r="T38" s="74">
        <v>235</v>
      </c>
      <c r="U38" s="15">
        <v>0.009167511898260124</v>
      </c>
      <c r="V38" s="90"/>
      <c r="W38" s="56"/>
      <c r="X38" s="57"/>
      <c r="Y38" s="11"/>
      <c r="Z38" s="75">
        <v>1588727.17</v>
      </c>
      <c r="AA38" s="15">
        <f t="shared" si="24"/>
        <v>0.010210121162753829</v>
      </c>
      <c r="AB38" s="74">
        <v>225</v>
      </c>
      <c r="AC38" s="15">
        <f t="shared" si="25"/>
        <v>0.009282561161764099</v>
      </c>
      <c r="AD38" s="90"/>
      <c r="AE38" s="56"/>
      <c r="AF38" s="57"/>
      <c r="AG38" s="57"/>
      <c r="AH38" s="75">
        <f>1426408.97+10467.14</f>
        <v>1436876.1099999999</v>
      </c>
      <c r="AI38" s="15">
        <v>0.010628915823386296</v>
      </c>
      <c r="AJ38" s="74">
        <v>195</v>
      </c>
      <c r="AK38" s="15">
        <v>0.008436789648539954</v>
      </c>
      <c r="AL38" s="90"/>
      <c r="AM38" s="56"/>
      <c r="AN38" s="57"/>
      <c r="AO38" s="75">
        <f>1369278.17+3023.08</f>
        <v>1372301.25</v>
      </c>
      <c r="AP38" s="15">
        <f t="shared" si="26"/>
        <v>0.010282460369182988</v>
      </c>
      <c r="AQ38" s="74">
        <f>176+23</f>
        <v>199</v>
      </c>
      <c r="AR38" s="15">
        <f t="shared" si="27"/>
        <v>0.009470327892257173</v>
      </c>
      <c r="AS38" s="90"/>
      <c r="AT38" s="56"/>
      <c r="AU38" s="57"/>
      <c r="AV38" s="75">
        <v>1423093.56</v>
      </c>
      <c r="AW38" s="15">
        <f t="shared" si="29"/>
        <v>0.011500349550225468</v>
      </c>
      <c r="AX38" s="74">
        <v>174</v>
      </c>
      <c r="AY38" s="15">
        <f t="shared" si="28"/>
        <v>0.00883787078423405</v>
      </c>
      <c r="AZ38" s="90"/>
      <c r="BA38" s="56"/>
      <c r="BB38" s="57"/>
      <c r="BC38" s="75">
        <v>1212587.23</v>
      </c>
      <c r="BD38" s="15">
        <v>0.010845740612693042</v>
      </c>
      <c r="BE38" s="74">
        <v>152</v>
      </c>
      <c r="BF38" s="15">
        <v>0.008485931219294328</v>
      </c>
      <c r="BG38" s="90"/>
      <c r="BH38" s="56"/>
      <c r="BI38" s="57"/>
      <c r="BJ38" s="75">
        <v>1031212.52</v>
      </c>
      <c r="BK38" s="15">
        <v>0.009893067864535561</v>
      </c>
      <c r="BL38" s="74">
        <v>135</v>
      </c>
      <c r="BM38" s="15">
        <v>0.008015199192542895</v>
      </c>
      <c r="BN38" s="90"/>
      <c r="BO38" s="56"/>
      <c r="BP38" s="57"/>
      <c r="BQ38" s="75">
        <v>934930.09</v>
      </c>
      <c r="BR38" s="15">
        <v>0.009702348536169846</v>
      </c>
      <c r="BS38" s="74">
        <v>110</v>
      </c>
      <c r="BT38" s="15">
        <v>0.006975711839685459</v>
      </c>
      <c r="BU38" s="90"/>
      <c r="BV38" s="56"/>
      <c r="BW38" s="57"/>
      <c r="BX38" s="75">
        <v>862955.83</v>
      </c>
      <c r="BY38" s="15">
        <v>0.009591413196360773</v>
      </c>
      <c r="BZ38" s="74">
        <v>108</v>
      </c>
      <c r="CA38" s="15">
        <v>0.007303712720632989</v>
      </c>
      <c r="CB38" s="90"/>
      <c r="CC38" s="56"/>
      <c r="CD38" s="57"/>
      <c r="CE38" s="75">
        <v>787839.19</v>
      </c>
      <c r="CF38" s="15">
        <v>0.00940532018949181</v>
      </c>
      <c r="CG38" s="74">
        <v>105</v>
      </c>
      <c r="CH38" s="15">
        <v>0.007575211023735661</v>
      </c>
      <c r="CI38" s="90"/>
      <c r="CJ38" s="56"/>
      <c r="CK38" s="57"/>
      <c r="CL38" s="75">
        <v>523267</v>
      </c>
      <c r="CM38" s="15">
        <v>0.006666447267733257</v>
      </c>
      <c r="CN38" s="74">
        <v>77</v>
      </c>
      <c r="CO38" s="15">
        <v>0.0059121621621621625</v>
      </c>
      <c r="CP38" s="90"/>
      <c r="CQ38" s="56"/>
      <c r="CR38" s="57"/>
    </row>
    <row r="39" spans="1:96" ht="12.75">
      <c r="A39" s="9" t="s">
        <v>75</v>
      </c>
      <c r="B39" s="9"/>
      <c r="C39" s="44">
        <v>5696829.520000006</v>
      </c>
      <c r="D39" s="34">
        <v>0.029597328500160634</v>
      </c>
      <c r="E39" s="47">
        <v>740</v>
      </c>
      <c r="F39" s="34">
        <v>0.024707846410684475</v>
      </c>
      <c r="G39" s="44"/>
      <c r="H39" s="11"/>
      <c r="I39" s="75">
        <f>5382674.19+283422.08+56919.58</f>
        <v>5723015.850000001</v>
      </c>
      <c r="J39" s="15">
        <f t="shared" si="22"/>
        <v>0.03198407910297571</v>
      </c>
      <c r="K39" s="74">
        <f>678+287</f>
        <v>965</v>
      </c>
      <c r="L39" s="15">
        <f t="shared" si="23"/>
        <v>0.03568786982248521</v>
      </c>
      <c r="M39" s="90"/>
      <c r="N39" s="56"/>
      <c r="O39" s="57"/>
      <c r="P39" s="57"/>
      <c r="Q39" s="11"/>
      <c r="R39" s="75">
        <v>5051894.33</v>
      </c>
      <c r="S39" s="15">
        <v>0.03024493569353457</v>
      </c>
      <c r="T39" s="74">
        <v>643</v>
      </c>
      <c r="U39" s="15">
        <v>0.02508387298119685</v>
      </c>
      <c r="V39" s="90"/>
      <c r="W39" s="56"/>
      <c r="X39" s="57"/>
      <c r="Y39" s="11"/>
      <c r="Z39" s="75">
        <v>4854457.73</v>
      </c>
      <c r="AA39" s="15">
        <f t="shared" si="24"/>
        <v>0.03119767983999853</v>
      </c>
      <c r="AB39" s="74">
        <v>647</v>
      </c>
      <c r="AC39" s="15">
        <f t="shared" si="25"/>
        <v>0.026692520318494988</v>
      </c>
      <c r="AD39" s="90"/>
      <c r="AE39" s="56"/>
      <c r="AF39" s="57"/>
      <c r="AG39" s="57"/>
      <c r="AH39" s="75">
        <f>1416544.23+1557672.51+1266623.77+52080.14+23025.27+17977</f>
        <v>4333922.919999999</v>
      </c>
      <c r="AI39" s="15">
        <v>0.030686514094985847</v>
      </c>
      <c r="AJ39" s="74">
        <f>197+210+192+7+8+3</f>
        <v>617</v>
      </c>
      <c r="AK39" s="15">
        <v>0.02421752054554992</v>
      </c>
      <c r="AL39" s="90"/>
      <c r="AM39" s="56"/>
      <c r="AN39" s="57"/>
      <c r="AO39" s="75">
        <f>4009783.09+10056.17</f>
        <v>4019839.26</v>
      </c>
      <c r="AP39" s="15">
        <f t="shared" si="26"/>
        <v>0.03012009052781659</v>
      </c>
      <c r="AQ39" s="74">
        <f>486+59</f>
        <v>545</v>
      </c>
      <c r="AR39" s="15">
        <f t="shared" si="27"/>
        <v>0.025936325132061105</v>
      </c>
      <c r="AS39" s="90"/>
      <c r="AT39" s="56"/>
      <c r="AU39" s="57"/>
      <c r="AV39" s="75">
        <v>3598827.5</v>
      </c>
      <c r="AW39" s="15">
        <f t="shared" si="29"/>
        <v>0.029082960800528142</v>
      </c>
      <c r="AX39" s="74">
        <v>477</v>
      </c>
      <c r="AY39" s="15">
        <f t="shared" si="28"/>
        <v>0.024227956115400243</v>
      </c>
      <c r="AZ39" s="90"/>
      <c r="BA39" s="56"/>
      <c r="BB39" s="57"/>
      <c r="BC39" s="75">
        <v>3680404</v>
      </c>
      <c r="BD39" s="15">
        <v>0.03291862733365412</v>
      </c>
      <c r="BE39" s="74">
        <v>473</v>
      </c>
      <c r="BF39" s="15">
        <v>0.026406878070567217</v>
      </c>
      <c r="BG39" s="90"/>
      <c r="BH39" s="56"/>
      <c r="BI39" s="57"/>
      <c r="BJ39" s="75">
        <v>3071486.09</v>
      </c>
      <c r="BK39" s="15">
        <v>0.02946669066173379</v>
      </c>
      <c r="BL39" s="74">
        <v>405</v>
      </c>
      <c r="BM39" s="15">
        <v>0.02404559757762869</v>
      </c>
      <c r="BN39" s="90"/>
      <c r="BO39" s="56"/>
      <c r="BP39" s="57"/>
      <c r="BQ39" s="75">
        <v>2583268.82</v>
      </c>
      <c r="BR39" s="15">
        <v>0.026808180335986604</v>
      </c>
      <c r="BS39" s="74">
        <v>348</v>
      </c>
      <c r="BT39" s="15">
        <v>0.022068615638277632</v>
      </c>
      <c r="BU39" s="90"/>
      <c r="BV39" s="56"/>
      <c r="BW39" s="57"/>
      <c r="BX39" s="75">
        <v>2126647.36</v>
      </c>
      <c r="BY39" s="15">
        <v>0.02363684541387222</v>
      </c>
      <c r="BZ39" s="74">
        <v>288</v>
      </c>
      <c r="CA39" s="15">
        <v>0.019476567255021303</v>
      </c>
      <c r="CB39" s="90"/>
      <c r="CC39" s="56"/>
      <c r="CD39" s="57"/>
      <c r="CE39" s="75">
        <v>1928315.07</v>
      </c>
      <c r="CF39" s="15">
        <v>0.023020460126605673</v>
      </c>
      <c r="CG39" s="74">
        <v>268</v>
      </c>
      <c r="CH39" s="15">
        <v>0.019334824327249117</v>
      </c>
      <c r="CI39" s="90"/>
      <c r="CJ39" s="56"/>
      <c r="CK39" s="57"/>
      <c r="CL39" s="75">
        <v>1621903.16</v>
      </c>
      <c r="CM39" s="15">
        <v>0.020663125879350184</v>
      </c>
      <c r="CN39" s="74">
        <v>229</v>
      </c>
      <c r="CO39" s="15">
        <v>0.017582923832923834</v>
      </c>
      <c r="CP39" s="90"/>
      <c r="CQ39" s="56"/>
      <c r="CR39" s="57"/>
    </row>
    <row r="40" spans="1:96" ht="12.75">
      <c r="A40" s="9" t="s">
        <v>76</v>
      </c>
      <c r="B40" s="9"/>
      <c r="C40" s="44">
        <v>5197579.74</v>
      </c>
      <c r="D40" s="34">
        <v>0.027003524404318007</v>
      </c>
      <c r="E40" s="47">
        <v>720</v>
      </c>
      <c r="F40" s="34">
        <v>0.024040066777963272</v>
      </c>
      <c r="G40" s="44"/>
      <c r="H40" s="11"/>
      <c r="I40" s="75">
        <v>4810336.240000007</v>
      </c>
      <c r="J40" s="15">
        <f t="shared" si="22"/>
        <v>0.026883408825797844</v>
      </c>
      <c r="K40" s="74">
        <v>639</v>
      </c>
      <c r="L40" s="15">
        <f t="shared" si="23"/>
        <v>0.02363165680473373</v>
      </c>
      <c r="M40" s="90"/>
      <c r="N40" s="56"/>
      <c r="O40" s="57"/>
      <c r="P40" s="57"/>
      <c r="Q40" s="11"/>
      <c r="R40" s="75">
        <v>4957099.11</v>
      </c>
      <c r="S40" s="15">
        <v>0.029677410890822712</v>
      </c>
      <c r="T40" s="74">
        <v>635</v>
      </c>
      <c r="U40" s="15">
        <v>0.024771787469766715</v>
      </c>
      <c r="V40" s="90"/>
      <c r="W40" s="56"/>
      <c r="X40" s="57"/>
      <c r="Y40" s="11"/>
      <c r="Z40" s="75">
        <f>4383818.97+99426.14</f>
        <v>4483245.109999999</v>
      </c>
      <c r="AA40" s="15">
        <f t="shared" si="24"/>
        <v>0.028812043149878033</v>
      </c>
      <c r="AB40" s="74">
        <f>566+89</f>
        <v>655</v>
      </c>
      <c r="AC40" s="15">
        <f t="shared" si="25"/>
        <v>0.02702256693757993</v>
      </c>
      <c r="AD40" s="90"/>
      <c r="AE40" s="56"/>
      <c r="AF40" s="57"/>
      <c r="AG40" s="57"/>
      <c r="AH40" s="75">
        <f>1315342.12+1652597+1440752.04+45349.98+94119.55+14343.23+181145.97</f>
        <v>4743649.890000001</v>
      </c>
      <c r="AI40" s="15">
        <v>0.03168286367271794</v>
      </c>
      <c r="AJ40" s="74">
        <f>197+208+181+7+15+6+125</f>
        <v>739</v>
      </c>
      <c r="AK40" s="15">
        <v>0.024742087777583494</v>
      </c>
      <c r="AL40" s="90"/>
      <c r="AM40" s="56"/>
      <c r="AN40" s="57"/>
      <c r="AO40" s="75">
        <f>4125964.26+10444.87</f>
        <v>4136409.13</v>
      </c>
      <c r="AP40" s="15">
        <f t="shared" si="26"/>
        <v>0.030993532178121737</v>
      </c>
      <c r="AQ40" s="74">
        <f>532+76</f>
        <v>608</v>
      </c>
      <c r="AR40" s="15">
        <f t="shared" si="27"/>
        <v>0.028934469138152574</v>
      </c>
      <c r="AS40" s="90"/>
      <c r="AT40" s="56"/>
      <c r="AU40" s="57"/>
      <c r="AV40" s="75">
        <v>3829890.6</v>
      </c>
      <c r="AW40" s="15">
        <f t="shared" si="29"/>
        <v>0.03095023537252375</v>
      </c>
      <c r="AX40" s="74">
        <v>465</v>
      </c>
      <c r="AY40" s="15">
        <f t="shared" si="28"/>
        <v>0.023618447785453068</v>
      </c>
      <c r="AZ40" s="90"/>
      <c r="BA40" s="56"/>
      <c r="BB40" s="57"/>
      <c r="BC40" s="75">
        <v>3079998.31</v>
      </c>
      <c r="BD40" s="15">
        <v>0.027548420378625444</v>
      </c>
      <c r="BE40" s="74">
        <v>406</v>
      </c>
      <c r="BF40" s="15">
        <v>0.02266636891469406</v>
      </c>
      <c r="BG40" s="90"/>
      <c r="BH40" s="56"/>
      <c r="BI40" s="57"/>
      <c r="BJ40" s="75">
        <v>3364860.48</v>
      </c>
      <c r="BK40" s="15">
        <v>0.03228121501408236</v>
      </c>
      <c r="BL40" s="74">
        <v>417</v>
      </c>
      <c r="BM40" s="15">
        <v>0.024758059728076945</v>
      </c>
      <c r="BN40" s="90"/>
      <c r="BO40" s="56"/>
      <c r="BP40" s="57"/>
      <c r="BQ40" s="75">
        <v>3037506.91</v>
      </c>
      <c r="BR40" s="15">
        <v>0.03152209030072432</v>
      </c>
      <c r="BS40" s="74">
        <v>391</v>
      </c>
      <c r="BT40" s="15">
        <v>0.024795484811972857</v>
      </c>
      <c r="BU40" s="90"/>
      <c r="BV40" s="56"/>
      <c r="BW40" s="57"/>
      <c r="BX40" s="75">
        <v>2536097.3</v>
      </c>
      <c r="BY40" s="15">
        <v>0.02818771977063406</v>
      </c>
      <c r="BZ40" s="74">
        <v>329</v>
      </c>
      <c r="CA40" s="15">
        <v>0.02224927301007642</v>
      </c>
      <c r="CB40" s="90"/>
      <c r="CC40" s="56"/>
      <c r="CD40" s="57"/>
      <c r="CE40" s="75">
        <v>1883349.01</v>
      </c>
      <c r="CF40" s="15">
        <v>0.02248364982657491</v>
      </c>
      <c r="CG40" s="74">
        <v>262</v>
      </c>
      <c r="CH40" s="15">
        <v>0.018901955125892794</v>
      </c>
      <c r="CI40" s="90"/>
      <c r="CJ40" s="56"/>
      <c r="CK40" s="57"/>
      <c r="CL40" s="75">
        <v>1722664.7</v>
      </c>
      <c r="CM40" s="15">
        <v>0.02194683284544128</v>
      </c>
      <c r="CN40" s="74">
        <v>250</v>
      </c>
      <c r="CO40" s="15">
        <v>0.019195331695331695</v>
      </c>
      <c r="CP40" s="90"/>
      <c r="CQ40" s="56"/>
      <c r="CR40" s="57"/>
    </row>
    <row r="41" spans="1:96" ht="12.75">
      <c r="A41" s="9" t="s">
        <v>47</v>
      </c>
      <c r="B41" s="9"/>
      <c r="C41" s="44">
        <v>20496668.999999993</v>
      </c>
      <c r="D41" s="34">
        <v>0.1064884675629293</v>
      </c>
      <c r="E41" s="47">
        <v>3027</v>
      </c>
      <c r="F41" s="34">
        <v>0.10106844741235392</v>
      </c>
      <c r="G41" s="44"/>
      <c r="H41" s="11"/>
      <c r="I41" s="75">
        <f>23248767.98-283422.08-56919.58</f>
        <v>22908426.320000004</v>
      </c>
      <c r="J41" s="15">
        <f t="shared" si="22"/>
        <v>0.12802776346383365</v>
      </c>
      <c r="K41" s="74">
        <f>3402-244-43</f>
        <v>3115</v>
      </c>
      <c r="L41" s="15">
        <f t="shared" si="23"/>
        <v>0.11519970414201183</v>
      </c>
      <c r="M41" s="90"/>
      <c r="N41" s="56"/>
      <c r="O41" s="57"/>
      <c r="P41" s="57"/>
      <c r="Q41" s="11"/>
      <c r="R41" s="75">
        <v>25777051.779999986</v>
      </c>
      <c r="S41" s="15">
        <v>0.15432335328657013</v>
      </c>
      <c r="T41" s="74">
        <v>3685</v>
      </c>
      <c r="U41" s="15">
        <v>0.14375438870250448</v>
      </c>
      <c r="V41" s="90"/>
      <c r="W41" s="56"/>
      <c r="X41" s="57"/>
      <c r="Y41" s="11"/>
      <c r="Z41" s="75">
        <v>28774833.91999999</v>
      </c>
      <c r="AA41" s="15">
        <f t="shared" si="24"/>
        <v>0.1849244768447679</v>
      </c>
      <c r="AB41" s="74">
        <v>4055</v>
      </c>
      <c r="AC41" s="15">
        <f t="shared" si="25"/>
        <v>0.16729238004868188</v>
      </c>
      <c r="AD41" s="90"/>
      <c r="AE41" s="56"/>
      <c r="AF41" s="57"/>
      <c r="AG41" s="57"/>
      <c r="AH41" s="75">
        <f>27012021.43+3614109.03</f>
        <v>30626130.46</v>
      </c>
      <c r="AI41" s="15">
        <v>0.21637616237999013</v>
      </c>
      <c r="AJ41" s="74">
        <f>3702+596</f>
        <v>4298</v>
      </c>
      <c r="AK41" s="15">
        <v>0.18901905927609722</v>
      </c>
      <c r="AL41" s="90"/>
      <c r="AM41" s="56"/>
      <c r="AN41" s="57"/>
      <c r="AO41" s="75">
        <f>32775507.5+202421.51</f>
        <v>32977929.01</v>
      </c>
      <c r="AP41" s="15">
        <f t="shared" si="26"/>
        <v>0.24709898654034962</v>
      </c>
      <c r="AQ41" s="74">
        <f>4526+125</f>
        <v>4651</v>
      </c>
      <c r="AR41" s="15">
        <f t="shared" si="27"/>
        <v>0.22133917098938752</v>
      </c>
      <c r="AS41" s="90"/>
      <c r="AT41" s="56"/>
      <c r="AU41" s="57"/>
      <c r="AV41" s="75">
        <v>34556204.82999987</v>
      </c>
      <c r="AW41" s="15">
        <f t="shared" si="29"/>
        <v>0.2792567163849636</v>
      </c>
      <c r="AX41" s="74">
        <v>4735</v>
      </c>
      <c r="AY41" s="15">
        <f t="shared" si="28"/>
        <v>0.24050182852498983</v>
      </c>
      <c r="AZ41" s="90"/>
      <c r="BA41" s="56"/>
      <c r="BB41" s="57"/>
      <c r="BC41" s="75">
        <v>32673671.34999999</v>
      </c>
      <c r="BD41" s="15">
        <v>0.29224302842648286</v>
      </c>
      <c r="BE41" s="74">
        <v>4341</v>
      </c>
      <c r="BF41" s="15">
        <v>0.24235149620366234</v>
      </c>
      <c r="BG41" s="90"/>
      <c r="BH41" s="56"/>
      <c r="BI41" s="57"/>
      <c r="BJ41" s="75">
        <v>33411578.469999973</v>
      </c>
      <c r="BK41" s="15">
        <v>0.3205382080358808</v>
      </c>
      <c r="BL41" s="74">
        <v>4432</v>
      </c>
      <c r="BM41" s="15">
        <v>0.26313602089888977</v>
      </c>
      <c r="BN41" s="90"/>
      <c r="BO41" s="56"/>
      <c r="BP41" s="57"/>
      <c r="BQ41" s="75">
        <v>33399891.120000027</v>
      </c>
      <c r="BR41" s="15">
        <v>0.3466113543488204</v>
      </c>
      <c r="BS41" s="74">
        <v>4429</v>
      </c>
      <c r="BT41" s="15">
        <v>0.2808675248906082</v>
      </c>
      <c r="BU41" s="90"/>
      <c r="BV41" s="56"/>
      <c r="BW41" s="57"/>
      <c r="BX41" s="75">
        <v>34377936.07000002</v>
      </c>
      <c r="BY41" s="15">
        <v>0.38209718066965864</v>
      </c>
      <c r="BZ41" s="74">
        <v>4530</v>
      </c>
      <c r="CA41" s="15">
        <v>0.30635017244877255</v>
      </c>
      <c r="CB41" s="90"/>
      <c r="CC41" s="56"/>
      <c r="CD41" s="57"/>
      <c r="CE41" s="75">
        <v>35023900.29000004</v>
      </c>
      <c r="CF41" s="15">
        <v>0.4181195867043443</v>
      </c>
      <c r="CG41" s="74">
        <v>4617</v>
      </c>
      <c r="CH41" s="15">
        <v>0.3330928504436909</v>
      </c>
      <c r="CI41" s="90"/>
      <c r="CJ41" s="56"/>
      <c r="CK41" s="57"/>
      <c r="CL41" s="75">
        <v>35174018.86000006</v>
      </c>
      <c r="CM41" s="15">
        <v>0.44811872700637617</v>
      </c>
      <c r="CN41" s="74">
        <v>4622</v>
      </c>
      <c r="CO41" s="15">
        <v>0.35488329238329236</v>
      </c>
      <c r="CP41" s="90"/>
      <c r="CQ41" s="56"/>
      <c r="CR41" s="57"/>
    </row>
    <row r="42" spans="1:96" ht="12.75">
      <c r="A42" s="9"/>
      <c r="B42" s="9"/>
      <c r="C42" s="44"/>
      <c r="D42" s="34"/>
      <c r="E42" s="47"/>
      <c r="F42" s="34"/>
      <c r="G42" s="34"/>
      <c r="H42" s="34"/>
      <c r="I42" s="10"/>
      <c r="J42" s="9"/>
      <c r="K42" s="11"/>
      <c r="L42" s="9"/>
      <c r="M42" s="55"/>
      <c r="N42" s="56"/>
      <c r="O42" s="55"/>
      <c r="P42" s="55"/>
      <c r="Q42" s="34"/>
      <c r="R42" s="10"/>
      <c r="S42" s="9"/>
      <c r="T42" s="11"/>
      <c r="U42" s="9"/>
      <c r="V42" s="55"/>
      <c r="W42" s="56"/>
      <c r="X42" s="55"/>
      <c r="Y42" s="34"/>
      <c r="Z42" s="10"/>
      <c r="AA42" s="9"/>
      <c r="AB42" s="11"/>
      <c r="AC42" s="9"/>
      <c r="AD42" s="55"/>
      <c r="AE42" s="56"/>
      <c r="AF42" s="55"/>
      <c r="AG42" s="55"/>
      <c r="AH42" s="10"/>
      <c r="AI42" s="9"/>
      <c r="AJ42" s="11"/>
      <c r="AK42" s="9"/>
      <c r="AL42" s="55"/>
      <c r="AM42" s="56"/>
      <c r="AN42" s="55"/>
      <c r="AO42" s="10"/>
      <c r="AP42" s="9"/>
      <c r="AQ42" s="11"/>
      <c r="AR42" s="9"/>
      <c r="AS42" s="55"/>
      <c r="AT42" s="56"/>
      <c r="AU42" s="55"/>
      <c r="AV42" s="10"/>
      <c r="AW42" s="9"/>
      <c r="AX42" s="11"/>
      <c r="AY42" s="9"/>
      <c r="AZ42" s="55"/>
      <c r="BA42" s="56"/>
      <c r="BB42" s="55"/>
      <c r="BC42" s="10"/>
      <c r="BD42" s="9"/>
      <c r="BE42" s="11"/>
      <c r="BF42" s="9"/>
      <c r="BG42" s="55"/>
      <c r="BH42" s="56"/>
      <c r="BI42" s="55"/>
      <c r="BJ42" s="10"/>
      <c r="BK42" s="9"/>
      <c r="BL42" s="11"/>
      <c r="BM42" s="9"/>
      <c r="BN42" s="55"/>
      <c r="BO42" s="56"/>
      <c r="BP42" s="55"/>
      <c r="BQ42" s="10"/>
      <c r="BR42" s="9"/>
      <c r="BS42" s="11"/>
      <c r="BT42" s="9"/>
      <c r="BU42" s="55"/>
      <c r="BV42" s="56"/>
      <c r="BW42" s="55"/>
      <c r="BX42" s="10"/>
      <c r="BY42" s="9"/>
      <c r="BZ42" s="11"/>
      <c r="CA42" s="9"/>
      <c r="CB42" s="55"/>
      <c r="CC42" s="56"/>
      <c r="CD42" s="55"/>
      <c r="CE42" s="10"/>
      <c r="CF42" s="9"/>
      <c r="CG42" s="11"/>
      <c r="CH42" s="9"/>
      <c r="CI42" s="55"/>
      <c r="CJ42" s="56"/>
      <c r="CK42" s="55"/>
      <c r="CL42" s="10"/>
      <c r="CM42" s="9"/>
      <c r="CN42" s="11"/>
      <c r="CO42" s="9"/>
      <c r="CP42" s="55"/>
      <c r="CQ42" s="56"/>
      <c r="CR42" s="55"/>
    </row>
    <row r="43" spans="1:96" ht="13.5" thickBot="1">
      <c r="A43" s="9"/>
      <c r="B43" s="9"/>
      <c r="C43" s="82">
        <f>SUM(C33:C41)</f>
        <v>192477828.53000018</v>
      </c>
      <c r="D43" s="34"/>
      <c r="E43" s="83">
        <f>SUM(E33:E41)</f>
        <v>29950</v>
      </c>
      <c r="F43" s="9"/>
      <c r="G43" s="44"/>
      <c r="H43" s="87"/>
      <c r="I43" s="22">
        <f>SUM(I33:I41)</f>
        <v>178933269.62999997</v>
      </c>
      <c r="J43" s="13"/>
      <c r="K43" s="23">
        <f>SUM(K33:K41)</f>
        <v>27040</v>
      </c>
      <c r="L43" s="24"/>
      <c r="M43" s="31"/>
      <c r="N43" s="32"/>
      <c r="O43" s="88"/>
      <c r="P43" s="58"/>
      <c r="Q43" s="87"/>
      <c r="R43" s="22">
        <f>SUM(R33:R41)</f>
        <v>167032735.04000002</v>
      </c>
      <c r="S43" s="13"/>
      <c r="T43" s="23">
        <f>SUM(T33:T41)</f>
        <v>25634</v>
      </c>
      <c r="U43" s="24"/>
      <c r="V43" s="31"/>
      <c r="W43" s="32"/>
      <c r="X43" s="88"/>
      <c r="Y43" s="87"/>
      <c r="Z43" s="22">
        <f>SUM(Z33:Z41)</f>
        <v>155603165.2</v>
      </c>
      <c r="AA43" s="13"/>
      <c r="AB43" s="23">
        <f>SUM(AB33:AB41)</f>
        <v>24239</v>
      </c>
      <c r="AC43" s="24"/>
      <c r="AD43" s="31"/>
      <c r="AE43" s="32"/>
      <c r="AF43" s="88"/>
      <c r="AG43" s="88"/>
      <c r="AH43" s="22">
        <f>SUM(AH33:AH41)</f>
        <v>144131561.06000003</v>
      </c>
      <c r="AI43" s="13"/>
      <c r="AJ43" s="23">
        <f>SUM(AJ33:AJ41)</f>
        <v>22876</v>
      </c>
      <c r="AK43" s="24"/>
      <c r="AL43" s="31"/>
      <c r="AM43" s="32"/>
      <c r="AN43" s="88"/>
      <c r="AO43" s="22">
        <f>SUM(AO33:AO41)</f>
        <v>133460397.67999989</v>
      </c>
      <c r="AP43" s="13"/>
      <c r="AQ43" s="23">
        <f>SUM(AQ33:AQ41)</f>
        <v>21013</v>
      </c>
      <c r="AR43" s="24"/>
      <c r="AS43" s="31"/>
      <c r="AT43" s="32"/>
      <c r="AU43" s="88"/>
      <c r="AV43" s="22">
        <f>SUM(AV33:AV41)</f>
        <v>123743504.81999913</v>
      </c>
      <c r="AW43" s="13"/>
      <c r="AX43" s="23">
        <f>SUM(AX33:AX41)</f>
        <v>19688</v>
      </c>
      <c r="AY43" s="24"/>
      <c r="AZ43" s="31"/>
      <c r="BA43" s="32"/>
      <c r="BB43" s="88"/>
      <c r="BC43" s="22">
        <f>SUM(BC33:BC41)</f>
        <v>111803082.26999992</v>
      </c>
      <c r="BD43" s="13"/>
      <c r="BE43" s="23">
        <f>SUM(BE33:BE41)</f>
        <v>17912</v>
      </c>
      <c r="BF43" s="24"/>
      <c r="BG43" s="31"/>
      <c r="BH43" s="32"/>
      <c r="BI43" s="88"/>
      <c r="BJ43" s="22">
        <f>SUM(BJ33:BJ41)</f>
        <v>104235868.40000024</v>
      </c>
      <c r="BK43" s="13"/>
      <c r="BL43" s="23">
        <f>SUM(BL33:BL41)</f>
        <v>16843</v>
      </c>
      <c r="BM43" s="24"/>
      <c r="BN43" s="31"/>
      <c r="BO43" s="32"/>
      <c r="BP43" s="88"/>
      <c r="BQ43" s="22">
        <f>SUM(BQ33:BQ41)</f>
        <v>96361214.66000006</v>
      </c>
      <c r="BR43" s="13"/>
      <c r="BS43" s="23">
        <f>SUM(BS33:BS41)</f>
        <v>15769</v>
      </c>
      <c r="BT43" s="24"/>
      <c r="BU43" s="31"/>
      <c r="BV43" s="32"/>
      <c r="BW43" s="88"/>
      <c r="BX43" s="22">
        <f>SUM(BX33:BX41)</f>
        <v>89971708.27000003</v>
      </c>
      <c r="BY43" s="13"/>
      <c r="BZ43" s="23">
        <f>SUM(BZ33:BZ41)</f>
        <v>14787</v>
      </c>
      <c r="CA43" s="24"/>
      <c r="CB43" s="31"/>
      <c r="CC43" s="32"/>
      <c r="CD43" s="88"/>
      <c r="CE43" s="22">
        <f>SUM(CE33:CE41)</f>
        <v>83765270.5200001</v>
      </c>
      <c r="CF43" s="13"/>
      <c r="CG43" s="23">
        <f>SUM(CG33:CG41)</f>
        <v>13861</v>
      </c>
      <c r="CH43" s="24"/>
      <c r="CI43" s="31"/>
      <c r="CJ43" s="32"/>
      <c r="CK43" s="88"/>
      <c r="CL43" s="22">
        <f>SUM(CL33:CL41)</f>
        <v>78492633.18000004</v>
      </c>
      <c r="CM43" s="13"/>
      <c r="CN43" s="23">
        <f>SUM(CN33:CN41)</f>
        <v>13024</v>
      </c>
      <c r="CO43" s="24"/>
      <c r="CP43" s="31"/>
      <c r="CQ43" s="32"/>
      <c r="CR43" s="88"/>
    </row>
    <row r="44" spans="1:96" ht="13.5" thickTop="1">
      <c r="A44" s="9"/>
      <c r="B44" s="9"/>
      <c r="C44" s="9"/>
      <c r="D44" s="9"/>
      <c r="E44" s="47"/>
      <c r="F44" s="9"/>
      <c r="G44" s="9"/>
      <c r="H44" s="9"/>
      <c r="I44" s="9"/>
      <c r="J44" s="9"/>
      <c r="K44" s="9"/>
      <c r="L44" s="9"/>
      <c r="M44" s="89"/>
      <c r="N44" s="55"/>
      <c r="O44" s="55"/>
      <c r="P44" s="55"/>
      <c r="Q44" s="9"/>
      <c r="R44" s="9"/>
      <c r="S44" s="9"/>
      <c r="T44" s="9"/>
      <c r="U44" s="9"/>
      <c r="V44" s="89"/>
      <c r="W44" s="55"/>
      <c r="X44" s="55"/>
      <c r="Y44" s="9"/>
      <c r="Z44" s="9"/>
      <c r="AA44" s="9"/>
      <c r="AB44" s="9"/>
      <c r="AC44" s="9"/>
      <c r="AD44" s="89"/>
      <c r="AE44" s="55"/>
      <c r="AF44" s="55"/>
      <c r="AG44" s="55"/>
      <c r="AH44" s="9"/>
      <c r="AI44" s="9"/>
      <c r="AJ44" s="9"/>
      <c r="AK44" s="9"/>
      <c r="AL44" s="89"/>
      <c r="AM44" s="55"/>
      <c r="AN44" s="55"/>
      <c r="AO44" s="9"/>
      <c r="AP44" s="9"/>
      <c r="AQ44" s="9"/>
      <c r="AR44" s="9"/>
      <c r="AS44" s="89"/>
      <c r="AT44" s="55"/>
      <c r="AU44" s="55"/>
      <c r="AV44" s="9"/>
      <c r="AW44" s="9"/>
      <c r="AX44" s="9"/>
      <c r="AY44" s="9"/>
      <c r="AZ44" s="89"/>
      <c r="BA44" s="55"/>
      <c r="BB44" s="55"/>
      <c r="BC44" s="9"/>
      <c r="BD44" s="9"/>
      <c r="BE44" s="9"/>
      <c r="BF44" s="9"/>
      <c r="BG44" s="89"/>
      <c r="BH44" s="55"/>
      <c r="BI44" s="55"/>
      <c r="BJ44" s="9"/>
      <c r="BK44" s="9"/>
      <c r="BL44" s="9"/>
      <c r="BM44" s="9"/>
      <c r="BN44" s="89"/>
      <c r="BO44" s="55"/>
      <c r="BP44" s="55"/>
      <c r="BQ44" s="9"/>
      <c r="BR44" s="9"/>
      <c r="BS44" s="9"/>
      <c r="BT44" s="9"/>
      <c r="BU44" s="89"/>
      <c r="BV44" s="55"/>
      <c r="BW44" s="55"/>
      <c r="BX44" s="9"/>
      <c r="BY44" s="9"/>
      <c r="BZ44" s="9"/>
      <c r="CA44" s="9"/>
      <c r="CB44" s="89"/>
      <c r="CC44" s="55"/>
      <c r="CD44" s="55"/>
      <c r="CE44" s="9"/>
      <c r="CF44" s="9"/>
      <c r="CG44" s="9"/>
      <c r="CH44" s="9"/>
      <c r="CI44" s="89"/>
      <c r="CJ44" s="55"/>
      <c r="CK44" s="55"/>
      <c r="CL44" s="9"/>
      <c r="CM44" s="9"/>
      <c r="CN44" s="9"/>
      <c r="CO44" s="9"/>
      <c r="CP44" s="89"/>
      <c r="CQ44" s="55"/>
      <c r="CR44" s="55"/>
    </row>
    <row r="45" spans="1:96" ht="12.75">
      <c r="A45" s="20" t="s">
        <v>128</v>
      </c>
      <c r="B45" s="9"/>
      <c r="C45" s="9"/>
      <c r="D45" s="9"/>
      <c r="E45" s="9"/>
      <c r="F45" s="9"/>
      <c r="G45" s="9"/>
      <c r="H45" s="9"/>
      <c r="I45" s="20" t="s">
        <v>128</v>
      </c>
      <c r="J45" s="9"/>
      <c r="K45" s="9"/>
      <c r="L45" s="9"/>
      <c r="M45" s="9"/>
      <c r="N45" s="9"/>
      <c r="O45" s="9"/>
      <c r="P45" s="9"/>
      <c r="Q45" s="9"/>
      <c r="R45" s="20" t="s">
        <v>128</v>
      </c>
      <c r="S45" s="9"/>
      <c r="T45" s="9"/>
      <c r="U45" s="9"/>
      <c r="V45" s="9"/>
      <c r="W45" s="9"/>
      <c r="X45" s="9"/>
      <c r="Y45" s="9"/>
      <c r="Z45" s="20" t="s">
        <v>128</v>
      </c>
      <c r="AA45" s="9"/>
      <c r="AB45" s="9"/>
      <c r="AC45" s="9"/>
      <c r="AD45" s="9"/>
      <c r="AE45" s="9"/>
      <c r="AF45" s="9"/>
      <c r="AG45" s="9"/>
      <c r="AH45" s="20" t="s">
        <v>128</v>
      </c>
      <c r="AI45" s="9"/>
      <c r="AJ45" s="9"/>
      <c r="AK45" s="9"/>
      <c r="AL45" s="9"/>
      <c r="AM45" s="9"/>
      <c r="AN45" s="9"/>
      <c r="AO45" s="20" t="s">
        <v>128</v>
      </c>
      <c r="AP45" s="9"/>
      <c r="AQ45" s="9"/>
      <c r="AR45" s="9"/>
      <c r="AS45" s="9"/>
      <c r="AT45" s="9"/>
      <c r="AU45" s="9"/>
      <c r="AV45" s="20" t="s">
        <v>128</v>
      </c>
      <c r="AW45" s="9"/>
      <c r="AX45" s="9"/>
      <c r="AY45" s="9"/>
      <c r="AZ45" s="9"/>
      <c r="BA45" s="9"/>
      <c r="BB45" s="9"/>
      <c r="BC45" s="20" t="s">
        <v>128</v>
      </c>
      <c r="BD45" s="9"/>
      <c r="BE45" s="9"/>
      <c r="BF45" s="9"/>
      <c r="BG45" s="9"/>
      <c r="BH45" s="9"/>
      <c r="BI45" s="9"/>
      <c r="BJ45" s="20" t="s">
        <v>128</v>
      </c>
      <c r="BK45" s="9"/>
      <c r="BL45" s="9"/>
      <c r="BM45" s="9"/>
      <c r="BN45" s="9"/>
      <c r="BO45" s="9"/>
      <c r="BP45" s="9"/>
      <c r="BQ45" s="20" t="s">
        <v>128</v>
      </c>
      <c r="BR45" s="9"/>
      <c r="BS45" s="9"/>
      <c r="BT45" s="9"/>
      <c r="BU45" s="9"/>
      <c r="BV45" s="9"/>
      <c r="BW45" s="9"/>
      <c r="BX45" s="20" t="s">
        <v>128</v>
      </c>
      <c r="BY45" s="9"/>
      <c r="BZ45" s="9"/>
      <c r="CA45" s="9"/>
      <c r="CB45" s="9"/>
      <c r="CC45" s="9"/>
      <c r="CD45" s="9"/>
      <c r="CE45" s="20" t="s">
        <v>128</v>
      </c>
      <c r="CF45" s="9"/>
      <c r="CG45" s="9"/>
      <c r="CH45" s="9"/>
      <c r="CI45" s="9"/>
      <c r="CJ45" s="9"/>
      <c r="CK45" s="9"/>
      <c r="CL45" s="20" t="s">
        <v>128</v>
      </c>
      <c r="CM45" s="9"/>
      <c r="CN45" s="9"/>
      <c r="CO45" s="9"/>
      <c r="CP45" s="9"/>
      <c r="CQ45" s="9"/>
      <c r="CR45" s="9"/>
    </row>
    <row r="46" spans="1:96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</row>
    <row r="47" spans="1:96" ht="12.75">
      <c r="A47" s="9" t="s">
        <v>125</v>
      </c>
      <c r="B47" s="9"/>
      <c r="C47" s="9"/>
      <c r="D47" s="9"/>
      <c r="E47" s="9"/>
      <c r="F47" s="9"/>
      <c r="G47" s="9"/>
      <c r="H47" s="9"/>
      <c r="I47" s="9" t="s">
        <v>125</v>
      </c>
      <c r="J47" s="9"/>
      <c r="K47" s="9"/>
      <c r="L47" s="10"/>
      <c r="M47" s="9"/>
      <c r="N47" s="11"/>
      <c r="O47" s="9"/>
      <c r="P47" s="9"/>
      <c r="Q47" s="9"/>
      <c r="R47" s="9" t="s">
        <v>125</v>
      </c>
      <c r="S47" s="9"/>
      <c r="T47" s="9"/>
      <c r="U47" s="10"/>
      <c r="V47" s="9"/>
      <c r="W47" s="11"/>
      <c r="X47" s="9"/>
      <c r="Y47" s="9"/>
      <c r="Z47" s="9" t="s">
        <v>125</v>
      </c>
      <c r="AA47" s="9"/>
      <c r="AB47" s="9"/>
      <c r="AC47" s="10"/>
      <c r="AD47" s="9"/>
      <c r="AE47" s="11"/>
      <c r="AF47" s="9"/>
      <c r="AG47" s="9"/>
      <c r="AH47" s="9" t="s">
        <v>125</v>
      </c>
      <c r="AI47" s="9"/>
      <c r="AJ47" s="9"/>
      <c r="AK47" s="10"/>
      <c r="AL47" s="9"/>
      <c r="AM47" s="11"/>
      <c r="AN47" s="9"/>
      <c r="AO47" s="9" t="s">
        <v>125</v>
      </c>
      <c r="AP47" s="9"/>
      <c r="AQ47" s="9"/>
      <c r="AR47" s="10"/>
      <c r="AS47" s="9"/>
      <c r="AT47" s="11"/>
      <c r="AU47" s="9"/>
      <c r="AV47" s="9" t="s">
        <v>125</v>
      </c>
      <c r="AW47" s="9"/>
      <c r="AX47" s="9"/>
      <c r="AY47" s="10"/>
      <c r="AZ47" s="9"/>
      <c r="BA47" s="11"/>
      <c r="BB47" s="9"/>
      <c r="BC47" s="9" t="s">
        <v>125</v>
      </c>
      <c r="BD47" s="9"/>
      <c r="BE47" s="9"/>
      <c r="BF47" s="10"/>
      <c r="BG47" s="9"/>
      <c r="BH47" s="11"/>
      <c r="BI47" s="9"/>
      <c r="BJ47" s="9" t="s">
        <v>125</v>
      </c>
      <c r="BK47" s="9"/>
      <c r="BL47" s="9"/>
      <c r="BM47" s="10"/>
      <c r="BN47" s="9"/>
      <c r="BO47" s="11"/>
      <c r="BP47" s="9"/>
      <c r="BQ47" s="9" t="s">
        <v>125</v>
      </c>
      <c r="BR47" s="9"/>
      <c r="BS47" s="9"/>
      <c r="BT47" s="10"/>
      <c r="BU47" s="9"/>
      <c r="BV47" s="11"/>
      <c r="BW47" s="9"/>
      <c r="BX47" s="9" t="s">
        <v>125</v>
      </c>
      <c r="BY47" s="9"/>
      <c r="BZ47" s="9"/>
      <c r="CA47" s="10"/>
      <c r="CB47" s="9"/>
      <c r="CC47" s="11"/>
      <c r="CD47" s="9"/>
      <c r="CE47" s="9" t="s">
        <v>125</v>
      </c>
      <c r="CF47" s="9"/>
      <c r="CG47" s="9"/>
      <c r="CH47" s="10"/>
      <c r="CI47" s="9"/>
      <c r="CJ47" s="11"/>
      <c r="CK47" s="9"/>
      <c r="CL47" s="9" t="s">
        <v>125</v>
      </c>
      <c r="CM47" s="9"/>
      <c r="CN47" s="9"/>
      <c r="CO47" s="10"/>
      <c r="CP47" s="9"/>
      <c r="CQ47" s="11"/>
      <c r="CR47" s="9"/>
    </row>
    <row r="48" spans="1:96" ht="12.75">
      <c r="A48" s="9"/>
      <c r="B48" s="9"/>
      <c r="C48" s="9"/>
      <c r="D48" s="9"/>
      <c r="E48" s="9"/>
      <c r="F48" s="9"/>
      <c r="G48" s="9"/>
      <c r="H48" s="9"/>
      <c r="I48" s="20"/>
      <c r="J48" s="9"/>
      <c r="K48" s="9"/>
      <c r="L48" s="10"/>
      <c r="M48" s="9"/>
      <c r="N48" s="11"/>
      <c r="O48" s="9"/>
      <c r="P48" s="9"/>
      <c r="Q48" s="9"/>
      <c r="R48" s="20"/>
      <c r="S48" s="9"/>
      <c r="T48" s="9"/>
      <c r="U48" s="10"/>
      <c r="V48" s="9"/>
      <c r="W48" s="11"/>
      <c r="X48" s="9"/>
      <c r="Y48" s="9"/>
      <c r="Z48" s="20"/>
      <c r="AA48" s="9"/>
      <c r="AB48" s="9"/>
      <c r="AC48" s="10"/>
      <c r="AD48" s="9"/>
      <c r="AE48" s="11"/>
      <c r="AF48" s="9"/>
      <c r="AG48" s="9"/>
      <c r="AH48" s="20"/>
      <c r="AI48" s="9"/>
      <c r="AJ48" s="9"/>
      <c r="AK48" s="10"/>
      <c r="AL48" s="9"/>
      <c r="AM48" s="11"/>
      <c r="AN48" s="9"/>
      <c r="AO48" s="20"/>
      <c r="AP48" s="9"/>
      <c r="AQ48" s="9"/>
      <c r="AR48" s="10"/>
      <c r="AS48" s="9"/>
      <c r="AT48" s="11"/>
      <c r="AU48" s="9"/>
      <c r="AV48" s="20"/>
      <c r="AW48" s="9"/>
      <c r="AX48" s="9"/>
      <c r="AY48" s="10"/>
      <c r="AZ48" s="9"/>
      <c r="BA48" s="11"/>
      <c r="BB48" s="9"/>
      <c r="BC48" s="20"/>
      <c r="BD48" s="9"/>
      <c r="BE48" s="9"/>
      <c r="BF48" s="10"/>
      <c r="BG48" s="9"/>
      <c r="BH48" s="11"/>
      <c r="BI48" s="9"/>
      <c r="BJ48" s="20"/>
      <c r="BK48" s="9"/>
      <c r="BL48" s="9"/>
      <c r="BM48" s="10"/>
      <c r="BN48" s="9"/>
      <c r="BO48" s="11"/>
      <c r="BP48" s="9"/>
      <c r="BQ48" s="20"/>
      <c r="BR48" s="9"/>
      <c r="BS48" s="9"/>
      <c r="BT48" s="10"/>
      <c r="BU48" s="9"/>
      <c r="BV48" s="11"/>
      <c r="BW48" s="9"/>
      <c r="BX48" s="20"/>
      <c r="BY48" s="9"/>
      <c r="BZ48" s="9"/>
      <c r="CA48" s="10"/>
      <c r="CB48" s="9"/>
      <c r="CC48" s="11"/>
      <c r="CD48" s="9"/>
      <c r="CE48" s="20"/>
      <c r="CF48" s="9"/>
      <c r="CG48" s="9"/>
      <c r="CH48" s="10"/>
      <c r="CI48" s="9"/>
      <c r="CJ48" s="11"/>
      <c r="CK48" s="9"/>
      <c r="CL48" s="20"/>
      <c r="CM48" s="9"/>
      <c r="CN48" s="9"/>
      <c r="CO48" s="10"/>
      <c r="CP48" s="9"/>
      <c r="CQ48" s="11"/>
      <c r="CR48" s="9"/>
    </row>
    <row r="49" spans="1:96" s="46" customFormat="1" ht="12.75">
      <c r="A49" s="27"/>
      <c r="B49" s="27"/>
      <c r="C49" s="28" t="s">
        <v>143</v>
      </c>
      <c r="D49" s="27" t="s">
        <v>96</v>
      </c>
      <c r="E49" s="27" t="s">
        <v>97</v>
      </c>
      <c r="F49" s="27" t="s">
        <v>96</v>
      </c>
      <c r="G49" s="27"/>
      <c r="H49" s="27"/>
      <c r="I49" s="28" t="s">
        <v>143</v>
      </c>
      <c r="J49" s="45" t="s">
        <v>96</v>
      </c>
      <c r="K49" s="27" t="s">
        <v>97</v>
      </c>
      <c r="L49" s="27" t="s">
        <v>96</v>
      </c>
      <c r="M49" s="73"/>
      <c r="N49" s="65"/>
      <c r="O49" s="65"/>
      <c r="P49" s="65"/>
      <c r="Q49" s="27"/>
      <c r="R49" s="28" t="s">
        <v>143</v>
      </c>
      <c r="S49" s="45" t="s">
        <v>96</v>
      </c>
      <c r="T49" s="27" t="s">
        <v>97</v>
      </c>
      <c r="U49" s="27" t="s">
        <v>96</v>
      </c>
      <c r="V49" s="73"/>
      <c r="W49" s="65"/>
      <c r="X49" s="65"/>
      <c r="Y49" s="27"/>
      <c r="Z49" s="28" t="s">
        <v>143</v>
      </c>
      <c r="AA49" s="45" t="s">
        <v>96</v>
      </c>
      <c r="AB49" s="27" t="s">
        <v>97</v>
      </c>
      <c r="AC49" s="27" t="s">
        <v>96</v>
      </c>
      <c r="AD49" s="73"/>
      <c r="AE49" s="65"/>
      <c r="AF49" s="65"/>
      <c r="AG49" s="65"/>
      <c r="AH49" s="28" t="s">
        <v>143</v>
      </c>
      <c r="AI49" s="45" t="s">
        <v>96</v>
      </c>
      <c r="AJ49" s="27" t="s">
        <v>97</v>
      </c>
      <c r="AK49" s="27" t="s">
        <v>96</v>
      </c>
      <c r="AL49" s="73"/>
      <c r="AM49" s="65"/>
      <c r="AN49" s="65"/>
      <c r="AO49" s="94" t="s">
        <v>143</v>
      </c>
      <c r="AP49" s="45" t="s">
        <v>96</v>
      </c>
      <c r="AQ49" s="45" t="s">
        <v>97</v>
      </c>
      <c r="AR49" s="45" t="s">
        <v>96</v>
      </c>
      <c r="AS49" s="73"/>
      <c r="AT49" s="65"/>
      <c r="AU49" s="65"/>
      <c r="AV49" s="94" t="s">
        <v>143</v>
      </c>
      <c r="AW49" s="45" t="s">
        <v>96</v>
      </c>
      <c r="AX49" s="45" t="s">
        <v>97</v>
      </c>
      <c r="AY49" s="45" t="s">
        <v>96</v>
      </c>
      <c r="AZ49" s="73"/>
      <c r="BA49" s="65"/>
      <c r="BB49" s="65"/>
      <c r="BC49" s="94" t="s">
        <v>143</v>
      </c>
      <c r="BD49" s="45" t="s">
        <v>96</v>
      </c>
      <c r="BE49" s="45" t="s">
        <v>97</v>
      </c>
      <c r="BF49" s="45" t="s">
        <v>96</v>
      </c>
      <c r="BG49" s="73"/>
      <c r="BH49" s="65"/>
      <c r="BI49" s="65"/>
      <c r="BJ49" s="94" t="s">
        <v>143</v>
      </c>
      <c r="BK49" s="45" t="s">
        <v>96</v>
      </c>
      <c r="BL49" s="45" t="s">
        <v>97</v>
      </c>
      <c r="BM49" s="45" t="s">
        <v>96</v>
      </c>
      <c r="BN49" s="73"/>
      <c r="BO49" s="65"/>
      <c r="BP49" s="65"/>
      <c r="BQ49" s="94" t="s">
        <v>143</v>
      </c>
      <c r="BR49" s="45" t="s">
        <v>96</v>
      </c>
      <c r="BS49" s="45" t="s">
        <v>97</v>
      </c>
      <c r="BT49" s="45" t="s">
        <v>96</v>
      </c>
      <c r="BU49" s="73"/>
      <c r="BV49" s="65"/>
      <c r="BW49" s="65"/>
      <c r="BX49" s="94" t="s">
        <v>143</v>
      </c>
      <c r="BY49" s="45" t="s">
        <v>96</v>
      </c>
      <c r="BZ49" s="45" t="s">
        <v>97</v>
      </c>
      <c r="CA49" s="45" t="s">
        <v>96</v>
      </c>
      <c r="CB49" s="73"/>
      <c r="CC49" s="65"/>
      <c r="CD49" s="65"/>
      <c r="CE49" s="94" t="s">
        <v>143</v>
      </c>
      <c r="CF49" s="45" t="s">
        <v>96</v>
      </c>
      <c r="CG49" s="45" t="s">
        <v>97</v>
      </c>
      <c r="CH49" s="45" t="s">
        <v>96</v>
      </c>
      <c r="CI49" s="73"/>
      <c r="CJ49" s="65"/>
      <c r="CK49" s="65"/>
      <c r="CL49" s="94" t="s">
        <v>143</v>
      </c>
      <c r="CM49" s="45" t="s">
        <v>96</v>
      </c>
      <c r="CN49" s="45" t="s">
        <v>97</v>
      </c>
      <c r="CO49" s="45" t="s">
        <v>96</v>
      </c>
      <c r="CP49" s="73"/>
      <c r="CQ49" s="65"/>
      <c r="CR49" s="65"/>
    </row>
    <row r="50" spans="1:96" ht="12.75">
      <c r="A50" s="9"/>
      <c r="B50" s="9"/>
      <c r="C50" s="9"/>
      <c r="D50" s="9"/>
      <c r="E50" s="9"/>
      <c r="F50" s="9"/>
      <c r="G50" s="9"/>
      <c r="H50" s="9"/>
      <c r="I50" s="10"/>
      <c r="J50" s="9"/>
      <c r="K50" s="11"/>
      <c r="L50" s="9"/>
      <c r="M50" s="55"/>
      <c r="N50" s="56"/>
      <c r="O50" s="55"/>
      <c r="P50" s="55"/>
      <c r="Q50" s="9"/>
      <c r="R50" s="10"/>
      <c r="S50" s="9"/>
      <c r="T50" s="11"/>
      <c r="U50" s="9"/>
      <c r="V50" s="55"/>
      <c r="W50" s="56"/>
      <c r="X50" s="55"/>
      <c r="Y50" s="9"/>
      <c r="Z50" s="10"/>
      <c r="AA50" s="9"/>
      <c r="AB50" s="11"/>
      <c r="AC50" s="9"/>
      <c r="AD50" s="55"/>
      <c r="AE50" s="56"/>
      <c r="AF50" s="55"/>
      <c r="AG50" s="55"/>
      <c r="AH50" s="10"/>
      <c r="AI50" s="9"/>
      <c r="AJ50" s="11"/>
      <c r="AK50" s="9"/>
      <c r="AL50" s="55"/>
      <c r="AM50" s="56"/>
      <c r="AN50" s="55"/>
      <c r="AO50" s="10"/>
      <c r="AP50" s="9"/>
      <c r="AQ50" s="11"/>
      <c r="AR50" s="9"/>
      <c r="AS50" s="55"/>
      <c r="AT50" s="56"/>
      <c r="AU50" s="55"/>
      <c r="AV50" s="10"/>
      <c r="AW50" s="9"/>
      <c r="AX50" s="11"/>
      <c r="AY50" s="9"/>
      <c r="AZ50" s="55"/>
      <c r="BA50" s="56"/>
      <c r="BB50" s="55"/>
      <c r="BC50" s="10"/>
      <c r="BD50" s="9"/>
      <c r="BE50" s="11"/>
      <c r="BF50" s="9"/>
      <c r="BG50" s="55"/>
      <c r="BH50" s="56"/>
      <c r="BI50" s="55"/>
      <c r="BJ50" s="10"/>
      <c r="BK50" s="9"/>
      <c r="BL50" s="11"/>
      <c r="BM50" s="9"/>
      <c r="BN50" s="55"/>
      <c r="BO50" s="56"/>
      <c r="BP50" s="55"/>
      <c r="BQ50" s="10"/>
      <c r="BR50" s="9"/>
      <c r="BS50" s="11"/>
      <c r="BT50" s="9"/>
      <c r="BU50" s="55"/>
      <c r="BV50" s="56"/>
      <c r="BW50" s="55"/>
      <c r="BX50" s="10"/>
      <c r="BY50" s="9"/>
      <c r="BZ50" s="11"/>
      <c r="CA50" s="9"/>
      <c r="CB50" s="55"/>
      <c r="CC50" s="56"/>
      <c r="CD50" s="55"/>
      <c r="CE50" s="10"/>
      <c r="CF50" s="9"/>
      <c r="CG50" s="11"/>
      <c r="CH50" s="9"/>
      <c r="CI50" s="55"/>
      <c r="CJ50" s="56"/>
      <c r="CK50" s="55"/>
      <c r="CL50" s="10"/>
      <c r="CM50" s="9"/>
      <c r="CN50" s="11"/>
      <c r="CO50" s="9"/>
      <c r="CP50" s="55"/>
      <c r="CQ50" s="56"/>
      <c r="CR50" s="55"/>
    </row>
    <row r="51" spans="1:96" ht="12.75">
      <c r="A51" s="9" t="s">
        <v>41</v>
      </c>
      <c r="B51" s="9"/>
      <c r="C51" s="44">
        <v>8739507.600000001</v>
      </c>
      <c r="D51" s="34">
        <v>0.9842664699554483</v>
      </c>
      <c r="E51" s="47">
        <v>7300</v>
      </c>
      <c r="F51" s="34">
        <v>0.9871534820824882</v>
      </c>
      <c r="G51" s="9"/>
      <c r="H51" s="9"/>
      <c r="I51" s="75">
        <v>5657938.08</v>
      </c>
      <c r="J51" s="15">
        <v>0.9468507806329682</v>
      </c>
      <c r="K51" s="74">
        <v>6684</v>
      </c>
      <c r="L51" s="15">
        <v>0.9671538127622631</v>
      </c>
      <c r="M51" s="57"/>
      <c r="N51" s="56"/>
      <c r="O51" s="57"/>
      <c r="P51" s="57"/>
      <c r="Q51" s="9"/>
      <c r="R51" s="75">
        <v>6993916.699999996</v>
      </c>
      <c r="S51" s="15">
        <v>0.9487416984299174</v>
      </c>
      <c r="T51" s="74">
        <v>8967</v>
      </c>
      <c r="U51" s="15">
        <v>0.9702445358147587</v>
      </c>
      <c r="V51" s="57"/>
      <c r="W51" s="56"/>
      <c r="X51" s="57"/>
      <c r="Y51" s="9"/>
      <c r="Z51" s="75">
        <v>7522226.809999975</v>
      </c>
      <c r="AA51" s="15">
        <v>0.9435227651418651</v>
      </c>
      <c r="AB51" s="74">
        <v>9023</v>
      </c>
      <c r="AC51" s="15">
        <v>0.9636868525045391</v>
      </c>
      <c r="AD51" s="57"/>
      <c r="AE51" s="56"/>
      <c r="AF51" s="57"/>
      <c r="AG51" s="57"/>
      <c r="AH51" s="75">
        <v>7739612.349999972</v>
      </c>
      <c r="AI51" s="15">
        <v>0.9422369898092376</v>
      </c>
      <c r="AJ51" s="74">
        <v>8808</v>
      </c>
      <c r="AK51" s="15">
        <v>0.9597907813010788</v>
      </c>
      <c r="AL51" s="57"/>
      <c r="AM51" s="56"/>
      <c r="AN51" s="57"/>
      <c r="AO51" s="75">
        <v>9688535.279999953</v>
      </c>
      <c r="AP51" s="15">
        <v>0.9481443060808059</v>
      </c>
      <c r="AQ51" s="74">
        <v>10807</v>
      </c>
      <c r="AR51" s="15">
        <v>0.9631907308377896</v>
      </c>
      <c r="AS51" s="57"/>
      <c r="AT51" s="56"/>
      <c r="AU51" s="57"/>
      <c r="AV51" s="75">
        <v>12855606.78</v>
      </c>
      <c r="AW51" s="15">
        <f>+AV51/$AV$61</f>
        <v>0.9573974005895295</v>
      </c>
      <c r="AX51" s="74">
        <v>13493</v>
      </c>
      <c r="AY51" s="15">
        <f>+AX51/$AX$61</f>
        <v>0.9680728942459463</v>
      </c>
      <c r="AZ51" s="57"/>
      <c r="BA51" s="56"/>
      <c r="BB51" s="57"/>
      <c r="BC51" s="75">
        <v>12450971.940000031</v>
      </c>
      <c r="BD51" s="15">
        <v>0.9512584027970381</v>
      </c>
      <c r="BE51" s="74">
        <v>13815</v>
      </c>
      <c r="BF51" s="15">
        <v>0.9673014983895812</v>
      </c>
      <c r="BG51" s="57"/>
      <c r="BH51" s="56"/>
      <c r="BI51" s="57"/>
      <c r="BJ51" s="75">
        <v>9523298.07000001</v>
      </c>
      <c r="BK51" s="15">
        <v>0.934658628495491</v>
      </c>
      <c r="BL51" s="74">
        <v>11638</v>
      </c>
      <c r="BM51" s="15">
        <v>0.9598350515463917</v>
      </c>
      <c r="BN51" s="57"/>
      <c r="BO51" s="56"/>
      <c r="BP51" s="57"/>
      <c r="BQ51" s="75">
        <v>6155595.630000004</v>
      </c>
      <c r="BR51" s="15">
        <v>0.8973192780365947</v>
      </c>
      <c r="BS51" s="74">
        <v>7991</v>
      </c>
      <c r="BT51" s="15">
        <v>0.9401176470588235</v>
      </c>
      <c r="BU51" s="57"/>
      <c r="BV51" s="56"/>
      <c r="BW51" s="57"/>
      <c r="BX51" s="75">
        <v>4232921.20000001</v>
      </c>
      <c r="BY51" s="15">
        <v>0.8506895110534743</v>
      </c>
      <c r="BZ51" s="74">
        <v>5612</v>
      </c>
      <c r="CA51" s="15">
        <v>0.9103000811030008</v>
      </c>
      <c r="CB51" s="57"/>
      <c r="CC51" s="56"/>
      <c r="CD51" s="57"/>
      <c r="CE51" s="75">
        <v>16399145.589999996</v>
      </c>
      <c r="CF51" s="15">
        <v>0.9535106145223905</v>
      </c>
      <c r="CG51" s="74">
        <v>18388</v>
      </c>
      <c r="CH51" s="15">
        <v>0.968809272918862</v>
      </c>
      <c r="CI51" s="57"/>
      <c r="CJ51" s="56"/>
      <c r="CK51" s="57"/>
      <c r="CL51" s="75">
        <v>14098567.52999992</v>
      </c>
      <c r="CM51" s="15">
        <v>0.9404049805151367</v>
      </c>
      <c r="CN51" s="74">
        <v>16091</v>
      </c>
      <c r="CO51" s="15">
        <v>0.9605420248328558</v>
      </c>
      <c r="CP51" s="57"/>
      <c r="CQ51" s="56"/>
      <c r="CR51" s="57"/>
    </row>
    <row r="52" spans="1:96" ht="12.75">
      <c r="A52" s="9" t="s">
        <v>42</v>
      </c>
      <c r="B52" s="9"/>
      <c r="C52" s="44">
        <v>19084.93</v>
      </c>
      <c r="D52" s="34">
        <v>0.002149395313809994</v>
      </c>
      <c r="E52" s="47">
        <v>20</v>
      </c>
      <c r="F52" s="34">
        <v>0.002704530087897228</v>
      </c>
      <c r="G52" s="9"/>
      <c r="H52" s="9"/>
      <c r="I52" s="75">
        <v>67308.27</v>
      </c>
      <c r="J52" s="15">
        <v>0.011263977774220026</v>
      </c>
      <c r="K52" s="74">
        <v>50</v>
      </c>
      <c r="L52" s="15">
        <v>0.007234843003906815</v>
      </c>
      <c r="M52" s="57"/>
      <c r="N52" s="56"/>
      <c r="O52" s="57"/>
      <c r="P52" s="57"/>
      <c r="Q52" s="9"/>
      <c r="R52" s="75">
        <v>64839.9</v>
      </c>
      <c r="S52" s="15">
        <v>0.008795689095357119</v>
      </c>
      <c r="T52" s="74">
        <v>56</v>
      </c>
      <c r="U52" s="15">
        <v>0.00605929452499459</v>
      </c>
      <c r="V52" s="57"/>
      <c r="W52" s="56"/>
      <c r="X52" s="57"/>
      <c r="Y52" s="9"/>
      <c r="Z52" s="75">
        <v>89867.62</v>
      </c>
      <c r="AA52" s="15">
        <v>0.011272213330020375</v>
      </c>
      <c r="AB52" s="74">
        <v>77</v>
      </c>
      <c r="AC52" s="15">
        <v>0.008223859873972018</v>
      </c>
      <c r="AD52" s="57"/>
      <c r="AE52" s="56"/>
      <c r="AF52" s="57"/>
      <c r="AG52" s="57"/>
      <c r="AH52" s="75">
        <v>72743.86</v>
      </c>
      <c r="AI52" s="15">
        <v>0.008855993372007173</v>
      </c>
      <c r="AJ52" s="74">
        <v>61</v>
      </c>
      <c r="AK52" s="15">
        <v>0.006647052413642803</v>
      </c>
      <c r="AL52" s="57"/>
      <c r="AM52" s="56"/>
      <c r="AN52" s="57"/>
      <c r="AO52" s="75">
        <v>82597.41</v>
      </c>
      <c r="AP52" s="15">
        <v>0.00808318922574251</v>
      </c>
      <c r="AQ52" s="74">
        <v>82</v>
      </c>
      <c r="AR52" s="15">
        <v>0.00730837789661319</v>
      </c>
      <c r="AS52" s="57"/>
      <c r="AT52" s="56"/>
      <c r="AU52" s="57"/>
      <c r="AV52" s="75">
        <v>86237.34</v>
      </c>
      <c r="AW52" s="15">
        <f aca="true" t="shared" si="30" ref="AW52:AW59">+AV52/$AV$61</f>
        <v>0.006422365475443973</v>
      </c>
      <c r="AX52" s="74">
        <v>77</v>
      </c>
      <c r="AY52" s="15">
        <f aca="true" t="shared" si="31" ref="AY52:AY59">+AX52/$AX$61</f>
        <v>0.005524465490027264</v>
      </c>
      <c r="AZ52" s="57"/>
      <c r="BA52" s="56"/>
      <c r="BB52" s="57"/>
      <c r="BC52" s="75">
        <v>88237.81</v>
      </c>
      <c r="BD52" s="15">
        <v>0.006741398070077757</v>
      </c>
      <c r="BE52" s="74">
        <v>67</v>
      </c>
      <c r="BF52" s="15">
        <v>0.004691219717126453</v>
      </c>
      <c r="BG52" s="57"/>
      <c r="BH52" s="56"/>
      <c r="BI52" s="57"/>
      <c r="BJ52" s="75">
        <v>70667.66</v>
      </c>
      <c r="BK52" s="15">
        <v>0.006935636970416238</v>
      </c>
      <c r="BL52" s="74">
        <v>63</v>
      </c>
      <c r="BM52" s="15">
        <v>0.005195876288659793</v>
      </c>
      <c r="BN52" s="57"/>
      <c r="BO52" s="56"/>
      <c r="BP52" s="57"/>
      <c r="BQ52" s="75">
        <v>71882.85</v>
      </c>
      <c r="BR52" s="15">
        <v>0.010478574445477796</v>
      </c>
      <c r="BS52" s="74">
        <v>60</v>
      </c>
      <c r="BT52" s="15">
        <v>0.007058823529411765</v>
      </c>
      <c r="BU52" s="57"/>
      <c r="BV52" s="56"/>
      <c r="BW52" s="57"/>
      <c r="BX52" s="75">
        <v>33725.34</v>
      </c>
      <c r="BY52" s="15">
        <v>0.006777776301319313</v>
      </c>
      <c r="BZ52" s="74">
        <v>49</v>
      </c>
      <c r="CA52" s="15">
        <v>0.00794809407948094</v>
      </c>
      <c r="CB52" s="57"/>
      <c r="CC52" s="56"/>
      <c r="CD52" s="57"/>
      <c r="CE52" s="75">
        <v>62436.1</v>
      </c>
      <c r="CF52" s="15">
        <v>0.003630279623572842</v>
      </c>
      <c r="CG52" s="74">
        <v>60</v>
      </c>
      <c r="CH52" s="15">
        <v>0.003161222339304531</v>
      </c>
      <c r="CI52" s="57"/>
      <c r="CJ52" s="56"/>
      <c r="CK52" s="57"/>
      <c r="CL52" s="75">
        <v>91362.73</v>
      </c>
      <c r="CM52" s="15">
        <v>0.006094091909879313</v>
      </c>
      <c r="CN52" s="74">
        <v>86</v>
      </c>
      <c r="CO52" s="15">
        <v>0.0051337153772683854</v>
      </c>
      <c r="CP52" s="57"/>
      <c r="CQ52" s="56"/>
      <c r="CR52" s="57"/>
    </row>
    <row r="53" spans="1:96" ht="12.75">
      <c r="A53" s="9" t="s">
        <v>43</v>
      </c>
      <c r="B53" s="9"/>
      <c r="C53" s="44">
        <v>48554.11</v>
      </c>
      <c r="D53" s="34">
        <v>0.005468292338521282</v>
      </c>
      <c r="E53" s="47">
        <v>27</v>
      </c>
      <c r="F53" s="34">
        <v>0.0036511156186612576</v>
      </c>
      <c r="G53" s="9"/>
      <c r="H53" s="9"/>
      <c r="I53" s="75">
        <v>41937.53</v>
      </c>
      <c r="J53" s="15">
        <v>0.007018207507423464</v>
      </c>
      <c r="K53" s="74">
        <v>34</v>
      </c>
      <c r="L53" s="15">
        <v>0.0049196932426566345</v>
      </c>
      <c r="M53" s="57"/>
      <c r="N53" s="56"/>
      <c r="O53" s="57"/>
      <c r="P53" s="57"/>
      <c r="Q53" s="9"/>
      <c r="R53" s="75">
        <v>65051.1</v>
      </c>
      <c r="S53" s="15">
        <v>0.008824338885639637</v>
      </c>
      <c r="T53" s="74">
        <v>46</v>
      </c>
      <c r="U53" s="15">
        <v>0.00497727764553127</v>
      </c>
      <c r="V53" s="57"/>
      <c r="W53" s="56"/>
      <c r="X53" s="57"/>
      <c r="Y53" s="9"/>
      <c r="Z53" s="75">
        <v>40700.78</v>
      </c>
      <c r="AA53" s="15">
        <v>0.005105152165576731</v>
      </c>
      <c r="AB53" s="74">
        <v>38</v>
      </c>
      <c r="AC53" s="15">
        <v>0.004058528249492684</v>
      </c>
      <c r="AD53" s="57"/>
      <c r="AE53" s="56"/>
      <c r="AF53" s="57"/>
      <c r="AG53" s="57"/>
      <c r="AH53" s="75">
        <v>46596.59</v>
      </c>
      <c r="AI53" s="15">
        <v>0.005672768701002883</v>
      </c>
      <c r="AJ53" s="74">
        <v>48</v>
      </c>
      <c r="AK53" s="15">
        <v>0.005230467473030402</v>
      </c>
      <c r="AL53" s="57"/>
      <c r="AM53" s="56"/>
      <c r="AN53" s="57"/>
      <c r="AO53" s="75">
        <v>63923.63</v>
      </c>
      <c r="AP53" s="15">
        <v>0.006255726387623423</v>
      </c>
      <c r="AQ53" s="74">
        <v>50</v>
      </c>
      <c r="AR53" s="15">
        <v>0.004456327985739751</v>
      </c>
      <c r="AS53" s="57"/>
      <c r="AT53" s="56"/>
      <c r="AU53" s="57"/>
      <c r="AV53" s="75">
        <v>45847.56</v>
      </c>
      <c r="AW53" s="15">
        <f t="shared" si="30"/>
        <v>0.00341441174411625</v>
      </c>
      <c r="AX53" s="74">
        <v>43</v>
      </c>
      <c r="AY53" s="15">
        <f t="shared" si="31"/>
        <v>0.003085091117807433</v>
      </c>
      <c r="AZ53" s="57"/>
      <c r="BA53" s="56"/>
      <c r="BB53" s="57"/>
      <c r="BC53" s="75">
        <v>47900.51</v>
      </c>
      <c r="BD53" s="15">
        <v>0.003659614916437072</v>
      </c>
      <c r="BE53" s="74">
        <v>40</v>
      </c>
      <c r="BF53" s="15">
        <v>0.0028007281893292256</v>
      </c>
      <c r="BG53" s="57"/>
      <c r="BH53" s="56"/>
      <c r="BI53" s="57"/>
      <c r="BJ53" s="75">
        <v>43316.17</v>
      </c>
      <c r="BK53" s="15">
        <v>0.004251240667496769</v>
      </c>
      <c r="BL53" s="74">
        <v>38</v>
      </c>
      <c r="BM53" s="15">
        <v>0.003134020618556701</v>
      </c>
      <c r="BN53" s="57"/>
      <c r="BO53" s="56"/>
      <c r="BP53" s="57"/>
      <c r="BQ53" s="75">
        <v>22002.48</v>
      </c>
      <c r="BR53" s="15">
        <v>0.003207366216908989</v>
      </c>
      <c r="BS53" s="74">
        <v>28</v>
      </c>
      <c r="BT53" s="15">
        <v>0.0032941176470588237</v>
      </c>
      <c r="BU53" s="57"/>
      <c r="BV53" s="56"/>
      <c r="BW53" s="57"/>
      <c r="BX53" s="75">
        <v>51413.91</v>
      </c>
      <c r="BY53" s="15">
        <v>0.010332645445714233</v>
      </c>
      <c r="BZ53" s="74">
        <v>48</v>
      </c>
      <c r="CA53" s="15">
        <v>0.007785888077858881</v>
      </c>
      <c r="CB53" s="57"/>
      <c r="CC53" s="56"/>
      <c r="CD53" s="57"/>
      <c r="CE53" s="75">
        <v>42896.9</v>
      </c>
      <c r="CF53" s="15">
        <v>0.0024941939356308584</v>
      </c>
      <c r="CG53" s="74">
        <v>42</v>
      </c>
      <c r="CH53" s="15">
        <v>0.0022128556375131717</v>
      </c>
      <c r="CI53" s="57"/>
      <c r="CJ53" s="56"/>
      <c r="CK53" s="57"/>
      <c r="CL53" s="75">
        <v>58500.9</v>
      </c>
      <c r="CM53" s="15">
        <v>0.0039021366963384167</v>
      </c>
      <c r="CN53" s="74">
        <v>56</v>
      </c>
      <c r="CO53" s="15">
        <v>0.0033428844317096467</v>
      </c>
      <c r="CP53" s="57"/>
      <c r="CQ53" s="56"/>
      <c r="CR53" s="57"/>
    </row>
    <row r="54" spans="1:96" ht="12.75">
      <c r="A54" s="9" t="s">
        <v>44</v>
      </c>
      <c r="B54" s="9"/>
      <c r="C54" s="44">
        <v>21476.5</v>
      </c>
      <c r="D54" s="34">
        <v>0.0024187402551143935</v>
      </c>
      <c r="E54" s="47">
        <v>16</v>
      </c>
      <c r="F54" s="34">
        <v>0.0021636240703177823</v>
      </c>
      <c r="G54" s="9"/>
      <c r="H54" s="9"/>
      <c r="I54" s="75">
        <v>45987.61</v>
      </c>
      <c r="J54" s="15">
        <v>0.0076959847122723335</v>
      </c>
      <c r="K54" s="74">
        <v>34</v>
      </c>
      <c r="L54" s="15">
        <v>0.0049196932426566345</v>
      </c>
      <c r="M54" s="57"/>
      <c r="N54" s="56"/>
      <c r="O54" s="57"/>
      <c r="P54" s="57"/>
      <c r="Q54" s="9"/>
      <c r="R54" s="75">
        <v>27979.26</v>
      </c>
      <c r="S54" s="15">
        <v>0.0037954542199812387</v>
      </c>
      <c r="T54" s="74">
        <v>27</v>
      </c>
      <c r="U54" s="15">
        <v>0.002921445574550963</v>
      </c>
      <c r="V54" s="57"/>
      <c r="W54" s="56"/>
      <c r="X54" s="57"/>
      <c r="Y54" s="9"/>
      <c r="Z54" s="75">
        <v>39817.13</v>
      </c>
      <c r="AA54" s="15">
        <v>0.004994314788231336</v>
      </c>
      <c r="AB54" s="74">
        <v>39</v>
      </c>
      <c r="AC54" s="15">
        <v>0.004165331624479333</v>
      </c>
      <c r="AD54" s="57"/>
      <c r="AE54" s="56"/>
      <c r="AF54" s="57"/>
      <c r="AG54" s="57"/>
      <c r="AH54" s="75">
        <v>36650.57</v>
      </c>
      <c r="AI54" s="15">
        <v>0.004461918916597015</v>
      </c>
      <c r="AJ54" s="74">
        <v>34</v>
      </c>
      <c r="AK54" s="15">
        <v>0.0037049144600632016</v>
      </c>
      <c r="AL54" s="57"/>
      <c r="AM54" s="56"/>
      <c r="AN54" s="57"/>
      <c r="AO54" s="75">
        <v>37394.29</v>
      </c>
      <c r="AP54" s="15">
        <v>0.0036594987909704547</v>
      </c>
      <c r="AQ54" s="74">
        <v>32</v>
      </c>
      <c r="AR54" s="15">
        <v>0.00285204991087344</v>
      </c>
      <c r="AS54" s="57"/>
      <c r="AT54" s="56"/>
      <c r="AU54" s="57"/>
      <c r="AV54" s="75">
        <v>46031.69</v>
      </c>
      <c r="AW54" s="15">
        <f t="shared" si="30"/>
        <v>0.0034281244833425937</v>
      </c>
      <c r="AX54" s="74">
        <v>38</v>
      </c>
      <c r="AY54" s="15">
        <f t="shared" si="31"/>
        <v>0.0027263595924809873</v>
      </c>
      <c r="AZ54" s="57"/>
      <c r="BA54" s="56"/>
      <c r="BB54" s="57"/>
      <c r="BC54" s="75">
        <v>40773.05</v>
      </c>
      <c r="BD54" s="15">
        <v>0.0031150745987596922</v>
      </c>
      <c r="BE54" s="74">
        <v>38</v>
      </c>
      <c r="BF54" s="15">
        <v>0.0026606917798627644</v>
      </c>
      <c r="BG54" s="57"/>
      <c r="BH54" s="56"/>
      <c r="BI54" s="57"/>
      <c r="BJ54" s="75">
        <v>39674.45</v>
      </c>
      <c r="BK54" s="15">
        <v>0.0038938261462305463</v>
      </c>
      <c r="BL54" s="74">
        <v>33</v>
      </c>
      <c r="BM54" s="15">
        <v>0.0027216494845360823</v>
      </c>
      <c r="BN54" s="57"/>
      <c r="BO54" s="56"/>
      <c r="BP54" s="57"/>
      <c r="BQ54" s="75">
        <v>29756.83</v>
      </c>
      <c r="BR54" s="15">
        <v>0.004337740621252873</v>
      </c>
      <c r="BS54" s="74">
        <v>27</v>
      </c>
      <c r="BT54" s="15">
        <v>0.003176470588235294</v>
      </c>
      <c r="BU54" s="57"/>
      <c r="BV54" s="56"/>
      <c r="BW54" s="57"/>
      <c r="BX54" s="75">
        <v>36007.47</v>
      </c>
      <c r="BY54" s="15">
        <v>0.007236415610234505</v>
      </c>
      <c r="BZ54" s="74">
        <v>39</v>
      </c>
      <c r="CA54" s="15">
        <v>0.006326034063260341</v>
      </c>
      <c r="CB54" s="57"/>
      <c r="CC54" s="56"/>
      <c r="CD54" s="57"/>
      <c r="CE54" s="75">
        <v>19574.95</v>
      </c>
      <c r="CF54" s="15">
        <v>0.0011381643330934704</v>
      </c>
      <c r="CG54" s="74">
        <v>28</v>
      </c>
      <c r="CH54" s="15">
        <v>0.0014752370916754477</v>
      </c>
      <c r="CI54" s="57"/>
      <c r="CJ54" s="56"/>
      <c r="CK54" s="57"/>
      <c r="CL54" s="75">
        <v>44104.87</v>
      </c>
      <c r="CM54" s="15">
        <v>0.0029418903250075707</v>
      </c>
      <c r="CN54" s="74">
        <v>37</v>
      </c>
      <c r="CO54" s="15">
        <v>0.002208691499522445</v>
      </c>
      <c r="CP54" s="57"/>
      <c r="CQ54" s="56"/>
      <c r="CR54" s="57"/>
    </row>
    <row r="55" spans="1:96" ht="12.75">
      <c r="A55" s="9" t="s">
        <v>45</v>
      </c>
      <c r="B55" s="9"/>
      <c r="C55" s="44">
        <v>35861.8</v>
      </c>
      <c r="D55" s="34">
        <v>0.004038850803476423</v>
      </c>
      <c r="E55" s="47">
        <v>22</v>
      </c>
      <c r="F55" s="34">
        <v>0.0029749830966869506</v>
      </c>
      <c r="G55" s="9"/>
      <c r="H55" s="9"/>
      <c r="I55" s="75">
        <v>73858.84</v>
      </c>
      <c r="J55" s="15">
        <v>0.012360209706618113</v>
      </c>
      <c r="K55" s="74">
        <v>51</v>
      </c>
      <c r="L55" s="15">
        <v>0.007379539863984951</v>
      </c>
      <c r="M55" s="57"/>
      <c r="N55" s="56"/>
      <c r="O55" s="57"/>
      <c r="P55" s="57"/>
      <c r="Q55" s="9"/>
      <c r="R55" s="75">
        <v>24548.93</v>
      </c>
      <c r="S55" s="15">
        <v>0.00333012166742523</v>
      </c>
      <c r="T55" s="74">
        <v>17</v>
      </c>
      <c r="U55" s="15">
        <v>0.0018394286950876434</v>
      </c>
      <c r="V55" s="57"/>
      <c r="W55" s="56"/>
      <c r="X55" s="57"/>
      <c r="Y55" s="9"/>
      <c r="Z55" s="75">
        <v>36353.95</v>
      </c>
      <c r="AA55" s="15">
        <v>0.004559923583031288</v>
      </c>
      <c r="AB55" s="74">
        <v>25</v>
      </c>
      <c r="AC55" s="15">
        <v>0.0026700843746662395</v>
      </c>
      <c r="AD55" s="57"/>
      <c r="AE55" s="56"/>
      <c r="AF55" s="57"/>
      <c r="AG55" s="57"/>
      <c r="AH55" s="75">
        <v>21725.26</v>
      </c>
      <c r="AI55" s="15">
        <v>0.002644879699333147</v>
      </c>
      <c r="AJ55" s="74">
        <v>20</v>
      </c>
      <c r="AK55" s="15">
        <v>0.0021793614470960007</v>
      </c>
      <c r="AL55" s="57"/>
      <c r="AM55" s="56"/>
      <c r="AN55" s="57"/>
      <c r="AO55" s="75">
        <v>31866.03</v>
      </c>
      <c r="AP55" s="15">
        <v>0.003118489434029319</v>
      </c>
      <c r="AQ55" s="74">
        <v>25</v>
      </c>
      <c r="AR55" s="15">
        <v>0.0022281639928698753</v>
      </c>
      <c r="AS55" s="57"/>
      <c r="AT55" s="56"/>
      <c r="AU55" s="57"/>
      <c r="AV55" s="75">
        <v>26733.08</v>
      </c>
      <c r="AW55" s="15">
        <f t="shared" si="30"/>
        <v>0.001990896403394188</v>
      </c>
      <c r="AX55" s="74">
        <v>28</v>
      </c>
      <c r="AY55" s="15">
        <f t="shared" si="31"/>
        <v>0.002008896541828096</v>
      </c>
      <c r="AZ55" s="57"/>
      <c r="BA55" s="56"/>
      <c r="BB55" s="57"/>
      <c r="BC55" s="75">
        <v>43827.07</v>
      </c>
      <c r="BD55" s="15">
        <v>0.0033484027438482754</v>
      </c>
      <c r="BE55" s="74">
        <v>29</v>
      </c>
      <c r="BF55" s="15">
        <v>0.0020305279372636884</v>
      </c>
      <c r="BG55" s="57"/>
      <c r="BH55" s="56"/>
      <c r="BI55" s="57"/>
      <c r="BJ55" s="75">
        <v>41345.63</v>
      </c>
      <c r="BK55" s="15">
        <v>0.004057843149088999</v>
      </c>
      <c r="BL55" s="74">
        <v>33</v>
      </c>
      <c r="BM55" s="15">
        <v>0.0027216494845360823</v>
      </c>
      <c r="BN55" s="57"/>
      <c r="BO55" s="56"/>
      <c r="BP55" s="57"/>
      <c r="BQ55" s="75">
        <v>43812.62</v>
      </c>
      <c r="BR55" s="15">
        <v>0.006386694466363386</v>
      </c>
      <c r="BS55" s="74">
        <v>32</v>
      </c>
      <c r="BT55" s="15">
        <v>0.0037647058823529413</v>
      </c>
      <c r="BU55" s="57"/>
      <c r="BV55" s="56"/>
      <c r="BW55" s="57"/>
      <c r="BX55" s="75">
        <v>45491.03</v>
      </c>
      <c r="BY55" s="15">
        <v>0.009142325179126614</v>
      </c>
      <c r="BZ55" s="74">
        <v>32</v>
      </c>
      <c r="CA55" s="15">
        <v>0.0051905920519059205</v>
      </c>
      <c r="CB55" s="57"/>
      <c r="CC55" s="56"/>
      <c r="CD55" s="57"/>
      <c r="CE55" s="75">
        <v>20740.03</v>
      </c>
      <c r="CF55" s="15">
        <v>0.0012059066517814126</v>
      </c>
      <c r="CG55" s="74">
        <v>27</v>
      </c>
      <c r="CH55" s="15">
        <v>0.001422550052687039</v>
      </c>
      <c r="CI55" s="57"/>
      <c r="CJ55" s="56"/>
      <c r="CK55" s="57"/>
      <c r="CL55" s="75">
        <v>32541.67</v>
      </c>
      <c r="CM55" s="15">
        <v>0.002170599848329427</v>
      </c>
      <c r="CN55" s="74">
        <v>35</v>
      </c>
      <c r="CO55" s="15">
        <v>0.002089302769818529</v>
      </c>
      <c r="CP55" s="57"/>
      <c r="CQ55" s="56"/>
      <c r="CR55" s="57"/>
    </row>
    <row r="56" spans="1:96" ht="12.75">
      <c r="A56" s="9" t="s">
        <v>46</v>
      </c>
      <c r="B56" s="9"/>
      <c r="C56" s="44">
        <v>14723.96</v>
      </c>
      <c r="D56" s="34">
        <v>0.001658251333629508</v>
      </c>
      <c r="E56" s="47">
        <v>10</v>
      </c>
      <c r="F56" s="34">
        <v>0.001352265043948614</v>
      </c>
      <c r="G56" s="9"/>
      <c r="H56" s="9"/>
      <c r="I56" s="75">
        <v>12623.76</v>
      </c>
      <c r="J56" s="15">
        <v>0.0021125747559265417</v>
      </c>
      <c r="K56" s="74">
        <v>11</v>
      </c>
      <c r="L56" s="15">
        <v>0.0015916654608594994</v>
      </c>
      <c r="M56" s="57"/>
      <c r="N56" s="56"/>
      <c r="O56" s="57"/>
      <c r="P56" s="57"/>
      <c r="Q56" s="9"/>
      <c r="R56" s="75">
        <v>34533.64</v>
      </c>
      <c r="S56" s="15">
        <v>0.004684571703086963</v>
      </c>
      <c r="T56" s="74">
        <v>29</v>
      </c>
      <c r="U56" s="15">
        <v>0.003137848950443627</v>
      </c>
      <c r="V56" s="57"/>
      <c r="W56" s="56"/>
      <c r="X56" s="57"/>
      <c r="Y56" s="9"/>
      <c r="Z56" s="75">
        <v>46978.71</v>
      </c>
      <c r="AA56" s="15">
        <v>0.00589260115143988</v>
      </c>
      <c r="AB56" s="74">
        <v>33</v>
      </c>
      <c r="AC56" s="15">
        <v>0.003524511374559436</v>
      </c>
      <c r="AD56" s="57"/>
      <c r="AE56" s="56"/>
      <c r="AF56" s="57"/>
      <c r="AG56" s="57"/>
      <c r="AH56" s="75">
        <v>53348.83</v>
      </c>
      <c r="AI56" s="15">
        <v>0.006494800865452252</v>
      </c>
      <c r="AJ56" s="74">
        <v>40</v>
      </c>
      <c r="AK56" s="15">
        <v>0.0043587228941920015</v>
      </c>
      <c r="AL56" s="57"/>
      <c r="AM56" s="56"/>
      <c r="AN56" s="57"/>
      <c r="AO56" s="75">
        <v>43722.9</v>
      </c>
      <c r="AP56" s="15">
        <v>0.0042788324016239405</v>
      </c>
      <c r="AQ56" s="74">
        <v>37</v>
      </c>
      <c r="AR56" s="15">
        <v>0.0032976827094474154</v>
      </c>
      <c r="AS56" s="57"/>
      <c r="AT56" s="56"/>
      <c r="AU56" s="57"/>
      <c r="AV56" s="75">
        <v>48275.09</v>
      </c>
      <c r="AW56" s="15">
        <f t="shared" si="30"/>
        <v>0.0035951975251086194</v>
      </c>
      <c r="AX56" s="74">
        <v>42</v>
      </c>
      <c r="AY56" s="15">
        <f t="shared" si="31"/>
        <v>0.003013344812742144</v>
      </c>
      <c r="AZ56" s="57"/>
      <c r="BA56" s="56"/>
      <c r="BB56" s="57"/>
      <c r="BC56" s="75">
        <v>43731.8</v>
      </c>
      <c r="BD56" s="15">
        <v>0.0033411240841202485</v>
      </c>
      <c r="BE56" s="74">
        <v>35</v>
      </c>
      <c r="BF56" s="15">
        <v>0.0024506371656630725</v>
      </c>
      <c r="BG56" s="57"/>
      <c r="BH56" s="56"/>
      <c r="BI56" s="57"/>
      <c r="BJ56" s="75">
        <v>38348.23</v>
      </c>
      <c r="BK56" s="15">
        <v>0.0037636650447747245</v>
      </c>
      <c r="BL56" s="74">
        <v>27</v>
      </c>
      <c r="BM56" s="15">
        <v>0.0022268041237113404</v>
      </c>
      <c r="BN56" s="57"/>
      <c r="BO56" s="56"/>
      <c r="BP56" s="57"/>
      <c r="BQ56" s="75">
        <v>40300.18</v>
      </c>
      <c r="BR56" s="15">
        <v>0.0058746757577941774</v>
      </c>
      <c r="BS56" s="74">
        <v>32</v>
      </c>
      <c r="BT56" s="15">
        <v>0.0037647058823529413</v>
      </c>
      <c r="BU56" s="57"/>
      <c r="BV56" s="56"/>
      <c r="BW56" s="57"/>
      <c r="BX56" s="75">
        <v>29889.37</v>
      </c>
      <c r="BY56" s="15">
        <v>0.006006862010801505</v>
      </c>
      <c r="BZ56" s="74">
        <v>29</v>
      </c>
      <c r="CA56" s="15">
        <v>0.004703974047039741</v>
      </c>
      <c r="CB56" s="57"/>
      <c r="CC56" s="56"/>
      <c r="CD56" s="57"/>
      <c r="CE56" s="75">
        <v>32157.83</v>
      </c>
      <c r="CF56" s="15">
        <v>0.001869782305225974</v>
      </c>
      <c r="CG56" s="74">
        <v>34</v>
      </c>
      <c r="CH56" s="15">
        <v>0.001791359325605901</v>
      </c>
      <c r="CI56" s="57"/>
      <c r="CJ56" s="56"/>
      <c r="CK56" s="57"/>
      <c r="CL56" s="75">
        <v>38389.73</v>
      </c>
      <c r="CM56" s="15">
        <v>0.0025606781125679058</v>
      </c>
      <c r="CN56" s="74">
        <v>30</v>
      </c>
      <c r="CO56" s="15">
        <v>0.0017908309455587394</v>
      </c>
      <c r="CP56" s="57"/>
      <c r="CQ56" s="56"/>
      <c r="CR56" s="57"/>
    </row>
    <row r="57" spans="1:96" ht="12.75">
      <c r="A57" s="9" t="s">
        <v>75</v>
      </c>
      <c r="B57" s="9"/>
      <c r="C57" s="44">
        <v>0</v>
      </c>
      <c r="D57" s="34">
        <v>0</v>
      </c>
      <c r="E57" s="47">
        <v>0</v>
      </c>
      <c r="F57" s="34">
        <v>0</v>
      </c>
      <c r="G57" s="9"/>
      <c r="H57" s="9"/>
      <c r="I57" s="75">
        <v>61834.55</v>
      </c>
      <c r="J57" s="15">
        <v>0.010347955710032313</v>
      </c>
      <c r="K57" s="74">
        <v>38</v>
      </c>
      <c r="L57" s="15">
        <v>0.0054984806829691795</v>
      </c>
      <c r="M57" s="57"/>
      <c r="N57" s="56"/>
      <c r="O57" s="57"/>
      <c r="P57" s="57"/>
      <c r="Q57" s="9"/>
      <c r="R57" s="75">
        <v>90992.89</v>
      </c>
      <c r="S57" s="15">
        <v>0.012343405377368406</v>
      </c>
      <c r="T57" s="74">
        <v>59</v>
      </c>
      <c r="U57" s="15">
        <v>0.006383899588833586</v>
      </c>
      <c r="V57" s="57"/>
      <c r="W57" s="56"/>
      <c r="X57" s="57"/>
      <c r="Y57" s="9"/>
      <c r="Z57" s="75">
        <v>51143.88</v>
      </c>
      <c r="AA57" s="15">
        <v>0.0064150438821564725</v>
      </c>
      <c r="AB57" s="74">
        <v>39</v>
      </c>
      <c r="AC57" s="15">
        <v>0.004165331624479333</v>
      </c>
      <c r="AD57" s="57"/>
      <c r="AE57" s="56"/>
      <c r="AF57" s="57"/>
      <c r="AG57" s="57"/>
      <c r="AH57" s="75">
        <v>70926.4</v>
      </c>
      <c r="AI57" s="15">
        <v>0.008634731897651973</v>
      </c>
      <c r="AJ57" s="74">
        <v>58</v>
      </c>
      <c r="AK57" s="15">
        <v>0.006320148196578402</v>
      </c>
      <c r="AL57" s="57"/>
      <c r="AM57" s="56"/>
      <c r="AN57" s="57"/>
      <c r="AO57" s="75">
        <v>77971.12</v>
      </c>
      <c r="AP57" s="15">
        <v>0.007630448909997013</v>
      </c>
      <c r="AQ57" s="74">
        <v>62</v>
      </c>
      <c r="AR57" s="15">
        <v>0.00552584670231729</v>
      </c>
      <c r="AS57" s="57"/>
      <c r="AT57" s="56"/>
      <c r="AU57" s="57"/>
      <c r="AV57" s="75">
        <f>43561.68+23886.1+17092.24</f>
        <v>84540.02</v>
      </c>
      <c r="AW57" s="15">
        <f t="shared" si="30"/>
        <v>0.006295960725845011</v>
      </c>
      <c r="AX57" s="74">
        <f>30+16+14</f>
        <v>60</v>
      </c>
      <c r="AY57" s="15">
        <f t="shared" si="31"/>
        <v>0.004304778303917348</v>
      </c>
      <c r="AZ57" s="57"/>
      <c r="BA57" s="56"/>
      <c r="BB57" s="57"/>
      <c r="BC57" s="75">
        <v>85087.32</v>
      </c>
      <c r="BD57" s="15">
        <v>0.0065006995848615095</v>
      </c>
      <c r="BE57" s="74">
        <v>71</v>
      </c>
      <c r="BF57" s="15">
        <v>0.004971292536059375</v>
      </c>
      <c r="BG57" s="57"/>
      <c r="BH57" s="56"/>
      <c r="BI57" s="57"/>
      <c r="BJ57" s="75">
        <v>95828.24</v>
      </c>
      <c r="BK57" s="15">
        <v>0.009405007667636373</v>
      </c>
      <c r="BL57" s="74">
        <v>70</v>
      </c>
      <c r="BM57" s="15">
        <v>0.00577319587628866</v>
      </c>
      <c r="BN57" s="57"/>
      <c r="BO57" s="56"/>
      <c r="BP57" s="57"/>
      <c r="BQ57" s="75">
        <v>104903.77</v>
      </c>
      <c r="BR57" s="15">
        <v>0.015292131065424928</v>
      </c>
      <c r="BS57" s="74">
        <v>78</v>
      </c>
      <c r="BT57" s="15">
        <v>0.009176470588235295</v>
      </c>
      <c r="BU57" s="57"/>
      <c r="BV57" s="56"/>
      <c r="BW57" s="57"/>
      <c r="BX57" s="75">
        <v>83394.56</v>
      </c>
      <c r="BY57" s="15">
        <v>0.016759791670801584</v>
      </c>
      <c r="BZ57" s="74">
        <v>65</v>
      </c>
      <c r="CA57" s="15">
        <v>0.010543390105433901</v>
      </c>
      <c r="CB57" s="57"/>
      <c r="CC57" s="56"/>
      <c r="CD57" s="57"/>
      <c r="CE57" s="75">
        <v>118317.44</v>
      </c>
      <c r="CF57" s="15">
        <v>0.0068794398039804285</v>
      </c>
      <c r="CG57" s="74">
        <v>90</v>
      </c>
      <c r="CH57" s="15">
        <v>0.004741833508956797</v>
      </c>
      <c r="CI57" s="57"/>
      <c r="CJ57" s="56"/>
      <c r="CK57" s="57"/>
      <c r="CL57" s="75">
        <v>74268.92</v>
      </c>
      <c r="CM57" s="15">
        <v>0.004953897771306461</v>
      </c>
      <c r="CN57" s="74">
        <v>77</v>
      </c>
      <c r="CO57" s="15">
        <v>0.004596466093600764</v>
      </c>
      <c r="CP57" s="57"/>
      <c r="CQ57" s="56"/>
      <c r="CR57" s="57"/>
    </row>
    <row r="58" spans="1:96" ht="12.75">
      <c r="A58" s="9" t="s">
        <v>76</v>
      </c>
      <c r="B58" s="9"/>
      <c r="C58" s="44">
        <v>0</v>
      </c>
      <c r="D58" s="34">
        <v>0</v>
      </c>
      <c r="E58" s="47">
        <v>0</v>
      </c>
      <c r="F58" s="34">
        <v>0</v>
      </c>
      <c r="G58" s="9"/>
      <c r="H58" s="9"/>
      <c r="I58" s="75">
        <v>14044.35</v>
      </c>
      <c r="J58" s="15">
        <v>0.002350309200539057</v>
      </c>
      <c r="K58" s="74">
        <v>9</v>
      </c>
      <c r="L58" s="15">
        <v>0.0013022717407032266</v>
      </c>
      <c r="M58" s="57"/>
      <c r="N58" s="56"/>
      <c r="O58" s="57"/>
      <c r="P58" s="57"/>
      <c r="Q58" s="9"/>
      <c r="R58" s="75">
        <v>63622.79</v>
      </c>
      <c r="S58" s="15">
        <v>0.00863058518318498</v>
      </c>
      <c r="T58" s="74">
        <v>37</v>
      </c>
      <c r="U58" s="15">
        <v>0.004003462454014283</v>
      </c>
      <c r="V58" s="57"/>
      <c r="W58" s="56"/>
      <c r="X58" s="57"/>
      <c r="Y58" s="9"/>
      <c r="Z58" s="75">
        <v>100817.66</v>
      </c>
      <c r="AA58" s="15">
        <v>0.012645691195042908</v>
      </c>
      <c r="AB58" s="74">
        <v>65</v>
      </c>
      <c r="AC58" s="15">
        <v>0.006942219374132223</v>
      </c>
      <c r="AD58" s="57"/>
      <c r="AE58" s="56"/>
      <c r="AF58" s="57"/>
      <c r="AG58" s="57"/>
      <c r="AH58" s="75">
        <v>64983.5</v>
      </c>
      <c r="AI58" s="15">
        <v>0.007911230518834555</v>
      </c>
      <c r="AJ58" s="74">
        <v>48</v>
      </c>
      <c r="AK58" s="15">
        <v>0.005230467473030402</v>
      </c>
      <c r="AL58" s="57"/>
      <c r="AM58" s="56"/>
      <c r="AN58" s="57"/>
      <c r="AO58" s="75">
        <v>67839.9</v>
      </c>
      <c r="AP58" s="15">
        <v>0.0066389823694889384</v>
      </c>
      <c r="AQ58" s="74">
        <v>53</v>
      </c>
      <c r="AR58" s="15">
        <v>0.004723707664884135</v>
      </c>
      <c r="AS58" s="57"/>
      <c r="AT58" s="56"/>
      <c r="AU58" s="57"/>
      <c r="AV58" s="75">
        <f>33023.28+15147.18+27252.81</f>
        <v>75423.27</v>
      </c>
      <c r="AW58" s="15">
        <f t="shared" si="30"/>
        <v>0.005617007728822447</v>
      </c>
      <c r="AX58" s="74">
        <f>26+14+18</f>
        <v>58</v>
      </c>
      <c r="AY58" s="15">
        <f t="shared" si="31"/>
        <v>0.00416128569378677</v>
      </c>
      <c r="AZ58" s="57"/>
      <c r="BA58" s="56"/>
      <c r="BB58" s="57"/>
      <c r="BC58" s="75">
        <v>91700.7</v>
      </c>
      <c r="BD58" s="15">
        <v>0.007005964019333429</v>
      </c>
      <c r="BE58" s="74">
        <v>64</v>
      </c>
      <c r="BF58" s="15">
        <v>0.004481165102926761</v>
      </c>
      <c r="BG58" s="57"/>
      <c r="BH58" s="56"/>
      <c r="BI58" s="57"/>
      <c r="BJ58" s="75">
        <v>80991.37</v>
      </c>
      <c r="BK58" s="15">
        <v>0.007948851568831638</v>
      </c>
      <c r="BL58" s="74">
        <v>66</v>
      </c>
      <c r="BM58" s="15">
        <v>0.005443298969072165</v>
      </c>
      <c r="BN58" s="57"/>
      <c r="BO58" s="56"/>
      <c r="BP58" s="57"/>
      <c r="BQ58" s="75">
        <v>98328.65</v>
      </c>
      <c r="BR58" s="15">
        <v>0.014333656486190102</v>
      </c>
      <c r="BS58" s="74">
        <v>65</v>
      </c>
      <c r="BT58" s="15">
        <v>0.007647058823529412</v>
      </c>
      <c r="BU58" s="57"/>
      <c r="BV58" s="56"/>
      <c r="BW58" s="57"/>
      <c r="BX58" s="75">
        <v>110060.89</v>
      </c>
      <c r="BY58" s="15">
        <v>0.022118919837253292</v>
      </c>
      <c r="BZ58" s="74">
        <v>74</v>
      </c>
      <c r="CA58" s="15">
        <v>0.012003244120032442</v>
      </c>
      <c r="CB58" s="57"/>
      <c r="CC58" s="56"/>
      <c r="CD58" s="57"/>
      <c r="CE58" s="75">
        <v>83918.99</v>
      </c>
      <c r="CF58" s="15">
        <v>0.004879379068004137</v>
      </c>
      <c r="CG58" s="74">
        <v>58</v>
      </c>
      <c r="CH58" s="15">
        <v>0.0030558482613277133</v>
      </c>
      <c r="CI58" s="57"/>
      <c r="CJ58" s="56"/>
      <c r="CK58" s="57"/>
      <c r="CL58" s="75">
        <v>89858.7</v>
      </c>
      <c r="CM58" s="15">
        <v>0.005993769852348679</v>
      </c>
      <c r="CN58" s="74">
        <v>66</v>
      </c>
      <c r="CO58" s="15">
        <v>0.003939828080229226</v>
      </c>
      <c r="CP58" s="57"/>
      <c r="CQ58" s="56"/>
      <c r="CR58" s="57"/>
    </row>
    <row r="59" spans="1:96" ht="12.75">
      <c r="A59" s="9" t="s">
        <v>47</v>
      </c>
      <c r="B59" s="9"/>
      <c r="C59" s="44">
        <v>0</v>
      </c>
      <c r="D59" s="34">
        <v>0</v>
      </c>
      <c r="E59" s="47">
        <v>0</v>
      </c>
      <c r="F59" s="34">
        <v>0</v>
      </c>
      <c r="G59" s="9"/>
      <c r="H59" s="9"/>
      <c r="I59" s="75">
        <v>0</v>
      </c>
      <c r="J59" s="15">
        <v>0</v>
      </c>
      <c r="K59" s="74">
        <v>0</v>
      </c>
      <c r="L59" s="15">
        <v>0</v>
      </c>
      <c r="M59" s="57"/>
      <c r="N59" s="56"/>
      <c r="O59" s="57"/>
      <c r="P59" s="57"/>
      <c r="Q59" s="9"/>
      <c r="R59" s="75">
        <v>6296.5</v>
      </c>
      <c r="S59" s="15">
        <v>0.0008541354380391717</v>
      </c>
      <c r="T59" s="74">
        <v>4</v>
      </c>
      <c r="U59" s="15">
        <v>0.00043280675178532783</v>
      </c>
      <c r="V59" s="57"/>
      <c r="W59" s="56"/>
      <c r="X59" s="92"/>
      <c r="Y59" s="9"/>
      <c r="Z59" s="75">
        <v>44584.52</v>
      </c>
      <c r="AA59" s="15">
        <v>0.005592294762635976</v>
      </c>
      <c r="AB59" s="74">
        <v>24</v>
      </c>
      <c r="AC59" s="15">
        <v>0.00256328099967959</v>
      </c>
      <c r="AD59" s="57"/>
      <c r="AE59" s="56"/>
      <c r="AF59" s="92"/>
      <c r="AG59" s="92"/>
      <c r="AH59" s="75">
        <v>107495.12</v>
      </c>
      <c r="AI59" s="15">
        <v>0.013086686219883244</v>
      </c>
      <c r="AJ59" s="74">
        <v>60</v>
      </c>
      <c r="AK59" s="15">
        <v>0.006538084341288003</v>
      </c>
      <c r="AL59" s="57"/>
      <c r="AM59" s="56"/>
      <c r="AN59" s="92"/>
      <c r="AO59" s="75">
        <v>124567.9</v>
      </c>
      <c r="AP59" s="15">
        <v>0.012190526399718475</v>
      </c>
      <c r="AQ59" s="74">
        <v>72</v>
      </c>
      <c r="AR59" s="15">
        <v>0.006417112299465241</v>
      </c>
      <c r="AS59" s="57"/>
      <c r="AT59" s="56"/>
      <c r="AU59" s="92"/>
      <c r="AV59" s="75">
        <v>158965.17</v>
      </c>
      <c r="AW59" s="15">
        <f t="shared" si="30"/>
        <v>0.011838635324397552</v>
      </c>
      <c r="AX59" s="74">
        <v>99</v>
      </c>
      <c r="AY59" s="15">
        <f t="shared" si="31"/>
        <v>0.007102884201463625</v>
      </c>
      <c r="AZ59" s="57"/>
      <c r="BA59" s="56"/>
      <c r="BB59" s="92"/>
      <c r="BC59" s="75">
        <v>196717.98</v>
      </c>
      <c r="BD59" s="15">
        <v>0.015029319185523703</v>
      </c>
      <c r="BE59" s="74">
        <v>123</v>
      </c>
      <c r="BF59" s="15">
        <v>0.008612239182187368</v>
      </c>
      <c r="BG59" s="57"/>
      <c r="BH59" s="56"/>
      <c r="BI59" s="92"/>
      <c r="BJ59" s="75">
        <v>255595.77</v>
      </c>
      <c r="BK59" s="15">
        <v>0.025085300290033745</v>
      </c>
      <c r="BL59" s="74">
        <v>157</v>
      </c>
      <c r="BM59" s="15">
        <v>0.012948453608247423</v>
      </c>
      <c r="BN59" s="57"/>
      <c r="BO59" s="56"/>
      <c r="BP59" s="92"/>
      <c r="BQ59" s="75">
        <v>293400.7</v>
      </c>
      <c r="BR59" s="15">
        <v>0.04276988290399306</v>
      </c>
      <c r="BS59" s="74">
        <v>187</v>
      </c>
      <c r="BT59" s="15">
        <v>0.022</v>
      </c>
      <c r="BU59" s="57"/>
      <c r="BV59" s="56"/>
      <c r="BW59" s="92"/>
      <c r="BX59" s="75">
        <v>352967.15</v>
      </c>
      <c r="BY59" s="15">
        <v>0.07093575289127464</v>
      </c>
      <c r="BZ59" s="74">
        <v>217</v>
      </c>
      <c r="CA59" s="15">
        <v>0.03519870235198702</v>
      </c>
      <c r="CB59" s="57"/>
      <c r="CC59" s="56"/>
      <c r="CD59" s="92"/>
      <c r="CE59" s="75">
        <v>419514.88</v>
      </c>
      <c r="CF59" s="15">
        <v>0.024392239756320558</v>
      </c>
      <c r="CG59" s="74">
        <v>253</v>
      </c>
      <c r="CH59" s="15">
        <v>0.01332982086406744</v>
      </c>
      <c r="CI59" s="57"/>
      <c r="CJ59" s="56"/>
      <c r="CK59" s="92"/>
      <c r="CL59" s="75">
        <v>464422.03</v>
      </c>
      <c r="CM59" s="15">
        <v>0.030977954969085623</v>
      </c>
      <c r="CN59" s="74">
        <v>274</v>
      </c>
      <c r="CO59" s="15">
        <v>0.016356255969436486</v>
      </c>
      <c r="CP59" s="57"/>
      <c r="CQ59" s="56"/>
      <c r="CR59" s="92"/>
    </row>
    <row r="60" spans="1:96" ht="12.75">
      <c r="A60" s="9"/>
      <c r="B60" s="9"/>
      <c r="C60" s="44"/>
      <c r="D60" s="34"/>
      <c r="E60" s="47"/>
      <c r="F60" s="34"/>
      <c r="G60" s="9"/>
      <c r="H60" s="9"/>
      <c r="I60" s="10"/>
      <c r="J60" s="9"/>
      <c r="K60" s="11"/>
      <c r="L60" s="9"/>
      <c r="M60" s="55"/>
      <c r="N60" s="56"/>
      <c r="O60" s="55"/>
      <c r="P60" s="55"/>
      <c r="Q60" s="9"/>
      <c r="R60" s="10"/>
      <c r="S60" s="9"/>
      <c r="T60" s="11"/>
      <c r="U60" s="9"/>
      <c r="V60" s="55"/>
      <c r="W60" s="56"/>
      <c r="X60" s="55"/>
      <c r="Y60" s="9"/>
      <c r="Z60" s="10"/>
      <c r="AA60" s="9"/>
      <c r="AB60" s="11"/>
      <c r="AC60" s="9"/>
      <c r="AD60" s="55"/>
      <c r="AE60" s="56"/>
      <c r="AF60" s="55"/>
      <c r="AG60" s="55"/>
      <c r="AH60" s="10"/>
      <c r="AI60" s="9"/>
      <c r="AJ60" s="11"/>
      <c r="AK60" s="9"/>
      <c r="AL60" s="55"/>
      <c r="AM60" s="56"/>
      <c r="AN60" s="55"/>
      <c r="AO60" s="10"/>
      <c r="AP60" s="9"/>
      <c r="AQ60" s="11"/>
      <c r="AR60" s="9"/>
      <c r="AS60" s="55"/>
      <c r="AT60" s="56"/>
      <c r="AU60" s="55"/>
      <c r="AV60" s="10"/>
      <c r="AW60" s="9"/>
      <c r="AX60" s="11"/>
      <c r="AY60" s="9"/>
      <c r="AZ60" s="55"/>
      <c r="BA60" s="56"/>
      <c r="BB60" s="55"/>
      <c r="BC60" s="10"/>
      <c r="BD60" s="9"/>
      <c r="BE60" s="11"/>
      <c r="BF60" s="9"/>
      <c r="BG60" s="55"/>
      <c r="BH60" s="56"/>
      <c r="BI60" s="55"/>
      <c r="BJ60" s="10"/>
      <c r="BK60" s="9"/>
      <c r="BL60" s="11"/>
      <c r="BM60" s="9"/>
      <c r="BN60" s="55"/>
      <c r="BO60" s="56"/>
      <c r="BP60" s="55"/>
      <c r="BQ60" s="10"/>
      <c r="BR60" s="9"/>
      <c r="BS60" s="11"/>
      <c r="BT60" s="9"/>
      <c r="BU60" s="55"/>
      <c r="BV60" s="56"/>
      <c r="BW60" s="55"/>
      <c r="BX60" s="10"/>
      <c r="BY60" s="9"/>
      <c r="BZ60" s="11"/>
      <c r="CA60" s="9"/>
      <c r="CB60" s="55"/>
      <c r="CC60" s="56"/>
      <c r="CD60" s="55"/>
      <c r="CE60" s="10"/>
      <c r="CF60" s="9"/>
      <c r="CG60" s="11"/>
      <c r="CH60" s="9"/>
      <c r="CI60" s="55"/>
      <c r="CJ60" s="56"/>
      <c r="CK60" s="55"/>
      <c r="CL60" s="10"/>
      <c r="CM60" s="9"/>
      <c r="CN60" s="11"/>
      <c r="CO60" s="9"/>
      <c r="CP60" s="55"/>
      <c r="CQ60" s="56"/>
      <c r="CR60" s="55"/>
    </row>
    <row r="61" spans="1:96" ht="13.5" thickBot="1">
      <c r="A61" s="9"/>
      <c r="B61" s="9"/>
      <c r="C61" s="82">
        <f>SUM(C51:C59)</f>
        <v>8879208.900000002</v>
      </c>
      <c r="D61" s="34"/>
      <c r="E61" s="83">
        <f>SUM(E51:E59)</f>
        <v>7395</v>
      </c>
      <c r="F61" s="34"/>
      <c r="G61" s="9"/>
      <c r="H61" s="9"/>
      <c r="I61" s="22">
        <f>SUM(I51:I59)</f>
        <v>5975532.989999999</v>
      </c>
      <c r="J61" s="13"/>
      <c r="K61" s="23">
        <f>SUM(K51:K59)</f>
        <v>6911</v>
      </c>
      <c r="L61" s="24"/>
      <c r="M61" s="54"/>
      <c r="N61" s="32"/>
      <c r="O61" s="58"/>
      <c r="P61" s="58"/>
      <c r="Q61" s="9"/>
      <c r="R61" s="22">
        <f>SUM(R51:R59)</f>
        <v>7371781.709999995</v>
      </c>
      <c r="S61" s="13"/>
      <c r="T61" s="23">
        <f>SUM(T51:T59)</f>
        <v>9242</v>
      </c>
      <c r="U61" s="24"/>
      <c r="V61" s="54"/>
      <c r="W61" s="32"/>
      <c r="X61" s="58"/>
      <c r="Y61" s="9"/>
      <c r="Z61" s="22">
        <f>SUM(Z51:Z59)</f>
        <v>7972491.059999975</v>
      </c>
      <c r="AA61" s="13"/>
      <c r="AB61" s="23">
        <f>SUM(AB51:AB59)</f>
        <v>9363</v>
      </c>
      <c r="AC61" s="24"/>
      <c r="AD61" s="54"/>
      <c r="AE61" s="32"/>
      <c r="AF61" s="58"/>
      <c r="AG61" s="58"/>
      <c r="AH61" s="22">
        <f>SUM(AH51:AH59)</f>
        <v>8214082.4799999725</v>
      </c>
      <c r="AI61" s="13"/>
      <c r="AJ61" s="23">
        <f>SUM(AJ51:AJ59)</f>
        <v>9177</v>
      </c>
      <c r="AK61" s="24"/>
      <c r="AL61" s="54"/>
      <c r="AM61" s="32"/>
      <c r="AN61" s="58"/>
      <c r="AO61" s="22">
        <f>SUM(AO51:AO59)</f>
        <v>10218418.459999952</v>
      </c>
      <c r="AP61" s="13"/>
      <c r="AQ61" s="23">
        <f>SUM(AQ51:AQ59)</f>
        <v>11220</v>
      </c>
      <c r="AR61" s="24"/>
      <c r="AS61" s="54"/>
      <c r="AT61" s="32"/>
      <c r="AU61" s="58"/>
      <c r="AV61" s="22">
        <f>SUM(AV51:AV59)</f>
        <v>13427659.999999998</v>
      </c>
      <c r="AW61" s="13"/>
      <c r="AX61" s="23">
        <f>SUM(AX51:AX59)</f>
        <v>13938</v>
      </c>
      <c r="AY61" s="24"/>
      <c r="AZ61" s="54"/>
      <c r="BA61" s="32"/>
      <c r="BB61" s="58"/>
      <c r="BC61" s="22">
        <f>SUM(BC51:BC59)</f>
        <v>13088948.180000033</v>
      </c>
      <c r="BD61" s="13"/>
      <c r="BE61" s="23">
        <f>SUM(BE51:BE59)</f>
        <v>14282</v>
      </c>
      <c r="BF61" s="24"/>
      <c r="BG61" s="54"/>
      <c r="BH61" s="32"/>
      <c r="BI61" s="58"/>
      <c r="BJ61" s="22">
        <f>SUM(BJ51:BJ59)</f>
        <v>10189065.59000001</v>
      </c>
      <c r="BK61" s="13"/>
      <c r="BL61" s="23">
        <f>SUM(BL51:BL59)</f>
        <v>12125</v>
      </c>
      <c r="BM61" s="24"/>
      <c r="BN61" s="54"/>
      <c r="BO61" s="32"/>
      <c r="BP61" s="58"/>
      <c r="BQ61" s="22">
        <f>SUM(BQ51:BQ59)</f>
        <v>6859983.710000004</v>
      </c>
      <c r="BR61" s="13"/>
      <c r="BS61" s="23">
        <f>SUM(BS51:BS59)</f>
        <v>8500</v>
      </c>
      <c r="BT61" s="24"/>
      <c r="BU61" s="54"/>
      <c r="BV61" s="32"/>
      <c r="BW61" s="58"/>
      <c r="BX61" s="22">
        <f>SUM(BX51:BX59)</f>
        <v>4975870.92000001</v>
      </c>
      <c r="BY61" s="13"/>
      <c r="BZ61" s="23">
        <f>SUM(BZ51:BZ59)</f>
        <v>6165</v>
      </c>
      <c r="CA61" s="24"/>
      <c r="CB61" s="54"/>
      <c r="CC61" s="32"/>
      <c r="CD61" s="58"/>
      <c r="CE61" s="22">
        <f>SUM(CE51:CE59)</f>
        <v>17198702.709999993</v>
      </c>
      <c r="CF61" s="13"/>
      <c r="CG61" s="23">
        <f>SUM(CG51:CG59)</f>
        <v>18980</v>
      </c>
      <c r="CH61" s="24"/>
      <c r="CI61" s="54"/>
      <c r="CJ61" s="32"/>
      <c r="CK61" s="58"/>
      <c r="CL61" s="22">
        <f>SUM(CL51:CL59)</f>
        <v>14992017.079999918</v>
      </c>
      <c r="CM61" s="13"/>
      <c r="CN61" s="23">
        <f>SUM(CN51:CN59)</f>
        <v>16752</v>
      </c>
      <c r="CO61" s="24"/>
      <c r="CP61" s="54"/>
      <c r="CQ61" s="32"/>
      <c r="CR61" s="58"/>
    </row>
    <row r="62" spans="1:96" ht="13.5" thickTop="1">
      <c r="A62" s="9"/>
      <c r="B62" s="9"/>
      <c r="C62" s="44"/>
      <c r="D62" s="34"/>
      <c r="E62" s="44"/>
      <c r="F62" s="34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</row>
    <row r="63" spans="1:96" ht="12.75">
      <c r="A63" s="20" t="s">
        <v>129</v>
      </c>
      <c r="B63" s="9"/>
      <c r="C63" s="44"/>
      <c r="D63" s="34"/>
      <c r="E63" s="44"/>
      <c r="F63" s="34"/>
      <c r="G63" s="9"/>
      <c r="H63" s="9"/>
      <c r="I63" s="20" t="s">
        <v>129</v>
      </c>
      <c r="J63" s="9"/>
      <c r="K63" s="9"/>
      <c r="L63" s="9"/>
      <c r="M63" s="9"/>
      <c r="N63" s="9"/>
      <c r="O63" s="9"/>
      <c r="P63" s="9"/>
      <c r="Q63" s="9"/>
      <c r="R63" s="20" t="s">
        <v>129</v>
      </c>
      <c r="S63" s="9"/>
      <c r="T63" s="9"/>
      <c r="U63" s="9"/>
      <c r="V63" s="9"/>
      <c r="W63" s="9"/>
      <c r="X63" s="9"/>
      <c r="Y63" s="9"/>
      <c r="Z63" s="20" t="s">
        <v>129</v>
      </c>
      <c r="AA63" s="9"/>
      <c r="AB63" s="9"/>
      <c r="AC63" s="9"/>
      <c r="AD63" s="9"/>
      <c r="AE63" s="9"/>
      <c r="AF63" s="9"/>
      <c r="AG63" s="9"/>
      <c r="AH63" s="20" t="s">
        <v>129</v>
      </c>
      <c r="AI63" s="9"/>
      <c r="AJ63" s="9"/>
      <c r="AK63" s="9"/>
      <c r="AL63" s="9"/>
      <c r="AM63" s="9"/>
      <c r="AN63" s="9"/>
      <c r="AO63" s="20" t="s">
        <v>129</v>
      </c>
      <c r="AP63" s="9"/>
      <c r="AQ63" s="9"/>
      <c r="AR63" s="9"/>
      <c r="AS63" s="9"/>
      <c r="AT63" s="9"/>
      <c r="AU63" s="9"/>
      <c r="AV63" s="20" t="s">
        <v>129</v>
      </c>
      <c r="AW63" s="9"/>
      <c r="AX63" s="9"/>
      <c r="AY63" s="9"/>
      <c r="AZ63" s="9"/>
      <c r="BA63" s="9"/>
      <c r="BB63" s="9"/>
      <c r="BC63" s="20" t="s">
        <v>129</v>
      </c>
      <c r="BD63" s="9"/>
      <c r="BE63" s="9"/>
      <c r="BF63" s="9"/>
      <c r="BG63" s="9"/>
      <c r="BH63" s="9"/>
      <c r="BI63" s="9"/>
      <c r="BJ63" s="20" t="s">
        <v>129</v>
      </c>
      <c r="BK63" s="9"/>
      <c r="BL63" s="9"/>
      <c r="BM63" s="9"/>
      <c r="BN63" s="9"/>
      <c r="BO63" s="9"/>
      <c r="BP63" s="9"/>
      <c r="BQ63" s="20" t="s">
        <v>129</v>
      </c>
      <c r="BR63" s="9"/>
      <c r="BS63" s="9"/>
      <c r="BT63" s="9"/>
      <c r="BU63" s="9"/>
      <c r="BV63" s="9"/>
      <c r="BW63" s="9"/>
      <c r="BX63" s="20" t="s">
        <v>129</v>
      </c>
      <c r="BY63" s="9"/>
      <c r="BZ63" s="9"/>
      <c r="CA63" s="9"/>
      <c r="CB63" s="9"/>
      <c r="CC63" s="9"/>
      <c r="CD63" s="9"/>
      <c r="CE63" s="20" t="s">
        <v>129</v>
      </c>
      <c r="CF63" s="9"/>
      <c r="CG63" s="9"/>
      <c r="CH63" s="9"/>
      <c r="CI63" s="9"/>
      <c r="CJ63" s="9"/>
      <c r="CK63" s="9"/>
      <c r="CL63" s="20" t="s">
        <v>129</v>
      </c>
      <c r="CM63" s="9"/>
      <c r="CN63" s="9"/>
      <c r="CO63" s="9"/>
      <c r="CP63" s="9"/>
      <c r="CQ63" s="9"/>
      <c r="CR63" s="9"/>
    </row>
    <row r="64" spans="1:96" ht="12.75">
      <c r="A64" s="9"/>
      <c r="B64" s="9"/>
      <c r="C64" s="44"/>
      <c r="D64" s="34"/>
      <c r="E64" s="44"/>
      <c r="F64" s="34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</row>
    <row r="65" spans="1:96" ht="12.75">
      <c r="A65" s="9" t="s">
        <v>108</v>
      </c>
      <c r="B65" s="9"/>
      <c r="C65" s="9"/>
      <c r="D65" s="9"/>
      <c r="E65" s="9"/>
      <c r="F65" s="9"/>
      <c r="G65" s="9"/>
      <c r="H65" s="9"/>
      <c r="I65" s="9" t="s">
        <v>108</v>
      </c>
      <c r="J65" s="9"/>
      <c r="K65" s="9"/>
      <c r="L65" s="10"/>
      <c r="M65" s="9"/>
      <c r="N65" s="11"/>
      <c r="O65" s="9"/>
      <c r="P65" s="9"/>
      <c r="Q65" s="9"/>
      <c r="R65" s="9" t="s">
        <v>108</v>
      </c>
      <c r="S65" s="9"/>
      <c r="T65" s="9"/>
      <c r="U65" s="10"/>
      <c r="V65" s="9"/>
      <c r="W65" s="11"/>
      <c r="X65" s="9"/>
      <c r="Y65" s="9"/>
      <c r="Z65" s="9" t="s">
        <v>108</v>
      </c>
      <c r="AA65" s="9"/>
      <c r="AB65" s="9"/>
      <c r="AC65" s="10"/>
      <c r="AD65" s="9"/>
      <c r="AE65" s="11"/>
      <c r="AF65" s="9"/>
      <c r="AG65" s="9"/>
      <c r="AH65" s="9" t="s">
        <v>108</v>
      </c>
      <c r="AI65" s="9"/>
      <c r="AJ65" s="9"/>
      <c r="AK65" s="10"/>
      <c r="AL65" s="9"/>
      <c r="AM65" s="11"/>
      <c r="AN65" s="9"/>
      <c r="AO65" s="9" t="s">
        <v>108</v>
      </c>
      <c r="AP65" s="9"/>
      <c r="AQ65" s="9"/>
      <c r="AR65" s="10"/>
      <c r="AS65" s="9"/>
      <c r="AT65" s="11"/>
      <c r="AU65" s="9"/>
      <c r="AV65" s="9" t="s">
        <v>108</v>
      </c>
      <c r="AW65" s="9"/>
      <c r="AX65" s="9"/>
      <c r="AY65" s="10"/>
      <c r="AZ65" s="9"/>
      <c r="BA65" s="11"/>
      <c r="BB65" s="9"/>
      <c r="BC65" s="9" t="s">
        <v>108</v>
      </c>
      <c r="BD65" s="9"/>
      <c r="BE65" s="9"/>
      <c r="BF65" s="10"/>
      <c r="BG65" s="9"/>
      <c r="BH65" s="11"/>
      <c r="BI65" s="9"/>
      <c r="BJ65" s="9" t="s">
        <v>108</v>
      </c>
      <c r="BK65" s="9"/>
      <c r="BL65" s="9"/>
      <c r="BM65" s="10"/>
      <c r="BN65" s="9"/>
      <c r="BO65" s="11"/>
      <c r="BP65" s="9"/>
      <c r="BQ65" s="9" t="s">
        <v>108</v>
      </c>
      <c r="BR65" s="9"/>
      <c r="BS65" s="9"/>
      <c r="BT65" s="10"/>
      <c r="BU65" s="9"/>
      <c r="BV65" s="11"/>
      <c r="BW65" s="9"/>
      <c r="BX65" s="9" t="s">
        <v>108</v>
      </c>
      <c r="BY65" s="9"/>
      <c r="BZ65" s="9"/>
      <c r="CA65" s="10"/>
      <c r="CB65" s="9"/>
      <c r="CC65" s="11"/>
      <c r="CD65" s="9"/>
      <c r="CE65" s="9" t="s">
        <v>108</v>
      </c>
      <c r="CF65" s="9"/>
      <c r="CG65" s="9"/>
      <c r="CH65" s="10"/>
      <c r="CI65" s="9"/>
      <c r="CJ65" s="11"/>
      <c r="CK65" s="9"/>
      <c r="CL65" s="9" t="s">
        <v>108</v>
      </c>
      <c r="CM65" s="9"/>
      <c r="CN65" s="9"/>
      <c r="CO65" s="10"/>
      <c r="CP65" s="9"/>
      <c r="CQ65" s="11"/>
      <c r="CR65" s="9"/>
    </row>
    <row r="66" spans="1:96" ht="12.75">
      <c r="A66" s="9"/>
      <c r="B66" s="9"/>
      <c r="C66" s="9"/>
      <c r="D66" s="9"/>
      <c r="E66" s="9"/>
      <c r="F66" s="9"/>
      <c r="G66" s="9"/>
      <c r="H66" s="9"/>
      <c r="I66" s="20"/>
      <c r="J66" s="9"/>
      <c r="K66" s="9"/>
      <c r="L66" s="10"/>
      <c r="M66" s="9"/>
      <c r="N66" s="11"/>
      <c r="O66" s="9"/>
      <c r="P66" s="9"/>
      <c r="Q66" s="9"/>
      <c r="R66" s="20"/>
      <c r="S66" s="9"/>
      <c r="T66" s="9"/>
      <c r="U66" s="10"/>
      <c r="V66" s="9"/>
      <c r="W66" s="11"/>
      <c r="X66" s="9"/>
      <c r="Y66" s="9"/>
      <c r="Z66" s="20"/>
      <c r="AA66" s="9"/>
      <c r="AB66" s="9"/>
      <c r="AC66" s="10"/>
      <c r="AD66" s="9"/>
      <c r="AE66" s="11"/>
      <c r="AF66" s="9"/>
      <c r="AG66" s="9"/>
      <c r="AH66" s="20"/>
      <c r="AI66" s="9"/>
      <c r="AJ66" s="9"/>
      <c r="AK66" s="10"/>
      <c r="AL66" s="9"/>
      <c r="AM66" s="11"/>
      <c r="AN66" s="9"/>
      <c r="AO66" s="20"/>
      <c r="AP66" s="9"/>
      <c r="AQ66" s="9"/>
      <c r="AR66" s="10"/>
      <c r="AS66" s="9"/>
      <c r="AT66" s="11"/>
      <c r="AU66" s="9"/>
      <c r="AV66" s="20"/>
      <c r="AW66" s="9"/>
      <c r="AX66" s="9"/>
      <c r="AY66" s="10"/>
      <c r="AZ66" s="9"/>
      <c r="BA66" s="11"/>
      <c r="BB66" s="9"/>
      <c r="BC66" s="20"/>
      <c r="BD66" s="9"/>
      <c r="BE66" s="9"/>
      <c r="BF66" s="10"/>
      <c r="BG66" s="9"/>
      <c r="BH66" s="11"/>
      <c r="BI66" s="9"/>
      <c r="BJ66" s="20"/>
      <c r="BK66" s="9"/>
      <c r="BL66" s="9"/>
      <c r="BM66" s="10"/>
      <c r="BN66" s="9"/>
      <c r="BO66" s="11"/>
      <c r="BP66" s="9"/>
      <c r="BQ66" s="20"/>
      <c r="BR66" s="9"/>
      <c r="BS66" s="9"/>
      <c r="BT66" s="10"/>
      <c r="BU66" s="9"/>
      <c r="BV66" s="11"/>
      <c r="BW66" s="9"/>
      <c r="BX66" s="20"/>
      <c r="BY66" s="9"/>
      <c r="BZ66" s="9"/>
      <c r="CA66" s="10"/>
      <c r="CB66" s="9"/>
      <c r="CC66" s="11"/>
      <c r="CD66" s="9"/>
      <c r="CE66" s="20"/>
      <c r="CF66" s="9"/>
      <c r="CG66" s="9"/>
      <c r="CH66" s="10"/>
      <c r="CI66" s="9"/>
      <c r="CJ66" s="11"/>
      <c r="CK66" s="9"/>
      <c r="CL66" s="20"/>
      <c r="CM66" s="9"/>
      <c r="CN66" s="9"/>
      <c r="CO66" s="10"/>
      <c r="CP66" s="9"/>
      <c r="CQ66" s="11"/>
      <c r="CR66" s="9"/>
    </row>
    <row r="67" spans="1:96" s="46" customFormat="1" ht="12.75">
      <c r="A67" s="27"/>
      <c r="B67" s="27"/>
      <c r="C67" s="28" t="s">
        <v>143</v>
      </c>
      <c r="D67" s="27" t="s">
        <v>96</v>
      </c>
      <c r="E67" s="27" t="s">
        <v>97</v>
      </c>
      <c r="F67" s="27" t="s">
        <v>96</v>
      </c>
      <c r="G67" s="27"/>
      <c r="H67" s="27"/>
      <c r="I67" s="28" t="s">
        <v>143</v>
      </c>
      <c r="J67" s="45" t="s">
        <v>96</v>
      </c>
      <c r="K67" s="27" t="s">
        <v>97</v>
      </c>
      <c r="L67" s="27" t="s">
        <v>96</v>
      </c>
      <c r="M67" s="73"/>
      <c r="N67" s="65"/>
      <c r="O67" s="65"/>
      <c r="P67" s="65"/>
      <c r="Q67" s="27"/>
      <c r="R67" s="28" t="s">
        <v>143</v>
      </c>
      <c r="S67" s="45" t="s">
        <v>96</v>
      </c>
      <c r="T67" s="27" t="s">
        <v>97</v>
      </c>
      <c r="U67" s="27" t="s">
        <v>96</v>
      </c>
      <c r="V67" s="73"/>
      <c r="W67" s="65"/>
      <c r="X67" s="65"/>
      <c r="Y67" s="27"/>
      <c r="Z67" s="28" t="s">
        <v>143</v>
      </c>
      <c r="AA67" s="45" t="s">
        <v>96</v>
      </c>
      <c r="AB67" s="27" t="s">
        <v>97</v>
      </c>
      <c r="AC67" s="27" t="s">
        <v>96</v>
      </c>
      <c r="AD67" s="73"/>
      <c r="AE67" s="65"/>
      <c r="AF67" s="65"/>
      <c r="AG67" s="65"/>
      <c r="AH67" s="28" t="s">
        <v>143</v>
      </c>
      <c r="AI67" s="45" t="s">
        <v>96</v>
      </c>
      <c r="AJ67" s="27" t="s">
        <v>97</v>
      </c>
      <c r="AK67" s="27" t="s">
        <v>96</v>
      </c>
      <c r="AL67" s="73"/>
      <c r="AM67" s="65"/>
      <c r="AN67" s="65"/>
      <c r="AO67" s="94" t="s">
        <v>143</v>
      </c>
      <c r="AP67" s="45" t="s">
        <v>96</v>
      </c>
      <c r="AQ67" s="45" t="s">
        <v>97</v>
      </c>
      <c r="AR67" s="45" t="s">
        <v>96</v>
      </c>
      <c r="AS67" s="73"/>
      <c r="AT67" s="65"/>
      <c r="AU67" s="65"/>
      <c r="AV67" s="94" t="s">
        <v>143</v>
      </c>
      <c r="AW67" s="45" t="s">
        <v>96</v>
      </c>
      <c r="AX67" s="45" t="s">
        <v>97</v>
      </c>
      <c r="AY67" s="45" t="s">
        <v>96</v>
      </c>
      <c r="AZ67" s="73"/>
      <c r="BA67" s="65"/>
      <c r="BB67" s="65"/>
      <c r="BC67" s="94" t="s">
        <v>143</v>
      </c>
      <c r="BD67" s="45" t="s">
        <v>96</v>
      </c>
      <c r="BE67" s="45" t="s">
        <v>97</v>
      </c>
      <c r="BF67" s="45" t="s">
        <v>96</v>
      </c>
      <c r="BG67" s="73"/>
      <c r="BH67" s="65"/>
      <c r="BI67" s="65"/>
      <c r="BJ67" s="94" t="s">
        <v>143</v>
      </c>
      <c r="BK67" s="45" t="s">
        <v>96</v>
      </c>
      <c r="BL67" s="45" t="s">
        <v>97</v>
      </c>
      <c r="BM67" s="45" t="s">
        <v>96</v>
      </c>
      <c r="BN67" s="73"/>
      <c r="BO67" s="65"/>
      <c r="BP67" s="65"/>
      <c r="BQ67" s="94" t="s">
        <v>143</v>
      </c>
      <c r="BR67" s="45" t="s">
        <v>96</v>
      </c>
      <c r="BS67" s="45" t="s">
        <v>97</v>
      </c>
      <c r="BT67" s="45" t="s">
        <v>96</v>
      </c>
      <c r="BU67" s="73"/>
      <c r="BV67" s="65"/>
      <c r="BW67" s="65"/>
      <c r="BX67" s="94" t="s">
        <v>143</v>
      </c>
      <c r="BY67" s="45" t="s">
        <v>96</v>
      </c>
      <c r="BZ67" s="45" t="s">
        <v>97</v>
      </c>
      <c r="CA67" s="45" t="s">
        <v>96</v>
      </c>
      <c r="CB67" s="73"/>
      <c r="CC67" s="65"/>
      <c r="CD67" s="65"/>
      <c r="CE67" s="94" t="s">
        <v>143</v>
      </c>
      <c r="CF67" s="45" t="s">
        <v>96</v>
      </c>
      <c r="CG67" s="45" t="s">
        <v>97</v>
      </c>
      <c r="CH67" s="45" t="s">
        <v>96</v>
      </c>
      <c r="CI67" s="73"/>
      <c r="CJ67" s="65"/>
      <c r="CK67" s="65"/>
      <c r="CL67" s="94" t="s">
        <v>143</v>
      </c>
      <c r="CM67" s="45" t="s">
        <v>96</v>
      </c>
      <c r="CN67" s="45" t="s">
        <v>97</v>
      </c>
      <c r="CO67" s="45" t="s">
        <v>96</v>
      </c>
      <c r="CP67" s="73"/>
      <c r="CQ67" s="65"/>
      <c r="CR67" s="65"/>
    </row>
    <row r="68" spans="1:96" ht="12.75">
      <c r="A68" s="9"/>
      <c r="B68" s="9"/>
      <c r="C68" s="9"/>
      <c r="D68" s="9"/>
      <c r="E68" s="9"/>
      <c r="F68" s="9"/>
      <c r="G68" s="9"/>
      <c r="H68" s="9"/>
      <c r="I68" s="10"/>
      <c r="J68" s="9"/>
      <c r="K68" s="11"/>
      <c r="L68" s="9"/>
      <c r="M68" s="55"/>
      <c r="N68" s="56"/>
      <c r="O68" s="55"/>
      <c r="P68" s="55"/>
      <c r="Q68" s="9"/>
      <c r="R68" s="10"/>
      <c r="S68" s="9"/>
      <c r="T68" s="11"/>
      <c r="U68" s="9"/>
      <c r="V68" s="55"/>
      <c r="W68" s="56"/>
      <c r="X68" s="55"/>
      <c r="Y68" s="9"/>
      <c r="Z68" s="10"/>
      <c r="AA68" s="9"/>
      <c r="AB68" s="11"/>
      <c r="AC68" s="9"/>
      <c r="AD68" s="55"/>
      <c r="AE68" s="56"/>
      <c r="AF68" s="55"/>
      <c r="AG68" s="55"/>
      <c r="AH68" s="10"/>
      <c r="AI68" s="9"/>
      <c r="AJ68" s="11"/>
      <c r="AK68" s="9"/>
      <c r="AL68" s="55"/>
      <c r="AM68" s="56"/>
      <c r="AN68" s="55"/>
      <c r="AO68" s="10"/>
      <c r="AP68" s="9"/>
      <c r="AQ68" s="11"/>
      <c r="AR68" s="9"/>
      <c r="AS68" s="55"/>
      <c r="AT68" s="56"/>
      <c r="AU68" s="55"/>
      <c r="AV68" s="10"/>
      <c r="AW68" s="9"/>
      <c r="AX68" s="11"/>
      <c r="AY68" s="9"/>
      <c r="AZ68" s="55"/>
      <c r="BA68" s="56"/>
      <c r="BB68" s="55"/>
      <c r="BC68" s="10"/>
      <c r="BD68" s="9"/>
      <c r="BE68" s="11"/>
      <c r="BF68" s="9"/>
      <c r="BG68" s="55"/>
      <c r="BH68" s="56"/>
      <c r="BI68" s="55"/>
      <c r="BJ68" s="10"/>
      <c r="BK68" s="9"/>
      <c r="BL68" s="11"/>
      <c r="BM68" s="9"/>
      <c r="BN68" s="55"/>
      <c r="BO68" s="56"/>
      <c r="BP68" s="55"/>
      <c r="BQ68" s="10"/>
      <c r="BR68" s="9"/>
      <c r="BS68" s="11"/>
      <c r="BT68" s="9"/>
      <c r="BU68" s="55"/>
      <c r="BV68" s="56"/>
      <c r="BW68" s="55"/>
      <c r="BX68" s="10"/>
      <c r="BY68" s="9"/>
      <c r="BZ68" s="11"/>
      <c r="CA68" s="9"/>
      <c r="CB68" s="55"/>
      <c r="CC68" s="56"/>
      <c r="CD68" s="55"/>
      <c r="CE68" s="10"/>
      <c r="CF68" s="9"/>
      <c r="CG68" s="11"/>
      <c r="CH68" s="9"/>
      <c r="CI68" s="55"/>
      <c r="CJ68" s="56"/>
      <c r="CK68" s="55"/>
      <c r="CL68" s="10"/>
      <c r="CM68" s="9"/>
      <c r="CN68" s="11"/>
      <c r="CO68" s="9"/>
      <c r="CP68" s="55"/>
      <c r="CQ68" s="56"/>
      <c r="CR68" s="55"/>
    </row>
    <row r="69" spans="1:96" ht="12.75">
      <c r="A69" s="9" t="s">
        <v>41</v>
      </c>
      <c r="B69" s="9"/>
      <c r="C69" s="44">
        <v>9475553.590000004</v>
      </c>
      <c r="D69" s="34">
        <v>0.9881604942937404</v>
      </c>
      <c r="E69" s="47">
        <v>545</v>
      </c>
      <c r="F69" s="34">
        <v>0.9802158273381295</v>
      </c>
      <c r="G69" s="34"/>
      <c r="H69" s="34"/>
      <c r="I69" s="10">
        <f>9127832.11000001-52683.24</f>
        <v>9075148.87000001</v>
      </c>
      <c r="J69" s="15">
        <f>+I69/$I$79</f>
        <v>0.98121225276891</v>
      </c>
      <c r="K69" s="74">
        <v>531</v>
      </c>
      <c r="L69" s="15">
        <f>+K69/$K$79</f>
        <v>0.9672131147540983</v>
      </c>
      <c r="M69" s="57"/>
      <c r="N69" s="56"/>
      <c r="O69" s="57"/>
      <c r="P69" s="57"/>
      <c r="Q69" s="34"/>
      <c r="R69" s="10">
        <v>23004592.58</v>
      </c>
      <c r="S69" s="15">
        <v>0.9836602313093077</v>
      </c>
      <c r="T69" s="74">
        <v>1272</v>
      </c>
      <c r="U69" s="15">
        <v>0.9827844311377245</v>
      </c>
      <c r="V69" s="57"/>
      <c r="W69" s="56"/>
      <c r="X69" s="57"/>
      <c r="Y69" s="34"/>
      <c r="Z69" s="10">
        <v>39930392.24</v>
      </c>
      <c r="AA69" s="15">
        <f>+Z69/$Z$79</f>
        <v>0.9845961650257459</v>
      </c>
      <c r="AB69" s="74">
        <v>2102</v>
      </c>
      <c r="AC69" s="15">
        <f>+AB69/$AB$79</f>
        <v>0.9655489205328434</v>
      </c>
      <c r="AD69" s="57"/>
      <c r="AE69" s="56"/>
      <c r="AF69" s="57"/>
      <c r="AG69" s="57"/>
      <c r="AH69" s="10">
        <v>54405617.95</v>
      </c>
      <c r="AI69" s="15">
        <f>+AH69/$AH$79</f>
        <v>0.9746843673344886</v>
      </c>
      <c r="AJ69" s="74">
        <v>2799</v>
      </c>
      <c r="AK69" s="15">
        <f>+AJ69/$AJ$79</f>
        <v>0.9468876860622463</v>
      </c>
      <c r="AL69" s="57"/>
      <c r="AM69" s="56"/>
      <c r="AN69" s="57"/>
      <c r="AO69" s="10">
        <v>57452904.090000115</v>
      </c>
      <c r="AP69" s="15">
        <v>0.970168958553896</v>
      </c>
      <c r="AQ69" s="74">
        <v>2837</v>
      </c>
      <c r="AR69" s="15">
        <v>0.9630006788866259</v>
      </c>
      <c r="AS69" s="57"/>
      <c r="AT69" s="56"/>
      <c r="AU69" s="57"/>
      <c r="AV69" s="10">
        <v>73982848.17000003</v>
      </c>
      <c r="AW69" s="15">
        <f>+AV69/$AV$79</f>
        <v>0.9633943226468641</v>
      </c>
      <c r="AX69" s="74">
        <v>3495</v>
      </c>
      <c r="AY69" s="15">
        <f>+AX69/$AX$79</f>
        <v>0.9591108671789242</v>
      </c>
      <c r="AZ69" s="57"/>
      <c r="BA69" s="56"/>
      <c r="BB69" s="57"/>
      <c r="BC69" s="10">
        <v>81079807.18999976</v>
      </c>
      <c r="BD69" s="15">
        <v>0.9710132719755724</v>
      </c>
      <c r="BE69" s="74">
        <v>3689</v>
      </c>
      <c r="BF69" s="15">
        <v>0.9669724770642202</v>
      </c>
      <c r="BG69" s="57"/>
      <c r="BH69" s="56"/>
      <c r="BI69" s="57"/>
      <c r="BJ69" s="10">
        <v>83335630.25000006</v>
      </c>
      <c r="BK69" s="15">
        <v>0.961683968116675</v>
      </c>
      <c r="BL69" s="74">
        <v>3715</v>
      </c>
      <c r="BM69" s="15">
        <v>0.9626846333246956</v>
      </c>
      <c r="BN69" s="57"/>
      <c r="BO69" s="56"/>
      <c r="BP69" s="57"/>
      <c r="BQ69" s="10">
        <v>98712130.44999991</v>
      </c>
      <c r="BR69" s="15">
        <v>0.9605115286283081</v>
      </c>
      <c r="BS69" s="74">
        <v>4243</v>
      </c>
      <c r="BT69" s="15">
        <v>0.9601719846119031</v>
      </c>
      <c r="BU69" s="57"/>
      <c r="BV69" s="56"/>
      <c r="BW69" s="57"/>
      <c r="BX69" s="10">
        <v>102380927.45000029</v>
      </c>
      <c r="BY69" s="15">
        <v>0.9552069110567063</v>
      </c>
      <c r="BZ69" s="74">
        <v>4296</v>
      </c>
      <c r="CA69" s="15">
        <v>0.9546666666666667</v>
      </c>
      <c r="CB69" s="57"/>
      <c r="CC69" s="56"/>
      <c r="CD69" s="57"/>
      <c r="CE69" s="10">
        <v>110073410.66000007</v>
      </c>
      <c r="CF69" s="15">
        <v>0.9575759476124367</v>
      </c>
      <c r="CG69" s="74">
        <v>4467</v>
      </c>
      <c r="CH69" s="15">
        <v>0.9573510501500214</v>
      </c>
      <c r="CI69" s="57"/>
      <c r="CJ69" s="56"/>
      <c r="CK69" s="57"/>
      <c r="CL69" s="10">
        <v>108463274.40999998</v>
      </c>
      <c r="CM69" s="15">
        <v>0.9476115292279884</v>
      </c>
      <c r="CN69" s="74">
        <v>4328</v>
      </c>
      <c r="CO69" s="15">
        <v>0.9478756022777047</v>
      </c>
      <c r="CP69" s="57"/>
      <c r="CQ69" s="56"/>
      <c r="CR69" s="57"/>
    </row>
    <row r="70" spans="1:96" ht="12.75">
      <c r="A70" s="9" t="s">
        <v>42</v>
      </c>
      <c r="B70" s="9"/>
      <c r="C70" s="44">
        <v>97053.37</v>
      </c>
      <c r="D70" s="34">
        <v>0.010121235151187957</v>
      </c>
      <c r="E70" s="47">
        <v>9</v>
      </c>
      <c r="F70" s="34">
        <v>0.01618705035971223</v>
      </c>
      <c r="G70" s="34"/>
      <c r="H70" s="34"/>
      <c r="I70" s="10">
        <v>75499.27</v>
      </c>
      <c r="J70" s="15">
        <f aca="true" t="shared" si="32" ref="J70:J77">+I70/$I$79</f>
        <v>0.008163040613471291</v>
      </c>
      <c r="K70" s="74">
        <v>5</v>
      </c>
      <c r="L70" s="15">
        <f aca="true" t="shared" si="33" ref="L70:L77">+K70/$K$79</f>
        <v>0.009107468123861567</v>
      </c>
      <c r="M70" s="57"/>
      <c r="N70" s="56"/>
      <c r="O70" s="57"/>
      <c r="P70" s="57"/>
      <c r="Q70" s="34"/>
      <c r="R70" s="10">
        <v>242914.73</v>
      </c>
      <c r="S70" s="15">
        <v>0.010351038742391004</v>
      </c>
      <c r="T70" s="74">
        <v>12</v>
      </c>
      <c r="U70" s="15">
        <v>0.008982035928143712</v>
      </c>
      <c r="V70" s="57"/>
      <c r="W70" s="56"/>
      <c r="X70" s="57"/>
      <c r="Y70" s="34"/>
      <c r="Z70" s="10">
        <v>337280.71</v>
      </c>
      <c r="AA70" s="15">
        <f aca="true" t="shared" si="34" ref="AA70:AA77">+Z70/$Z$79</f>
        <v>0.00831660484593228</v>
      </c>
      <c r="AB70" s="74">
        <v>23</v>
      </c>
      <c r="AC70" s="15">
        <f aca="true" t="shared" si="35" ref="AC70:AC77">+AB70/$AB$79</f>
        <v>0.010564997703261369</v>
      </c>
      <c r="AD70" s="57"/>
      <c r="AE70" s="56"/>
      <c r="AF70" s="57"/>
      <c r="AG70" s="57"/>
      <c r="AH70" s="10">
        <v>977068.6</v>
      </c>
      <c r="AI70" s="15">
        <f aca="true" t="shared" si="36" ref="AI70:AI77">+AH70/$AH$79</f>
        <v>0.017504322643823483</v>
      </c>
      <c r="AJ70" s="74">
        <v>45</v>
      </c>
      <c r="AK70" s="15">
        <f aca="true" t="shared" si="37" ref="AK70:AK76">+AJ70/$AJ$79</f>
        <v>0.015223274695534507</v>
      </c>
      <c r="AL70" s="57"/>
      <c r="AM70" s="56"/>
      <c r="AN70" s="57"/>
      <c r="AO70" s="10">
        <v>1060287.51</v>
      </c>
      <c r="AP70" s="15">
        <v>0.01790436959867178</v>
      </c>
      <c r="AQ70" s="74">
        <v>58</v>
      </c>
      <c r="AR70" s="15">
        <v>0.019687712152070606</v>
      </c>
      <c r="AS70" s="57"/>
      <c r="AT70" s="56"/>
      <c r="AU70" s="57"/>
      <c r="AV70" s="10">
        <v>1237743.78</v>
      </c>
      <c r="AW70" s="15">
        <f aca="true" t="shared" si="38" ref="AW70:AW77">+AV70/$AV$79</f>
        <v>0.016117726743953613</v>
      </c>
      <c r="AX70" s="74">
        <v>65</v>
      </c>
      <c r="AY70" s="15">
        <f aca="true" t="shared" si="39" ref="AY70:AY77">+AX70/$AX$79</f>
        <v>0.01783754116355653</v>
      </c>
      <c r="AZ70" s="57"/>
      <c r="BA70" s="56"/>
      <c r="BB70" s="57"/>
      <c r="BC70" s="10">
        <v>1148846.67</v>
      </c>
      <c r="BD70" s="15">
        <v>0.013758608989052085</v>
      </c>
      <c r="BE70" s="74">
        <v>55</v>
      </c>
      <c r="BF70" s="15">
        <v>0.014416775884665793</v>
      </c>
      <c r="BG70" s="57"/>
      <c r="BH70" s="56"/>
      <c r="BI70" s="57"/>
      <c r="BJ70" s="10">
        <v>1713654.42</v>
      </c>
      <c r="BK70" s="15">
        <v>0.019775382722401362</v>
      </c>
      <c r="BL70" s="74">
        <v>70</v>
      </c>
      <c r="BM70" s="15">
        <v>0.01813941435605079</v>
      </c>
      <c r="BN70" s="57"/>
      <c r="BO70" s="56"/>
      <c r="BP70" s="57"/>
      <c r="BQ70" s="10">
        <v>1979279.69</v>
      </c>
      <c r="BR70" s="15">
        <v>0.01925924353935231</v>
      </c>
      <c r="BS70" s="74">
        <v>78</v>
      </c>
      <c r="BT70" s="15">
        <v>0.017651052274270197</v>
      </c>
      <c r="BU70" s="57"/>
      <c r="BV70" s="56"/>
      <c r="BW70" s="57"/>
      <c r="BX70" s="10">
        <v>1730399.52</v>
      </c>
      <c r="BY70" s="15">
        <v>0.01614450680963432</v>
      </c>
      <c r="BZ70" s="74">
        <v>76</v>
      </c>
      <c r="CA70" s="15">
        <v>0.016888888888888887</v>
      </c>
      <c r="CB70" s="57"/>
      <c r="CC70" s="56"/>
      <c r="CD70" s="57"/>
      <c r="CE70" s="10">
        <v>1815092.45</v>
      </c>
      <c r="CF70" s="15">
        <v>0.015790269987923062</v>
      </c>
      <c r="CG70" s="74">
        <v>78</v>
      </c>
      <c r="CH70" s="15">
        <v>0.016716673810544362</v>
      </c>
      <c r="CI70" s="57"/>
      <c r="CJ70" s="56"/>
      <c r="CK70" s="57"/>
      <c r="CL70" s="10">
        <v>2149007.32</v>
      </c>
      <c r="CM70" s="15">
        <v>0.01877524096432395</v>
      </c>
      <c r="CN70" s="74">
        <v>89</v>
      </c>
      <c r="CO70" s="15">
        <v>0.019491896627244855</v>
      </c>
      <c r="CP70" s="57"/>
      <c r="CQ70" s="56"/>
      <c r="CR70" s="57"/>
    </row>
    <row r="71" spans="1:96" ht="12.75">
      <c r="A71" s="9" t="s">
        <v>43</v>
      </c>
      <c r="B71" s="9"/>
      <c r="C71" s="44">
        <v>5706.34</v>
      </c>
      <c r="D71" s="34">
        <v>0.0005950871050910431</v>
      </c>
      <c r="E71" s="47">
        <v>1</v>
      </c>
      <c r="F71" s="34">
        <v>0.0017985611510791368</v>
      </c>
      <c r="G71" s="34"/>
      <c r="H71" s="34"/>
      <c r="I71" s="10">
        <v>7132.51</v>
      </c>
      <c r="J71" s="15">
        <f t="shared" si="32"/>
        <v>0.0007711726061191071</v>
      </c>
      <c r="K71" s="74">
        <v>1</v>
      </c>
      <c r="L71" s="15">
        <f t="shared" si="33"/>
        <v>0.0018214936247723133</v>
      </c>
      <c r="M71" s="57"/>
      <c r="N71" s="56"/>
      <c r="O71" s="57"/>
      <c r="P71" s="57"/>
      <c r="Q71" s="34"/>
      <c r="R71" s="10">
        <v>53442.58</v>
      </c>
      <c r="S71" s="15">
        <v>0.0022772855975976866</v>
      </c>
      <c r="T71" s="74">
        <v>5</v>
      </c>
      <c r="U71" s="15">
        <v>0.0037425149700598802</v>
      </c>
      <c r="V71" s="57"/>
      <c r="W71" s="56"/>
      <c r="X71" s="57"/>
      <c r="Y71" s="34"/>
      <c r="Z71" s="10">
        <v>137935.98</v>
      </c>
      <c r="AA71" s="15">
        <f t="shared" si="34"/>
        <v>0.0034011996704359946</v>
      </c>
      <c r="AB71" s="74">
        <v>8</v>
      </c>
      <c r="AC71" s="15">
        <f t="shared" si="35"/>
        <v>0.0036747818098300414</v>
      </c>
      <c r="AD71" s="57"/>
      <c r="AE71" s="56"/>
      <c r="AF71" s="57"/>
      <c r="AG71" s="57"/>
      <c r="AH71" s="10">
        <v>147889.85</v>
      </c>
      <c r="AI71" s="15">
        <f t="shared" si="36"/>
        <v>0.002649467652677262</v>
      </c>
      <c r="AJ71" s="74">
        <v>10</v>
      </c>
      <c r="AK71" s="15">
        <f t="shared" si="37"/>
        <v>0.0033829499323410014</v>
      </c>
      <c r="AL71" s="57"/>
      <c r="AM71" s="56"/>
      <c r="AN71" s="57"/>
      <c r="AO71" s="10">
        <v>351329.25</v>
      </c>
      <c r="AP71" s="15">
        <v>0.005932663247937494</v>
      </c>
      <c r="AQ71" s="74">
        <v>22</v>
      </c>
      <c r="AR71" s="15">
        <v>0.00746775288526816</v>
      </c>
      <c r="AS71" s="57"/>
      <c r="AT71" s="56"/>
      <c r="AU71" s="57"/>
      <c r="AV71" s="10">
        <v>839943.83</v>
      </c>
      <c r="AW71" s="15">
        <f t="shared" si="38"/>
        <v>0.010937631318341044</v>
      </c>
      <c r="AX71" s="74">
        <v>40</v>
      </c>
      <c r="AY71" s="15">
        <f t="shared" si="39"/>
        <v>0.010976948408342482</v>
      </c>
      <c r="AZ71" s="57"/>
      <c r="BA71" s="56"/>
      <c r="BB71" s="57"/>
      <c r="BC71" s="10">
        <v>334091.33</v>
      </c>
      <c r="BD71" s="15">
        <v>0.004001083953267991</v>
      </c>
      <c r="BE71" s="74">
        <v>24</v>
      </c>
      <c r="BF71" s="15">
        <v>0.006290956749672346</v>
      </c>
      <c r="BG71" s="57"/>
      <c r="BH71" s="56"/>
      <c r="BI71" s="57"/>
      <c r="BJ71" s="10">
        <v>627928.61</v>
      </c>
      <c r="BK71" s="15">
        <v>0.007246226800556148</v>
      </c>
      <c r="BL71" s="74">
        <v>24</v>
      </c>
      <c r="BM71" s="15">
        <v>0.006219227779217414</v>
      </c>
      <c r="BN71" s="57"/>
      <c r="BO71" s="56"/>
      <c r="BP71" s="57"/>
      <c r="BQ71" s="10">
        <v>853081.72</v>
      </c>
      <c r="BR71" s="15">
        <v>0.008300852419927352</v>
      </c>
      <c r="BS71" s="74">
        <v>39</v>
      </c>
      <c r="BT71" s="15">
        <v>0.008825526137135099</v>
      </c>
      <c r="BU71" s="57"/>
      <c r="BV71" s="56"/>
      <c r="BW71" s="57"/>
      <c r="BX71" s="10">
        <v>978034.61</v>
      </c>
      <c r="BY71" s="15">
        <v>0.009124994684003985</v>
      </c>
      <c r="BZ71" s="74">
        <v>45</v>
      </c>
      <c r="CA71" s="15">
        <v>0.01</v>
      </c>
      <c r="CB71" s="57"/>
      <c r="CC71" s="56"/>
      <c r="CD71" s="57"/>
      <c r="CE71" s="10">
        <v>962784.97</v>
      </c>
      <c r="CF71" s="15">
        <v>0.008375680597764817</v>
      </c>
      <c r="CG71" s="74">
        <v>40</v>
      </c>
      <c r="CH71" s="15">
        <v>0.008572653236176597</v>
      </c>
      <c r="CI71" s="57"/>
      <c r="CJ71" s="56"/>
      <c r="CK71" s="57"/>
      <c r="CL71" s="10">
        <v>1462953.24</v>
      </c>
      <c r="CM71" s="15">
        <v>0.012781389502451041</v>
      </c>
      <c r="CN71" s="74">
        <v>52</v>
      </c>
      <c r="CO71" s="15">
        <v>0.011388523872098117</v>
      </c>
      <c r="CP71" s="57"/>
      <c r="CQ71" s="56"/>
      <c r="CR71" s="57"/>
    </row>
    <row r="72" spans="1:96" ht="14.25" customHeight="1">
      <c r="A72" s="9" t="s">
        <v>44</v>
      </c>
      <c r="B72" s="9"/>
      <c r="C72" s="44">
        <v>0</v>
      </c>
      <c r="D72" s="34">
        <v>0</v>
      </c>
      <c r="E72" s="47">
        <v>0</v>
      </c>
      <c r="F72" s="34">
        <v>0</v>
      </c>
      <c r="G72" s="34"/>
      <c r="H72" s="34"/>
      <c r="I72" s="10">
        <f>27680.96+52683.24</f>
        <v>80364.2</v>
      </c>
      <c r="J72" s="15">
        <f t="shared" si="32"/>
        <v>0.00868904068170632</v>
      </c>
      <c r="K72" s="74">
        <v>11</v>
      </c>
      <c r="L72" s="15">
        <f t="shared" si="33"/>
        <v>0.020036429872495445</v>
      </c>
      <c r="M72" s="57"/>
      <c r="N72" s="56"/>
      <c r="O72" s="57"/>
      <c r="P72" s="57"/>
      <c r="Q72" s="34"/>
      <c r="R72" s="10">
        <v>54369.23</v>
      </c>
      <c r="S72" s="15">
        <v>0.0023167718405712463</v>
      </c>
      <c r="T72" s="74">
        <v>3</v>
      </c>
      <c r="U72" s="15">
        <v>0.002245508982035928</v>
      </c>
      <c r="V72" s="57"/>
      <c r="W72" s="56"/>
      <c r="X72" s="57"/>
      <c r="Y72" s="34"/>
      <c r="Z72" s="10">
        <v>55910.58</v>
      </c>
      <c r="AA72" s="15">
        <f t="shared" si="34"/>
        <v>0.0013786326545828383</v>
      </c>
      <c r="AB72" s="74">
        <v>5</v>
      </c>
      <c r="AC72" s="15">
        <f t="shared" si="35"/>
        <v>0.0022967386311437757</v>
      </c>
      <c r="AD72" s="57"/>
      <c r="AE72" s="56"/>
      <c r="AF72" s="57"/>
      <c r="AG72" s="57"/>
      <c r="AH72" s="10">
        <v>93118.78</v>
      </c>
      <c r="AI72" s="15">
        <f t="shared" si="36"/>
        <v>0.0016682361599986094</v>
      </c>
      <c r="AJ72" s="74">
        <v>6</v>
      </c>
      <c r="AK72" s="15">
        <f t="shared" si="37"/>
        <v>0.0020297699594046007</v>
      </c>
      <c r="AL72" s="57"/>
      <c r="AM72" s="56"/>
      <c r="AN72" s="57"/>
      <c r="AO72" s="10">
        <v>190253.62</v>
      </c>
      <c r="AP72" s="15">
        <v>0.0032126862740892354</v>
      </c>
      <c r="AQ72" s="74">
        <v>14</v>
      </c>
      <c r="AR72" s="15">
        <v>0.0047522063815342835</v>
      </c>
      <c r="AS72" s="57"/>
      <c r="AT72" s="56"/>
      <c r="AU72" s="57"/>
      <c r="AV72" s="10">
        <v>267445.63</v>
      </c>
      <c r="AW72" s="15">
        <f t="shared" si="38"/>
        <v>0.0034826396648945574</v>
      </c>
      <c r="AX72" s="74">
        <v>14</v>
      </c>
      <c r="AY72" s="15">
        <f t="shared" si="39"/>
        <v>0.0038419319429198683</v>
      </c>
      <c r="AZ72" s="57"/>
      <c r="BA72" s="56"/>
      <c r="BB72" s="57"/>
      <c r="BC72" s="10">
        <v>141294.26</v>
      </c>
      <c r="BD72" s="15">
        <v>0.0016921426736062723</v>
      </c>
      <c r="BE72" s="74">
        <v>8</v>
      </c>
      <c r="BF72" s="15">
        <v>0.0020969855832241153</v>
      </c>
      <c r="BG72" s="57"/>
      <c r="BH72" s="56"/>
      <c r="BI72" s="57"/>
      <c r="BJ72" s="10">
        <v>311951.94</v>
      </c>
      <c r="BK72" s="15">
        <v>0.0035998909304570206</v>
      </c>
      <c r="BL72" s="74">
        <v>15</v>
      </c>
      <c r="BM72" s="15">
        <v>0.0038870173620108835</v>
      </c>
      <c r="BN72" s="57"/>
      <c r="BO72" s="56"/>
      <c r="BP72" s="57"/>
      <c r="BQ72" s="10">
        <v>360600.73</v>
      </c>
      <c r="BR72" s="15">
        <v>0.0035088003553142254</v>
      </c>
      <c r="BS72" s="74">
        <v>16</v>
      </c>
      <c r="BT72" s="15">
        <v>0.0036207286716451684</v>
      </c>
      <c r="BU72" s="57"/>
      <c r="BV72" s="56"/>
      <c r="BW72" s="57"/>
      <c r="BX72" s="10">
        <v>549329.3</v>
      </c>
      <c r="BY72" s="15">
        <v>0.0051252040480117885</v>
      </c>
      <c r="BZ72" s="74">
        <v>23</v>
      </c>
      <c r="CA72" s="15">
        <v>0.005111111111111111</v>
      </c>
      <c r="CB72" s="57"/>
      <c r="CC72" s="56"/>
      <c r="CD72" s="57"/>
      <c r="CE72" s="10">
        <v>626711.31</v>
      </c>
      <c r="CF72" s="15">
        <v>0.005452031266718643</v>
      </c>
      <c r="CG72" s="74">
        <v>25</v>
      </c>
      <c r="CH72" s="15">
        <v>0.005357908272610373</v>
      </c>
      <c r="CI72" s="57"/>
      <c r="CJ72" s="56"/>
      <c r="CK72" s="57"/>
      <c r="CL72" s="10">
        <v>591830.52</v>
      </c>
      <c r="CM72" s="15">
        <v>0.005170648103255947</v>
      </c>
      <c r="CN72" s="74">
        <v>25</v>
      </c>
      <c r="CO72" s="15">
        <v>0.005475251861585633</v>
      </c>
      <c r="CP72" s="57"/>
      <c r="CQ72" s="56"/>
      <c r="CR72" s="57"/>
    </row>
    <row r="73" spans="1:96" ht="12.75">
      <c r="A73" s="9" t="s">
        <v>45</v>
      </c>
      <c r="B73" s="9"/>
      <c r="C73" s="44">
        <v>0</v>
      </c>
      <c r="D73" s="34">
        <v>0</v>
      </c>
      <c r="E73" s="47">
        <v>0</v>
      </c>
      <c r="F73" s="34">
        <v>0</v>
      </c>
      <c r="G73" s="34"/>
      <c r="H73" s="34"/>
      <c r="I73" s="10">
        <v>0</v>
      </c>
      <c r="J73" s="15">
        <f t="shared" si="32"/>
        <v>0</v>
      </c>
      <c r="K73" s="74">
        <v>0</v>
      </c>
      <c r="L73" s="15">
        <f t="shared" si="33"/>
        <v>0</v>
      </c>
      <c r="M73" s="57"/>
      <c r="N73" s="56"/>
      <c r="O73" s="57"/>
      <c r="P73" s="57"/>
      <c r="Q73" s="34"/>
      <c r="R73" s="10">
        <v>101577.55</v>
      </c>
      <c r="S73" s="15">
        <v>0.0009357304255285319</v>
      </c>
      <c r="T73" s="74">
        <v>43</v>
      </c>
      <c r="U73" s="15">
        <v>0.0014970059880239522</v>
      </c>
      <c r="V73" s="57"/>
      <c r="W73" s="56"/>
      <c r="X73" s="57"/>
      <c r="Y73" s="34"/>
      <c r="Z73" s="10">
        <v>0</v>
      </c>
      <c r="AA73" s="15">
        <f t="shared" si="34"/>
        <v>0</v>
      </c>
      <c r="AB73" s="74">
        <v>0</v>
      </c>
      <c r="AC73" s="15">
        <f t="shared" si="35"/>
        <v>0</v>
      </c>
      <c r="AD73" s="57"/>
      <c r="AE73" s="56"/>
      <c r="AF73" s="57"/>
      <c r="AG73" s="57"/>
      <c r="AH73" s="10">
        <v>80045.7</v>
      </c>
      <c r="AI73" s="15">
        <f t="shared" si="36"/>
        <v>0.0014340300763433617</v>
      </c>
      <c r="AJ73" s="74">
        <v>6</v>
      </c>
      <c r="AK73" s="15">
        <f t="shared" si="37"/>
        <v>0.0020297699594046007</v>
      </c>
      <c r="AL73" s="57"/>
      <c r="AM73" s="56"/>
      <c r="AN73" s="57"/>
      <c r="AO73" s="10">
        <v>57801.93</v>
      </c>
      <c r="AP73" s="15">
        <v>0.0009760627268320404</v>
      </c>
      <c r="AQ73" s="74">
        <v>6</v>
      </c>
      <c r="AR73" s="15">
        <v>0.002036659877800407</v>
      </c>
      <c r="AS73" s="57"/>
      <c r="AT73" s="56"/>
      <c r="AU73" s="57"/>
      <c r="AV73" s="10">
        <v>171857.91</v>
      </c>
      <c r="AW73" s="15">
        <f t="shared" si="38"/>
        <v>0.0022379097167969392</v>
      </c>
      <c r="AX73" s="74">
        <v>9</v>
      </c>
      <c r="AY73" s="15">
        <f t="shared" si="39"/>
        <v>0.002469813391877058</v>
      </c>
      <c r="AZ73" s="57"/>
      <c r="BA73" s="56"/>
      <c r="BB73" s="57"/>
      <c r="BC73" s="10">
        <v>207372.35</v>
      </c>
      <c r="BD73" s="15">
        <v>0.0024834951027806478</v>
      </c>
      <c r="BE73" s="74">
        <v>12</v>
      </c>
      <c r="BF73" s="15">
        <v>0.003145478374836173</v>
      </c>
      <c r="BG73" s="57"/>
      <c r="BH73" s="56"/>
      <c r="BI73" s="57"/>
      <c r="BJ73" s="10">
        <v>188486.94</v>
      </c>
      <c r="BK73" s="15">
        <v>0.0021751184679781018</v>
      </c>
      <c r="BL73" s="74">
        <v>9</v>
      </c>
      <c r="BM73" s="15">
        <v>0.00233221041720653</v>
      </c>
      <c r="BN73" s="57"/>
      <c r="BO73" s="56"/>
      <c r="BP73" s="57"/>
      <c r="BQ73" s="10">
        <v>288013.3</v>
      </c>
      <c r="BR73" s="15">
        <v>0.002802493409747735</v>
      </c>
      <c r="BS73" s="74">
        <v>14</v>
      </c>
      <c r="BT73" s="15">
        <v>0.0031681375876895226</v>
      </c>
      <c r="BU73" s="57"/>
      <c r="BV73" s="56"/>
      <c r="BW73" s="57"/>
      <c r="BX73" s="10">
        <v>415114.12</v>
      </c>
      <c r="BY73" s="15">
        <v>0.003872985781408076</v>
      </c>
      <c r="BZ73" s="74">
        <v>18</v>
      </c>
      <c r="CA73" s="15">
        <v>0.004</v>
      </c>
      <c r="CB73" s="57"/>
      <c r="CC73" s="56"/>
      <c r="CD73" s="57"/>
      <c r="CE73" s="10">
        <v>208191.43</v>
      </c>
      <c r="CF73" s="15">
        <v>0.001811146803498513</v>
      </c>
      <c r="CG73" s="74">
        <v>9</v>
      </c>
      <c r="CH73" s="15">
        <v>0.0019288469781397343</v>
      </c>
      <c r="CI73" s="57"/>
      <c r="CJ73" s="56"/>
      <c r="CK73" s="57"/>
      <c r="CL73" s="10">
        <v>256882.78</v>
      </c>
      <c r="CM73" s="15">
        <v>0.0022443088253814867</v>
      </c>
      <c r="CN73" s="74">
        <v>17</v>
      </c>
      <c r="CO73" s="15">
        <v>0.0037231712658782304</v>
      </c>
      <c r="CP73" s="57"/>
      <c r="CQ73" s="56"/>
      <c r="CR73" s="57"/>
    </row>
    <row r="74" spans="1:96" ht="12.75">
      <c r="A74" s="9" t="s">
        <v>46</v>
      </c>
      <c r="B74" s="9"/>
      <c r="C74" s="44">
        <v>0</v>
      </c>
      <c r="D74" s="34">
        <v>0</v>
      </c>
      <c r="E74" s="47">
        <v>0</v>
      </c>
      <c r="F74" s="34">
        <v>0</v>
      </c>
      <c r="G74" s="34"/>
      <c r="H74" s="34"/>
      <c r="I74" s="10">
        <v>0</v>
      </c>
      <c r="J74" s="15">
        <f t="shared" si="32"/>
        <v>0</v>
      </c>
      <c r="K74" s="74">
        <v>0</v>
      </c>
      <c r="L74" s="15">
        <f t="shared" si="33"/>
        <v>0</v>
      </c>
      <c r="M74" s="57"/>
      <c r="N74" s="56"/>
      <c r="O74" s="57"/>
      <c r="P74" s="57"/>
      <c r="Q74" s="34"/>
      <c r="R74" s="10">
        <v>0</v>
      </c>
      <c r="S74" s="15">
        <v>0</v>
      </c>
      <c r="T74" s="74">
        <v>0</v>
      </c>
      <c r="U74" s="15">
        <v>0</v>
      </c>
      <c r="V74" s="57"/>
      <c r="W74" s="56"/>
      <c r="X74" s="57"/>
      <c r="Y74" s="34"/>
      <c r="Z74" s="10">
        <v>12048.47</v>
      </c>
      <c r="AA74" s="15">
        <f t="shared" si="34"/>
        <v>0.00029708892627766854</v>
      </c>
      <c r="AB74" s="74">
        <v>1</v>
      </c>
      <c r="AC74" s="15">
        <f t="shared" si="35"/>
        <v>0.00045934772622875517</v>
      </c>
      <c r="AD74" s="57"/>
      <c r="AE74" s="56"/>
      <c r="AF74" s="57"/>
      <c r="AG74" s="57"/>
      <c r="AH74" s="10">
        <v>6880.82</v>
      </c>
      <c r="AI74" s="15">
        <f t="shared" si="36"/>
        <v>0.0001232708668911001</v>
      </c>
      <c r="AJ74" s="74">
        <v>1</v>
      </c>
      <c r="AK74" s="15">
        <f t="shared" si="37"/>
        <v>0.00033829499323410016</v>
      </c>
      <c r="AL74" s="57"/>
      <c r="AM74" s="56"/>
      <c r="AN74" s="57"/>
      <c r="AO74" s="10">
        <v>20387.87</v>
      </c>
      <c r="AP74" s="15">
        <v>0.00034427639330550293</v>
      </c>
      <c r="AQ74" s="74">
        <v>3</v>
      </c>
      <c r="AR74" s="15">
        <v>0.0010183299389002036</v>
      </c>
      <c r="AS74" s="57"/>
      <c r="AT74" s="56"/>
      <c r="AU74" s="57"/>
      <c r="AV74" s="10">
        <v>74564.27</v>
      </c>
      <c r="AW74" s="15">
        <f t="shared" si="38"/>
        <v>0.0009709655165646465</v>
      </c>
      <c r="AX74" s="74">
        <v>6</v>
      </c>
      <c r="AY74" s="15">
        <f t="shared" si="39"/>
        <v>0.001646542261251372</v>
      </c>
      <c r="AZ74" s="57"/>
      <c r="BA74" s="56"/>
      <c r="BB74" s="57"/>
      <c r="BC74" s="10">
        <v>315526.13</v>
      </c>
      <c r="BD74" s="15">
        <v>0.003778746774361819</v>
      </c>
      <c r="BE74" s="74">
        <v>10</v>
      </c>
      <c r="BF74" s="15">
        <v>0.002621231979030144</v>
      </c>
      <c r="BG74" s="57"/>
      <c r="BH74" s="56"/>
      <c r="BI74" s="57"/>
      <c r="BJ74" s="10">
        <v>15170.62</v>
      </c>
      <c r="BK74" s="15">
        <v>0.0001750672791052682</v>
      </c>
      <c r="BL74" s="74">
        <v>2</v>
      </c>
      <c r="BM74" s="15">
        <v>0.0005182689816014512</v>
      </c>
      <c r="BN74" s="57"/>
      <c r="BO74" s="56"/>
      <c r="BP74" s="57"/>
      <c r="BQ74" s="10">
        <v>62758.34</v>
      </c>
      <c r="BR74" s="15">
        <v>0.0006106656680670916</v>
      </c>
      <c r="BS74" s="74">
        <v>3</v>
      </c>
      <c r="BT74" s="15">
        <v>0.0006788866259334691</v>
      </c>
      <c r="BU74" s="57"/>
      <c r="BV74" s="56"/>
      <c r="BW74" s="57"/>
      <c r="BX74" s="10">
        <v>447838.62</v>
      </c>
      <c r="BY74" s="15">
        <v>0.004178303083560286</v>
      </c>
      <c r="BZ74" s="74">
        <v>14</v>
      </c>
      <c r="CA74" s="15">
        <v>0.003111111111111111</v>
      </c>
      <c r="CB74" s="57"/>
      <c r="CC74" s="56"/>
      <c r="CD74" s="57"/>
      <c r="CE74" s="10">
        <v>354908.77</v>
      </c>
      <c r="CF74" s="15">
        <v>0.003087504054893561</v>
      </c>
      <c r="CG74" s="74">
        <v>11</v>
      </c>
      <c r="CH74" s="15">
        <v>0.002357479639948564</v>
      </c>
      <c r="CI74" s="57"/>
      <c r="CJ74" s="56"/>
      <c r="CK74" s="57"/>
      <c r="CL74" s="10">
        <v>254964.86</v>
      </c>
      <c r="CM74" s="15">
        <v>0.0022275525259425923</v>
      </c>
      <c r="CN74" s="74">
        <v>8</v>
      </c>
      <c r="CO74" s="15">
        <v>0.0017520805957074025</v>
      </c>
      <c r="CP74" s="57"/>
      <c r="CQ74" s="56"/>
      <c r="CR74" s="57"/>
    </row>
    <row r="75" spans="1:96" ht="12.75">
      <c r="A75" s="9" t="s">
        <v>75</v>
      </c>
      <c r="B75" s="9"/>
      <c r="C75" s="44">
        <v>10770.3</v>
      </c>
      <c r="D75" s="34">
        <v>0.0011231834499805587</v>
      </c>
      <c r="E75" s="47">
        <v>1</v>
      </c>
      <c r="F75" s="34">
        <v>0.0017985611510791368</v>
      </c>
      <c r="G75" s="34"/>
      <c r="H75" s="34"/>
      <c r="I75" s="10">
        <v>0</v>
      </c>
      <c r="J75" s="15">
        <f t="shared" si="32"/>
        <v>0</v>
      </c>
      <c r="K75" s="74">
        <v>0</v>
      </c>
      <c r="L75" s="15">
        <f t="shared" si="33"/>
        <v>0</v>
      </c>
      <c r="M75" s="57"/>
      <c r="N75" s="56"/>
      <c r="O75" s="57"/>
      <c r="P75" s="57"/>
      <c r="Q75" s="34"/>
      <c r="R75" s="10">
        <v>0</v>
      </c>
      <c r="S75" s="15">
        <v>0</v>
      </c>
      <c r="T75" s="74">
        <v>0</v>
      </c>
      <c r="U75" s="15">
        <v>0</v>
      </c>
      <c r="V75" s="57"/>
      <c r="W75" s="56"/>
      <c r="X75" s="57"/>
      <c r="Y75" s="34"/>
      <c r="Z75" s="10">
        <f>4939.15+65818.82</f>
        <v>70757.97</v>
      </c>
      <c r="AA75" s="15">
        <f t="shared" si="34"/>
        <v>0.0017447368282352434</v>
      </c>
      <c r="AB75" s="74">
        <v>37</v>
      </c>
      <c r="AC75" s="15">
        <f t="shared" si="35"/>
        <v>0.016995865870463943</v>
      </c>
      <c r="AD75" s="57"/>
      <c r="AE75" s="56"/>
      <c r="AF75" s="57"/>
      <c r="AG75" s="57"/>
      <c r="AH75" s="10">
        <f>12048.47+91094.43</f>
        <v>103142.9</v>
      </c>
      <c r="AI75" s="15">
        <f t="shared" si="36"/>
        <v>0.0018478196925165963</v>
      </c>
      <c r="AJ75" s="74">
        <v>88</v>
      </c>
      <c r="AK75" s="15">
        <f t="shared" si="37"/>
        <v>0.029769959404600813</v>
      </c>
      <c r="AL75" s="57"/>
      <c r="AM75" s="56"/>
      <c r="AN75" s="57"/>
      <c r="AO75" s="10">
        <v>81579.52</v>
      </c>
      <c r="AP75" s="15">
        <v>0.0013775790660424138</v>
      </c>
      <c r="AQ75" s="74">
        <v>5</v>
      </c>
      <c r="AR75" s="15">
        <v>0.0016972165648336728</v>
      </c>
      <c r="AS75" s="57"/>
      <c r="AT75" s="56"/>
      <c r="AU75" s="57"/>
      <c r="AV75" s="10">
        <v>175533.66</v>
      </c>
      <c r="AW75" s="15">
        <f t="shared" si="38"/>
        <v>0.002285774820250812</v>
      </c>
      <c r="AX75" s="74">
        <v>12</v>
      </c>
      <c r="AY75" s="15">
        <f t="shared" si="39"/>
        <v>0.003293084522502744</v>
      </c>
      <c r="AZ75" s="57"/>
      <c r="BA75" s="56"/>
      <c r="BB75" s="57"/>
      <c r="BC75" s="10">
        <v>113572.93</v>
      </c>
      <c r="BD75" s="15">
        <v>0.001360151512308412</v>
      </c>
      <c r="BE75" s="74">
        <v>9</v>
      </c>
      <c r="BF75" s="15">
        <v>0.00235910878112713</v>
      </c>
      <c r="BG75" s="57"/>
      <c r="BH75" s="56"/>
      <c r="BI75" s="57"/>
      <c r="BJ75" s="10">
        <v>307340.73</v>
      </c>
      <c r="BK75" s="15">
        <v>0.003546678076395485</v>
      </c>
      <c r="BL75" s="74">
        <v>13</v>
      </c>
      <c r="BM75" s="15">
        <v>0.0033687483804094327</v>
      </c>
      <c r="BN75" s="57"/>
      <c r="BO75" s="56"/>
      <c r="BP75" s="57"/>
      <c r="BQ75" s="10">
        <v>246951.43</v>
      </c>
      <c r="BR75" s="15">
        <v>0.0024029437359412886</v>
      </c>
      <c r="BS75" s="74">
        <v>10</v>
      </c>
      <c r="BT75" s="15">
        <v>0.0022629554197782305</v>
      </c>
      <c r="BU75" s="57"/>
      <c r="BV75" s="56"/>
      <c r="BW75" s="57"/>
      <c r="BX75" s="10">
        <v>330649.02</v>
      </c>
      <c r="BY75" s="15">
        <v>0.0030849322906590475</v>
      </c>
      <c r="BZ75" s="74">
        <v>14</v>
      </c>
      <c r="CA75" s="15">
        <v>0.003111111111111111</v>
      </c>
      <c r="CB75" s="57"/>
      <c r="CC75" s="56"/>
      <c r="CD75" s="57"/>
      <c r="CE75" s="10">
        <v>580918.86</v>
      </c>
      <c r="CF75" s="15">
        <v>0.005053663046461615</v>
      </c>
      <c r="CG75" s="74">
        <v>24</v>
      </c>
      <c r="CH75" s="15">
        <v>0.005143591941705958</v>
      </c>
      <c r="CI75" s="57"/>
      <c r="CJ75" s="56"/>
      <c r="CK75" s="57"/>
      <c r="CL75" s="10">
        <v>743681.79</v>
      </c>
      <c r="CM75" s="15">
        <v>0.006497327709442031</v>
      </c>
      <c r="CN75" s="74">
        <v>26</v>
      </c>
      <c r="CO75" s="15">
        <v>0.0056942619360490585</v>
      </c>
      <c r="CP75" s="57"/>
      <c r="CQ75" s="56"/>
      <c r="CR75" s="57"/>
    </row>
    <row r="76" spans="1:96" ht="12.75">
      <c r="A76" s="9" t="s">
        <v>76</v>
      </c>
      <c r="B76" s="9"/>
      <c r="C76" s="44">
        <v>0</v>
      </c>
      <c r="D76" s="34">
        <v>0</v>
      </c>
      <c r="E76" s="47">
        <v>0</v>
      </c>
      <c r="F76" s="34">
        <v>0</v>
      </c>
      <c r="G76" s="34"/>
      <c r="H76" s="34"/>
      <c r="I76" s="10">
        <v>10770.3</v>
      </c>
      <c r="J76" s="15">
        <f t="shared" si="32"/>
        <v>0.0011644933297933853</v>
      </c>
      <c r="K76" s="74">
        <v>1</v>
      </c>
      <c r="L76" s="15">
        <f t="shared" si="33"/>
        <v>0.0018214936247723133</v>
      </c>
      <c r="M76" s="57"/>
      <c r="N76" s="56"/>
      <c r="O76" s="57"/>
      <c r="P76" s="57"/>
      <c r="Q76" s="34"/>
      <c r="R76" s="10">
        <v>0</v>
      </c>
      <c r="S76" s="15">
        <v>0</v>
      </c>
      <c r="T76" s="74">
        <v>0</v>
      </c>
      <c r="U76" s="15">
        <v>0</v>
      </c>
      <c r="V76" s="57"/>
      <c r="W76" s="56"/>
      <c r="X76" s="57"/>
      <c r="Y76" s="34"/>
      <c r="Z76" s="10">
        <v>0</v>
      </c>
      <c r="AA76" s="15">
        <f t="shared" si="34"/>
        <v>0</v>
      </c>
      <c r="AB76" s="74">
        <v>0</v>
      </c>
      <c r="AC76" s="15">
        <f t="shared" si="35"/>
        <v>0</v>
      </c>
      <c r="AD76" s="57"/>
      <c r="AE76" s="56"/>
      <c r="AF76" s="57"/>
      <c r="AG76" s="57"/>
      <c r="AH76" s="10">
        <v>4939.15</v>
      </c>
      <c r="AI76" s="15">
        <f t="shared" si="36"/>
        <v>8.848557326091613E-05</v>
      </c>
      <c r="AJ76" s="74">
        <v>1</v>
      </c>
      <c r="AK76" s="15">
        <f t="shared" si="37"/>
        <v>0.00033829499323410016</v>
      </c>
      <c r="AL76" s="57"/>
      <c r="AM76" s="56"/>
      <c r="AN76" s="57"/>
      <c r="AO76" s="10">
        <v>0</v>
      </c>
      <c r="AP76" s="15">
        <v>0</v>
      </c>
      <c r="AQ76" s="74">
        <v>0</v>
      </c>
      <c r="AR76" s="15">
        <v>0</v>
      </c>
      <c r="AS76" s="57"/>
      <c r="AT76" s="56"/>
      <c r="AU76" s="57"/>
      <c r="AV76" s="10">
        <v>39066.05</v>
      </c>
      <c r="AW76" s="15">
        <f t="shared" si="38"/>
        <v>0.0005087126504207754</v>
      </c>
      <c r="AX76" s="74">
        <v>2</v>
      </c>
      <c r="AY76" s="15">
        <f t="shared" si="39"/>
        <v>0.0005488474204171241</v>
      </c>
      <c r="AZ76" s="57"/>
      <c r="BA76" s="56"/>
      <c r="BB76" s="57"/>
      <c r="BC76" s="10">
        <v>121610.27</v>
      </c>
      <c r="BD76" s="15">
        <v>0.0014564068449474214</v>
      </c>
      <c r="BE76" s="74">
        <v>6</v>
      </c>
      <c r="BF76" s="15">
        <v>0.0015727391874180866</v>
      </c>
      <c r="BG76" s="57"/>
      <c r="BH76" s="56"/>
      <c r="BI76" s="57"/>
      <c r="BJ76" s="10">
        <v>69933.46</v>
      </c>
      <c r="BK76" s="15">
        <v>0.000807024403789503</v>
      </c>
      <c r="BL76" s="74">
        <v>6</v>
      </c>
      <c r="BM76" s="15">
        <v>0.0015548069448043534</v>
      </c>
      <c r="BN76" s="57"/>
      <c r="BO76" s="56"/>
      <c r="BP76" s="57"/>
      <c r="BQ76" s="10">
        <v>183710.86</v>
      </c>
      <c r="BR76" s="15">
        <v>0.0017875857623557273</v>
      </c>
      <c r="BS76" s="74">
        <v>7</v>
      </c>
      <c r="BT76" s="15">
        <v>0.0015840687938447613</v>
      </c>
      <c r="BU76" s="57"/>
      <c r="BV76" s="56"/>
      <c r="BW76" s="57"/>
      <c r="BX76" s="10">
        <v>242511.6</v>
      </c>
      <c r="BY76" s="15">
        <v>0.0022626163104895658</v>
      </c>
      <c r="BZ76" s="74">
        <v>9</v>
      </c>
      <c r="CA76" s="15">
        <v>0.002</v>
      </c>
      <c r="CB76" s="57"/>
      <c r="CC76" s="56"/>
      <c r="CD76" s="57"/>
      <c r="CE76" s="10">
        <v>158586.22</v>
      </c>
      <c r="CF76" s="15">
        <v>0.001379609743935723</v>
      </c>
      <c r="CG76" s="74">
        <v>6</v>
      </c>
      <c r="CH76" s="15">
        <v>0.0012858979854264896</v>
      </c>
      <c r="CI76" s="57"/>
      <c r="CJ76" s="56"/>
      <c r="CK76" s="57"/>
      <c r="CL76" s="10">
        <v>327774.26</v>
      </c>
      <c r="CM76" s="15">
        <v>0.0028636667060784925</v>
      </c>
      <c r="CN76" s="74">
        <v>13</v>
      </c>
      <c r="CO76" s="15">
        <v>0.0028471309680245293</v>
      </c>
      <c r="CP76" s="57"/>
      <c r="CQ76" s="56"/>
      <c r="CR76" s="57"/>
    </row>
    <row r="77" spans="1:96" ht="12.75">
      <c r="A77" s="9" t="s">
        <v>47</v>
      </c>
      <c r="B77" s="9"/>
      <c r="C77" s="44">
        <v>0</v>
      </c>
      <c r="D77" s="34">
        <v>0</v>
      </c>
      <c r="E77" s="47">
        <v>0</v>
      </c>
      <c r="F77" s="34">
        <v>0</v>
      </c>
      <c r="G77" s="34"/>
      <c r="H77" s="34"/>
      <c r="I77" s="10">
        <v>0</v>
      </c>
      <c r="J77" s="15">
        <f t="shared" si="32"/>
        <v>0</v>
      </c>
      <c r="K77" s="74">
        <v>0</v>
      </c>
      <c r="L77" s="15">
        <f t="shared" si="33"/>
        <v>0</v>
      </c>
      <c r="M77" s="57"/>
      <c r="N77" s="56"/>
      <c r="O77" s="57"/>
      <c r="P77" s="57"/>
      <c r="Q77" s="34"/>
      <c r="R77" s="10">
        <v>10770.3</v>
      </c>
      <c r="S77" s="15">
        <v>0.00045894208460381896</v>
      </c>
      <c r="T77" s="74">
        <v>1</v>
      </c>
      <c r="U77" s="15">
        <v>0.0007485029940119761</v>
      </c>
      <c r="V77" s="57"/>
      <c r="W77" s="56"/>
      <c r="X77" s="92"/>
      <c r="Y77" s="34"/>
      <c r="Z77" s="10">
        <v>10770.3</v>
      </c>
      <c r="AA77" s="15">
        <f t="shared" si="34"/>
        <v>0.00026557204879029233</v>
      </c>
      <c r="AB77" s="74">
        <v>1</v>
      </c>
      <c r="AC77" s="15">
        <f t="shared" si="35"/>
        <v>0.00045934772622875517</v>
      </c>
      <c r="AD77" s="57"/>
      <c r="AE77" s="56"/>
      <c r="AF77" s="92"/>
      <c r="AG77" s="92"/>
      <c r="AH77" s="10">
        <v>0</v>
      </c>
      <c r="AI77" s="15">
        <f t="shared" si="36"/>
        <v>0</v>
      </c>
      <c r="AJ77" s="74">
        <v>0</v>
      </c>
      <c r="AK77" s="15">
        <f>+AJ77/$AJ$79</f>
        <v>0</v>
      </c>
      <c r="AL77" s="57"/>
      <c r="AM77" s="56"/>
      <c r="AN77" s="92"/>
      <c r="AO77" s="10">
        <v>4939.15</v>
      </c>
      <c r="AP77" s="15">
        <v>8.34041392256707E-05</v>
      </c>
      <c r="AQ77" s="74">
        <v>1</v>
      </c>
      <c r="AR77" s="15">
        <v>0.00033944331296673454</v>
      </c>
      <c r="AS77" s="57"/>
      <c r="AT77" s="56"/>
      <c r="AU77" s="92"/>
      <c r="AV77" s="10">
        <v>4939.15</v>
      </c>
      <c r="AW77" s="15">
        <f t="shared" si="38"/>
        <v>6.431692191367626E-05</v>
      </c>
      <c r="AX77" s="74">
        <v>1</v>
      </c>
      <c r="AY77" s="15">
        <f t="shared" si="39"/>
        <v>0.00027442371020856203</v>
      </c>
      <c r="AZ77" s="57"/>
      <c r="BA77" s="56"/>
      <c r="BB77" s="92"/>
      <c r="BC77" s="10">
        <v>38083.79</v>
      </c>
      <c r="BD77" s="15">
        <v>0.0004560921741028957</v>
      </c>
      <c r="BE77" s="74">
        <v>2</v>
      </c>
      <c r="BF77" s="15">
        <v>0.0005242463958060288</v>
      </c>
      <c r="BG77" s="57"/>
      <c r="BH77" s="56"/>
      <c r="BI77" s="92"/>
      <c r="BJ77" s="10">
        <v>85845.12</v>
      </c>
      <c r="BK77" s="15">
        <v>0.0009906432026420306</v>
      </c>
      <c r="BL77" s="74">
        <v>5</v>
      </c>
      <c r="BM77" s="15">
        <v>0.001295672454003628</v>
      </c>
      <c r="BN77" s="57"/>
      <c r="BO77" s="56"/>
      <c r="BP77" s="92"/>
      <c r="BQ77" s="10">
        <v>83848.96</v>
      </c>
      <c r="BR77" s="15">
        <v>0.0008158864809861261</v>
      </c>
      <c r="BS77" s="74">
        <v>9</v>
      </c>
      <c r="BT77" s="15">
        <v>0.002036659877800407</v>
      </c>
      <c r="BU77" s="57"/>
      <c r="BV77" s="56"/>
      <c r="BW77" s="92"/>
      <c r="BX77" s="10">
        <v>107133.27</v>
      </c>
      <c r="BY77" s="15">
        <v>0.000999545935526723</v>
      </c>
      <c r="BZ77" s="74">
        <v>5</v>
      </c>
      <c r="CA77" s="15">
        <v>0.0011111111111111111</v>
      </c>
      <c r="CB77" s="57"/>
      <c r="CC77" s="56"/>
      <c r="CD77" s="92"/>
      <c r="CE77" s="10">
        <v>169453.27</v>
      </c>
      <c r="CF77" s="15">
        <v>0.0014741468863673707</v>
      </c>
      <c r="CG77" s="74">
        <v>6</v>
      </c>
      <c r="CH77" s="15">
        <v>0.0012858979854264896</v>
      </c>
      <c r="CI77" s="57"/>
      <c r="CJ77" s="56"/>
      <c r="CK77" s="92"/>
      <c r="CL77" s="10">
        <v>209270.73</v>
      </c>
      <c r="CM77" s="15">
        <v>0.0018283364351360033</v>
      </c>
      <c r="CN77" s="74">
        <v>8</v>
      </c>
      <c r="CO77" s="15">
        <v>0.0017520805957074025</v>
      </c>
      <c r="CP77" s="57"/>
      <c r="CQ77" s="56"/>
      <c r="CR77" s="92"/>
    </row>
    <row r="78" spans="1:96" ht="12.75">
      <c r="A78" s="9"/>
      <c r="B78" s="9"/>
      <c r="C78" s="44"/>
      <c r="D78" s="9"/>
      <c r="E78" s="47"/>
      <c r="F78" s="34"/>
      <c r="G78" s="34"/>
      <c r="H78" s="34"/>
      <c r="I78" s="10"/>
      <c r="J78" s="9"/>
      <c r="K78" s="11"/>
      <c r="L78" s="9"/>
      <c r="M78" s="55"/>
      <c r="N78" s="56"/>
      <c r="O78" s="55"/>
      <c r="P78" s="55"/>
      <c r="Q78" s="34"/>
      <c r="R78" s="10"/>
      <c r="S78" s="9"/>
      <c r="T78" s="11"/>
      <c r="U78" s="9"/>
      <c r="V78" s="55"/>
      <c r="W78" s="56"/>
      <c r="X78" s="55"/>
      <c r="Y78" s="34"/>
      <c r="Z78" s="10"/>
      <c r="AA78" s="9"/>
      <c r="AB78" s="11"/>
      <c r="AC78" s="9"/>
      <c r="AD78" s="55"/>
      <c r="AE78" s="56"/>
      <c r="AF78" s="55"/>
      <c r="AG78" s="55"/>
      <c r="AH78" s="10"/>
      <c r="AI78" s="9"/>
      <c r="AJ78" s="11"/>
      <c r="AK78" s="9"/>
      <c r="AL78" s="55"/>
      <c r="AM78" s="56"/>
      <c r="AN78" s="55"/>
      <c r="AO78" s="10"/>
      <c r="AP78" s="9"/>
      <c r="AQ78" s="11"/>
      <c r="AR78" s="9"/>
      <c r="AS78" s="55"/>
      <c r="AT78" s="56"/>
      <c r="AU78" s="55"/>
      <c r="AV78" s="10"/>
      <c r="AW78" s="9"/>
      <c r="AX78" s="11"/>
      <c r="AY78" s="9"/>
      <c r="AZ78" s="55"/>
      <c r="BA78" s="56"/>
      <c r="BB78" s="55"/>
      <c r="BC78" s="10"/>
      <c r="BD78" s="9"/>
      <c r="BE78" s="11"/>
      <c r="BF78" s="9"/>
      <c r="BG78" s="55"/>
      <c r="BH78" s="56"/>
      <c r="BI78" s="55"/>
      <c r="BJ78" s="10"/>
      <c r="BK78" s="9"/>
      <c r="BL78" s="11"/>
      <c r="BM78" s="9"/>
      <c r="BN78" s="55"/>
      <c r="BO78" s="56"/>
      <c r="BP78" s="55"/>
      <c r="BQ78" s="10"/>
      <c r="BR78" s="9"/>
      <c r="BS78" s="11"/>
      <c r="BT78" s="9"/>
      <c r="BU78" s="55"/>
      <c r="BV78" s="56"/>
      <c r="BW78" s="55"/>
      <c r="BX78" s="10"/>
      <c r="BY78" s="9"/>
      <c r="BZ78" s="11"/>
      <c r="CA78" s="9"/>
      <c r="CB78" s="55"/>
      <c r="CC78" s="56"/>
      <c r="CD78" s="55"/>
      <c r="CE78" s="10"/>
      <c r="CF78" s="9"/>
      <c r="CG78" s="11"/>
      <c r="CH78" s="9"/>
      <c r="CI78" s="55"/>
      <c r="CJ78" s="56"/>
      <c r="CK78" s="55"/>
      <c r="CL78" s="10"/>
      <c r="CM78" s="9"/>
      <c r="CN78" s="11"/>
      <c r="CO78" s="9"/>
      <c r="CP78" s="55"/>
      <c r="CQ78" s="56"/>
      <c r="CR78" s="55"/>
    </row>
    <row r="79" spans="1:96" ht="13.5" thickBot="1">
      <c r="A79" s="9"/>
      <c r="B79" s="9"/>
      <c r="C79" s="82">
        <f>SUM(C69:C77)</f>
        <v>9589083.600000003</v>
      </c>
      <c r="D79" s="9"/>
      <c r="E79" s="83">
        <f>SUM(E69:E77)</f>
        <v>556</v>
      </c>
      <c r="F79" s="9"/>
      <c r="G79" s="9"/>
      <c r="H79" s="9"/>
      <c r="I79" s="22">
        <f>SUM(I69:I77)</f>
        <v>9248915.15000001</v>
      </c>
      <c r="J79" s="13"/>
      <c r="K79" s="23">
        <f>SUM(K69:K77)</f>
        <v>549</v>
      </c>
      <c r="L79" s="24"/>
      <c r="M79" s="54"/>
      <c r="N79" s="32"/>
      <c r="O79" s="58"/>
      <c r="P79" s="58"/>
      <c r="Q79" s="9"/>
      <c r="R79" s="22">
        <f>SUM(R69:R77)</f>
        <v>23467666.97</v>
      </c>
      <c r="S79" s="13"/>
      <c r="T79" s="23">
        <f>SUM(T69:T77)</f>
        <v>1336</v>
      </c>
      <c r="U79" s="24"/>
      <c r="V79" s="54"/>
      <c r="W79" s="32"/>
      <c r="X79" s="58"/>
      <c r="Y79" s="9"/>
      <c r="Z79" s="22">
        <f>SUM(Z69:Z77)</f>
        <v>40555096.24999999</v>
      </c>
      <c r="AA79" s="13"/>
      <c r="AB79" s="23">
        <f>SUM(AB69:AB77)</f>
        <v>2177</v>
      </c>
      <c r="AC79" s="24"/>
      <c r="AD79" s="54"/>
      <c r="AE79" s="32"/>
      <c r="AF79" s="58"/>
      <c r="AG79" s="58"/>
      <c r="AH79" s="22">
        <f>SUM(AH69:AH77)</f>
        <v>55818703.75000001</v>
      </c>
      <c r="AI79" s="13"/>
      <c r="AJ79" s="23">
        <f>SUM(AJ69:AJ77)</f>
        <v>2956</v>
      </c>
      <c r="AK79" s="24"/>
      <c r="AL79" s="54"/>
      <c r="AM79" s="32"/>
      <c r="AN79" s="58"/>
      <c r="AO79" s="22">
        <f>SUM(AO69:AO77)</f>
        <v>59219482.94000011</v>
      </c>
      <c r="AP79" s="13"/>
      <c r="AQ79" s="23">
        <f>SUM(AQ69:AQ77)</f>
        <v>2946</v>
      </c>
      <c r="AR79" s="24"/>
      <c r="AS79" s="54"/>
      <c r="AT79" s="32"/>
      <c r="AU79" s="58"/>
      <c r="AV79" s="22">
        <f>SUM(AV69:AV77)</f>
        <v>76793942.45000002</v>
      </c>
      <c r="AW79" s="13"/>
      <c r="AX79" s="23">
        <f>SUM(AX69:AX77)</f>
        <v>3644</v>
      </c>
      <c r="AY79" s="24"/>
      <c r="AZ79" s="54"/>
      <c r="BA79" s="32"/>
      <c r="BB79" s="58"/>
      <c r="BC79" s="22">
        <f>SUM(BC69:BC77)</f>
        <v>83500204.91999976</v>
      </c>
      <c r="BD79" s="13"/>
      <c r="BE79" s="23">
        <f>SUM(BE69:BE77)</f>
        <v>3815</v>
      </c>
      <c r="BF79" s="24"/>
      <c r="BG79" s="54"/>
      <c r="BH79" s="32"/>
      <c r="BI79" s="58"/>
      <c r="BJ79" s="22">
        <f>SUM(BJ69:BJ77)</f>
        <v>86655942.09000006</v>
      </c>
      <c r="BK79" s="13"/>
      <c r="BL79" s="23">
        <f>SUM(BL69:BL77)</f>
        <v>3859</v>
      </c>
      <c r="BM79" s="24"/>
      <c r="BN79" s="54"/>
      <c r="BO79" s="32"/>
      <c r="BP79" s="58"/>
      <c r="BQ79" s="22">
        <f>SUM(BQ69:BQ77)</f>
        <v>102770375.47999991</v>
      </c>
      <c r="BR79" s="13"/>
      <c r="BS79" s="23">
        <f>SUM(BS69:BS77)</f>
        <v>4419</v>
      </c>
      <c r="BT79" s="24"/>
      <c r="BU79" s="54"/>
      <c r="BV79" s="32"/>
      <c r="BW79" s="58"/>
      <c r="BX79" s="22">
        <f>SUM(BX69:BX77)</f>
        <v>107181937.51000027</v>
      </c>
      <c r="BY79" s="13"/>
      <c r="BZ79" s="23">
        <f>SUM(BZ69:BZ77)</f>
        <v>4500</v>
      </c>
      <c r="CA79" s="24"/>
      <c r="CB79" s="54"/>
      <c r="CC79" s="32"/>
      <c r="CD79" s="58"/>
      <c r="CE79" s="22">
        <f>SUM(CE69:CE77)</f>
        <v>114950057.94000007</v>
      </c>
      <c r="CF79" s="13"/>
      <c r="CG79" s="23">
        <f>SUM(CG69:CG77)</f>
        <v>4666</v>
      </c>
      <c r="CH79" s="24"/>
      <c r="CI79" s="54"/>
      <c r="CJ79" s="32"/>
      <c r="CK79" s="58"/>
      <c r="CL79" s="22">
        <f>SUM(CL69:CL77)</f>
        <v>114459639.90999998</v>
      </c>
      <c r="CM79" s="13"/>
      <c r="CN79" s="23">
        <f>SUM(CN69:CN77)</f>
        <v>4566</v>
      </c>
      <c r="CO79" s="24"/>
      <c r="CP79" s="54"/>
      <c r="CQ79" s="32"/>
      <c r="CR79" s="58"/>
    </row>
    <row r="80" spans="1:96" ht="13.5" thickTop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</row>
    <row r="81" spans="1:96" ht="12.75">
      <c r="A81" s="20" t="s">
        <v>130</v>
      </c>
      <c r="B81" s="9"/>
      <c r="C81" s="9"/>
      <c r="D81" s="9"/>
      <c r="E81" s="9"/>
      <c r="F81" s="9"/>
      <c r="G81" s="9"/>
      <c r="H81" s="9"/>
      <c r="I81" s="20" t="s">
        <v>130</v>
      </c>
      <c r="J81" s="9"/>
      <c r="K81" s="9"/>
      <c r="L81" s="9"/>
      <c r="M81" s="9"/>
      <c r="N81" s="9"/>
      <c r="O81" s="9"/>
      <c r="P81" s="9"/>
      <c r="Q81" s="9"/>
      <c r="R81" s="20" t="s">
        <v>130</v>
      </c>
      <c r="S81" s="9"/>
      <c r="T81" s="9"/>
      <c r="U81" s="9"/>
      <c r="V81" s="9"/>
      <c r="W81" s="9"/>
      <c r="X81" s="9"/>
      <c r="Y81" s="9"/>
      <c r="Z81" s="20" t="s">
        <v>130</v>
      </c>
      <c r="AA81" s="9"/>
      <c r="AB81" s="9"/>
      <c r="AC81" s="9"/>
      <c r="AD81" s="9"/>
      <c r="AE81" s="9"/>
      <c r="AF81" s="9"/>
      <c r="AG81" s="9"/>
      <c r="AH81" s="20" t="s">
        <v>130</v>
      </c>
      <c r="AI81" s="9"/>
      <c r="AJ81" s="9"/>
      <c r="AK81" s="9"/>
      <c r="AL81" s="9"/>
      <c r="AM81" s="9"/>
      <c r="AN81" s="9"/>
      <c r="AO81" s="20" t="s">
        <v>130</v>
      </c>
      <c r="AP81" s="9"/>
      <c r="AQ81" s="9"/>
      <c r="AR81" s="9"/>
      <c r="AS81" s="9"/>
      <c r="AT81" s="9"/>
      <c r="AU81" s="9"/>
      <c r="AV81" s="20" t="s">
        <v>130</v>
      </c>
      <c r="AW81" s="9"/>
      <c r="AX81" s="9"/>
      <c r="AY81" s="9"/>
      <c r="AZ81" s="9"/>
      <c r="BA81" s="9"/>
      <c r="BB81" s="9"/>
      <c r="BC81" s="20" t="s">
        <v>130</v>
      </c>
      <c r="BD81" s="9"/>
      <c r="BE81" s="9"/>
      <c r="BF81" s="9"/>
      <c r="BG81" s="9"/>
      <c r="BH81" s="9"/>
      <c r="BI81" s="9"/>
      <c r="BJ81" s="20" t="s">
        <v>130</v>
      </c>
      <c r="BK81" s="9"/>
      <c r="BL81" s="9"/>
      <c r="BM81" s="9"/>
      <c r="BN81" s="9"/>
      <c r="BO81" s="9"/>
      <c r="BP81" s="9"/>
      <c r="BQ81" s="20" t="s">
        <v>130</v>
      </c>
      <c r="BR81" s="9"/>
      <c r="BS81" s="9"/>
      <c r="BT81" s="9"/>
      <c r="BU81" s="9"/>
      <c r="BV81" s="9"/>
      <c r="BW81" s="9"/>
      <c r="BX81" s="20" t="s">
        <v>130</v>
      </c>
      <c r="BY81" s="9"/>
      <c r="BZ81" s="9"/>
      <c r="CA81" s="9"/>
      <c r="CB81" s="9"/>
      <c r="CC81" s="9"/>
      <c r="CD81" s="9"/>
      <c r="CE81" s="20" t="s">
        <v>130</v>
      </c>
      <c r="CF81" s="9"/>
      <c r="CG81" s="9"/>
      <c r="CH81" s="9"/>
      <c r="CI81" s="9"/>
      <c r="CJ81" s="9"/>
      <c r="CK81" s="9"/>
      <c r="CL81" s="20" t="s">
        <v>130</v>
      </c>
      <c r="CM81" s="9"/>
      <c r="CN81" s="9"/>
      <c r="CO81" s="9"/>
      <c r="CP81" s="9"/>
      <c r="CQ81" s="9"/>
      <c r="CR81" s="9"/>
    </row>
    <row r="82" spans="1:96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</row>
    <row r="83" spans="1:96" ht="12.75">
      <c r="A83" s="9" t="s">
        <v>108</v>
      </c>
      <c r="B83" s="9"/>
      <c r="C83" s="9"/>
      <c r="D83" s="9"/>
      <c r="E83" s="9"/>
      <c r="F83" s="9"/>
      <c r="G83" s="9"/>
      <c r="H83" s="9"/>
      <c r="I83" s="9" t="s">
        <v>108</v>
      </c>
      <c r="J83" s="9"/>
      <c r="K83" s="9"/>
      <c r="L83" s="10"/>
      <c r="M83" s="9"/>
      <c r="N83" s="11"/>
      <c r="O83" s="9"/>
      <c r="P83" s="9"/>
      <c r="Q83" s="9"/>
      <c r="R83" s="9" t="s">
        <v>108</v>
      </c>
      <c r="S83" s="9"/>
      <c r="T83" s="9"/>
      <c r="U83" s="10"/>
      <c r="V83" s="9"/>
      <c r="W83" s="11"/>
      <c r="X83" s="9"/>
      <c r="Y83" s="9"/>
      <c r="Z83" s="9" t="s">
        <v>108</v>
      </c>
      <c r="AA83" s="9"/>
      <c r="AB83" s="9"/>
      <c r="AC83" s="10"/>
      <c r="AD83" s="9"/>
      <c r="AE83" s="11"/>
      <c r="AF83" s="9"/>
      <c r="AG83" s="9"/>
      <c r="AH83" s="9" t="s">
        <v>108</v>
      </c>
      <c r="AI83" s="9"/>
      <c r="AJ83" s="9"/>
      <c r="AK83" s="10"/>
      <c r="AL83" s="9"/>
      <c r="AM83" s="11"/>
      <c r="AN83" s="9"/>
      <c r="AO83" s="9" t="s">
        <v>108</v>
      </c>
      <c r="AP83" s="9"/>
      <c r="AQ83" s="9"/>
      <c r="AR83" s="10"/>
      <c r="AS83" s="9"/>
      <c r="AT83" s="11"/>
      <c r="AU83" s="9"/>
      <c r="AV83" s="9" t="s">
        <v>108</v>
      </c>
      <c r="AW83" s="9"/>
      <c r="AX83" s="9"/>
      <c r="AY83" s="10"/>
      <c r="AZ83" s="9"/>
      <c r="BA83" s="11"/>
      <c r="BB83" s="9"/>
      <c r="BC83" s="9" t="s">
        <v>108</v>
      </c>
      <c r="BD83" s="9"/>
      <c r="BE83" s="9"/>
      <c r="BF83" s="10"/>
      <c r="BG83" s="9"/>
      <c r="BH83" s="11"/>
      <c r="BI83" s="9"/>
      <c r="BJ83" s="9" t="s">
        <v>108</v>
      </c>
      <c r="BK83" s="9"/>
      <c r="BL83" s="9"/>
      <c r="BM83" s="10"/>
      <c r="BN83" s="9"/>
      <c r="BO83" s="11"/>
      <c r="BP83" s="9"/>
      <c r="BQ83" s="9" t="s">
        <v>108</v>
      </c>
      <c r="BR83" s="9"/>
      <c r="BS83" s="9"/>
      <c r="BT83" s="10"/>
      <c r="BU83" s="9"/>
      <c r="BV83" s="11"/>
      <c r="BW83" s="9"/>
      <c r="BX83" s="9" t="s">
        <v>108</v>
      </c>
      <c r="BY83" s="9"/>
      <c r="BZ83" s="9"/>
      <c r="CA83" s="10"/>
      <c r="CB83" s="9"/>
      <c r="CC83" s="11"/>
      <c r="CD83" s="9"/>
      <c r="CE83" s="9" t="s">
        <v>108</v>
      </c>
      <c r="CF83" s="9"/>
      <c r="CG83" s="9"/>
      <c r="CH83" s="10"/>
      <c r="CI83" s="9"/>
      <c r="CJ83" s="11"/>
      <c r="CK83" s="9"/>
      <c r="CL83" s="9" t="s">
        <v>108</v>
      </c>
      <c r="CM83" s="9"/>
      <c r="CN83" s="9"/>
      <c r="CO83" s="10"/>
      <c r="CP83" s="9"/>
      <c r="CQ83" s="11"/>
      <c r="CR83" s="9"/>
    </row>
    <row r="84" spans="1:96" ht="12.75">
      <c r="A84" s="9"/>
      <c r="B84" s="9"/>
      <c r="C84" s="9"/>
      <c r="D84" s="9"/>
      <c r="E84" s="9"/>
      <c r="F84" s="9"/>
      <c r="G84" s="9"/>
      <c r="H84" s="9"/>
      <c r="I84" s="20"/>
      <c r="J84" s="9"/>
      <c r="K84" s="9"/>
      <c r="L84" s="10"/>
      <c r="M84" s="9"/>
      <c r="N84" s="11"/>
      <c r="O84" s="9"/>
      <c r="P84" s="9"/>
      <c r="Q84" s="9"/>
      <c r="R84" s="20"/>
      <c r="S84" s="9"/>
      <c r="T84" s="9"/>
      <c r="U84" s="10"/>
      <c r="V84" s="9"/>
      <c r="W84" s="11"/>
      <c r="X84" s="9"/>
      <c r="Y84" s="9"/>
      <c r="Z84" s="20"/>
      <c r="AA84" s="9"/>
      <c r="AB84" s="9"/>
      <c r="AC84" s="10"/>
      <c r="AD84" s="9"/>
      <c r="AE84" s="11"/>
      <c r="AF84" s="9"/>
      <c r="AG84" s="9"/>
      <c r="AH84" s="20"/>
      <c r="AI84" s="9"/>
      <c r="AJ84" s="9"/>
      <c r="AK84" s="10"/>
      <c r="AL84" s="9"/>
      <c r="AM84" s="11"/>
      <c r="AN84" s="9"/>
      <c r="AO84" s="20"/>
      <c r="AP84" s="9"/>
      <c r="AQ84" s="9"/>
      <c r="AR84" s="10"/>
      <c r="AS84" s="9"/>
      <c r="AT84" s="11"/>
      <c r="AU84" s="9"/>
      <c r="AV84" s="20"/>
      <c r="AW84" s="9"/>
      <c r="AX84" s="9"/>
      <c r="AY84" s="10"/>
      <c r="AZ84" s="9"/>
      <c r="BA84" s="11"/>
      <c r="BB84" s="9"/>
      <c r="BC84" s="20"/>
      <c r="BD84" s="9"/>
      <c r="BE84" s="9"/>
      <c r="BF84" s="10"/>
      <c r="BG84" s="9"/>
      <c r="BH84" s="11"/>
      <c r="BI84" s="9"/>
      <c r="BJ84" s="20"/>
      <c r="BK84" s="9"/>
      <c r="BL84" s="9"/>
      <c r="BM84" s="10"/>
      <c r="BN84" s="9"/>
      <c r="BO84" s="11"/>
      <c r="BP84" s="9"/>
      <c r="BQ84" s="20"/>
      <c r="BR84" s="9"/>
      <c r="BS84" s="9"/>
      <c r="BT84" s="10"/>
      <c r="BU84" s="9"/>
      <c r="BV84" s="11"/>
      <c r="BW84" s="9"/>
      <c r="BX84" s="20"/>
      <c r="BY84" s="9"/>
      <c r="BZ84" s="9"/>
      <c r="CA84" s="10"/>
      <c r="CB84" s="9"/>
      <c r="CC84" s="11"/>
      <c r="CD84" s="9"/>
      <c r="CE84" s="20"/>
      <c r="CF84" s="9"/>
      <c r="CG84" s="9"/>
      <c r="CH84" s="10"/>
      <c r="CI84" s="9"/>
      <c r="CJ84" s="11"/>
      <c r="CK84" s="9"/>
      <c r="CL84" s="20"/>
      <c r="CM84" s="9"/>
      <c r="CN84" s="9"/>
      <c r="CO84" s="10"/>
      <c r="CP84" s="9"/>
      <c r="CQ84" s="11"/>
      <c r="CR84" s="9"/>
    </row>
    <row r="85" spans="1:96" s="46" customFormat="1" ht="12.75">
      <c r="A85" s="27"/>
      <c r="B85" s="27"/>
      <c r="C85" s="28" t="s">
        <v>143</v>
      </c>
      <c r="D85" s="27" t="s">
        <v>96</v>
      </c>
      <c r="E85" s="27" t="s">
        <v>97</v>
      </c>
      <c r="F85" s="27" t="s">
        <v>96</v>
      </c>
      <c r="G85" s="27"/>
      <c r="H85" s="27"/>
      <c r="I85" s="28" t="s">
        <v>143</v>
      </c>
      <c r="J85" s="45" t="s">
        <v>96</v>
      </c>
      <c r="K85" s="27" t="s">
        <v>97</v>
      </c>
      <c r="L85" s="27" t="s">
        <v>96</v>
      </c>
      <c r="M85" s="73"/>
      <c r="N85" s="65"/>
      <c r="O85" s="65"/>
      <c r="P85" s="65"/>
      <c r="Q85" s="27"/>
      <c r="R85" s="28" t="s">
        <v>143</v>
      </c>
      <c r="S85" s="45" t="s">
        <v>96</v>
      </c>
      <c r="T85" s="27" t="s">
        <v>97</v>
      </c>
      <c r="U85" s="27" t="s">
        <v>96</v>
      </c>
      <c r="V85" s="73"/>
      <c r="W85" s="65"/>
      <c r="X85" s="65"/>
      <c r="Y85" s="27"/>
      <c r="Z85" s="28" t="s">
        <v>143</v>
      </c>
      <c r="AA85" s="45" t="s">
        <v>96</v>
      </c>
      <c r="AB85" s="27" t="s">
        <v>97</v>
      </c>
      <c r="AC85" s="27" t="s">
        <v>96</v>
      </c>
      <c r="AD85" s="73"/>
      <c r="AE85" s="65"/>
      <c r="AF85" s="65"/>
      <c r="AG85" s="65"/>
      <c r="AH85" s="28" t="s">
        <v>143</v>
      </c>
      <c r="AI85" s="45" t="s">
        <v>96</v>
      </c>
      <c r="AJ85" s="27" t="s">
        <v>97</v>
      </c>
      <c r="AK85" s="27" t="s">
        <v>96</v>
      </c>
      <c r="AL85" s="73"/>
      <c r="AM85" s="65"/>
      <c r="AN85" s="65"/>
      <c r="AO85" s="94" t="s">
        <v>143</v>
      </c>
      <c r="AP85" s="45" t="s">
        <v>96</v>
      </c>
      <c r="AQ85" s="45" t="s">
        <v>97</v>
      </c>
      <c r="AR85" s="45" t="s">
        <v>96</v>
      </c>
      <c r="AS85" s="73"/>
      <c r="AT85" s="65"/>
      <c r="AU85" s="65"/>
      <c r="AV85" s="94" t="s">
        <v>143</v>
      </c>
      <c r="AW85" s="45" t="s">
        <v>96</v>
      </c>
      <c r="AX85" s="45" t="s">
        <v>97</v>
      </c>
      <c r="AY85" s="45" t="s">
        <v>96</v>
      </c>
      <c r="AZ85" s="73"/>
      <c r="BA85" s="65"/>
      <c r="BB85" s="65"/>
      <c r="BC85" s="94" t="s">
        <v>143</v>
      </c>
      <c r="BD85" s="45" t="s">
        <v>96</v>
      </c>
      <c r="BE85" s="45" t="s">
        <v>97</v>
      </c>
      <c r="BF85" s="45" t="s">
        <v>96</v>
      </c>
      <c r="BG85" s="73"/>
      <c r="BH85" s="65"/>
      <c r="BI85" s="65"/>
      <c r="BJ85" s="94" t="s">
        <v>143</v>
      </c>
      <c r="BK85" s="45" t="s">
        <v>96</v>
      </c>
      <c r="BL85" s="45" t="s">
        <v>97</v>
      </c>
      <c r="BM85" s="45" t="s">
        <v>96</v>
      </c>
      <c r="BN85" s="73"/>
      <c r="BO85" s="65"/>
      <c r="BP85" s="65"/>
      <c r="BQ85" s="94" t="s">
        <v>143</v>
      </c>
      <c r="BR85" s="45" t="s">
        <v>96</v>
      </c>
      <c r="BS85" s="45" t="s">
        <v>97</v>
      </c>
      <c r="BT85" s="45" t="s">
        <v>96</v>
      </c>
      <c r="BU85" s="73"/>
      <c r="BV85" s="65"/>
      <c r="BW85" s="65"/>
      <c r="BX85" s="94" t="s">
        <v>143</v>
      </c>
      <c r="BY85" s="45" t="s">
        <v>96</v>
      </c>
      <c r="BZ85" s="45" t="s">
        <v>97</v>
      </c>
      <c r="CA85" s="45" t="s">
        <v>96</v>
      </c>
      <c r="CB85" s="73"/>
      <c r="CC85" s="65"/>
      <c r="CD85" s="65"/>
      <c r="CE85" s="94" t="s">
        <v>143</v>
      </c>
      <c r="CF85" s="45" t="s">
        <v>96</v>
      </c>
      <c r="CG85" s="45" t="s">
        <v>97</v>
      </c>
      <c r="CH85" s="45" t="s">
        <v>96</v>
      </c>
      <c r="CI85" s="73"/>
      <c r="CJ85" s="65"/>
      <c r="CK85" s="65"/>
      <c r="CL85" s="94" t="s">
        <v>143</v>
      </c>
      <c r="CM85" s="45" t="s">
        <v>96</v>
      </c>
      <c r="CN85" s="45" t="s">
        <v>97</v>
      </c>
      <c r="CO85" s="45" t="s">
        <v>96</v>
      </c>
      <c r="CP85" s="73"/>
      <c r="CQ85" s="65"/>
      <c r="CR85" s="65"/>
    </row>
    <row r="86" spans="1:96" ht="12.75">
      <c r="A86" s="9"/>
      <c r="B86" s="9"/>
      <c r="C86" s="9"/>
      <c r="D86" s="9"/>
      <c r="E86" s="9"/>
      <c r="F86" s="9"/>
      <c r="G86" s="9"/>
      <c r="H86" s="9"/>
      <c r="I86" s="10"/>
      <c r="J86" s="9"/>
      <c r="K86" s="11"/>
      <c r="L86" s="9"/>
      <c r="M86" s="55"/>
      <c r="N86" s="56"/>
      <c r="O86" s="55"/>
      <c r="P86" s="55"/>
      <c r="Q86" s="9"/>
      <c r="R86" s="10"/>
      <c r="S86" s="9"/>
      <c r="T86" s="11"/>
      <c r="U86" s="9"/>
      <c r="V86" s="55"/>
      <c r="W86" s="56"/>
      <c r="X86" s="55"/>
      <c r="Y86" s="9"/>
      <c r="Z86" s="10"/>
      <c r="AA86" s="9"/>
      <c r="AB86" s="11"/>
      <c r="AC86" s="9"/>
      <c r="AD86" s="55"/>
      <c r="AE86" s="56"/>
      <c r="AF86" s="55"/>
      <c r="AG86" s="55"/>
      <c r="AH86" s="10"/>
      <c r="AI86" s="9"/>
      <c r="AJ86" s="11"/>
      <c r="AK86" s="9"/>
      <c r="AL86" s="55"/>
      <c r="AM86" s="56"/>
      <c r="AN86" s="55"/>
      <c r="AO86" s="10"/>
      <c r="AP86" s="9"/>
      <c r="AQ86" s="11"/>
      <c r="AR86" s="9"/>
      <c r="AS86" s="55"/>
      <c r="AT86" s="56"/>
      <c r="AU86" s="55"/>
      <c r="AV86" s="10"/>
      <c r="AW86" s="9"/>
      <c r="AX86" s="11"/>
      <c r="AY86" s="9"/>
      <c r="AZ86" s="55"/>
      <c r="BA86" s="56"/>
      <c r="BB86" s="55"/>
      <c r="BC86" s="10"/>
      <c r="BD86" s="9"/>
      <c r="BE86" s="11"/>
      <c r="BF86" s="9"/>
      <c r="BG86" s="55"/>
      <c r="BH86" s="56"/>
      <c r="BI86" s="55"/>
      <c r="BJ86" s="10"/>
      <c r="BK86" s="9"/>
      <c r="BL86" s="11"/>
      <c r="BM86" s="9"/>
      <c r="BN86" s="55"/>
      <c r="BO86" s="56"/>
      <c r="BP86" s="55"/>
      <c r="BQ86" s="10"/>
      <c r="BR86" s="9"/>
      <c r="BS86" s="11"/>
      <c r="BT86" s="9"/>
      <c r="BU86" s="55"/>
      <c r="BV86" s="56"/>
      <c r="BW86" s="55"/>
      <c r="BX86" s="10"/>
      <c r="BY86" s="9"/>
      <c r="BZ86" s="11"/>
      <c r="CA86" s="9"/>
      <c r="CB86" s="55"/>
      <c r="CC86" s="56"/>
      <c r="CD86" s="55"/>
      <c r="CE86" s="10"/>
      <c r="CF86" s="9"/>
      <c r="CG86" s="11"/>
      <c r="CH86" s="9"/>
      <c r="CI86" s="55"/>
      <c r="CJ86" s="56"/>
      <c r="CK86" s="55"/>
      <c r="CL86" s="10"/>
      <c r="CM86" s="9"/>
      <c r="CN86" s="11"/>
      <c r="CO86" s="9"/>
      <c r="CP86" s="55"/>
      <c r="CQ86" s="56"/>
      <c r="CR86" s="55"/>
    </row>
    <row r="87" spans="1:96" ht="12.75">
      <c r="A87" s="9" t="s">
        <v>41</v>
      </c>
      <c r="B87" s="9"/>
      <c r="C87" s="44">
        <v>36979786.00999988</v>
      </c>
      <c r="D87" s="34">
        <f>+C87/$C$97</f>
        <v>0.9558345679226489</v>
      </c>
      <c r="E87" s="47">
        <v>8032</v>
      </c>
      <c r="F87" s="34">
        <f>+E87/$E$97</f>
        <v>0.9580152671755725</v>
      </c>
      <c r="G87" s="34"/>
      <c r="H87" s="34"/>
      <c r="I87" s="10">
        <f>30180314.5400001-504473.9</f>
        <v>29675840.6400001</v>
      </c>
      <c r="J87" s="15">
        <f>+I87/$I$97</f>
        <v>0.9349558338272865</v>
      </c>
      <c r="K87" s="11">
        <f>7268-457</f>
        <v>6811</v>
      </c>
      <c r="L87" s="15">
        <f>+K87/$K$97</f>
        <v>0.8933630640083945</v>
      </c>
      <c r="M87" s="57"/>
      <c r="N87" s="56"/>
      <c r="O87" s="57"/>
      <c r="P87" s="57"/>
      <c r="Q87" s="34"/>
      <c r="R87" s="10">
        <v>32616989.7</v>
      </c>
      <c r="S87" s="15">
        <f>+R87/$R$97</f>
        <v>0.9428438533049134</v>
      </c>
      <c r="T87" s="11">
        <v>6910</v>
      </c>
      <c r="U87" s="15">
        <f>+T87/$T$97</f>
        <v>0.8666750282202433</v>
      </c>
      <c r="V87" s="57"/>
      <c r="W87" s="56"/>
      <c r="X87" s="57"/>
      <c r="Y87" s="34"/>
      <c r="Z87" s="10">
        <v>30166946.85</v>
      </c>
      <c r="AA87" s="15">
        <f>+Z87/$Z$97</f>
        <v>0.945240961593886</v>
      </c>
      <c r="AB87" s="11">
        <v>6321</v>
      </c>
      <c r="AC87" s="15">
        <f>+AB87/$AB$97</f>
        <v>0.8270312704435431</v>
      </c>
      <c r="AD87" s="57"/>
      <c r="AE87" s="56"/>
      <c r="AF87" s="57"/>
      <c r="AG87" s="57"/>
      <c r="AH87" s="10">
        <v>52227303.25</v>
      </c>
      <c r="AI87" s="15">
        <f>+AH87/$AH$97</f>
        <v>0.9689027292248206</v>
      </c>
      <c r="AJ87" s="11">
        <v>9190</v>
      </c>
      <c r="AK87" s="15">
        <f>+AJ87/$AJ$97</f>
        <v>0.8584773470340962</v>
      </c>
      <c r="AL87" s="57"/>
      <c r="AM87" s="56"/>
      <c r="AN87" s="57"/>
      <c r="AO87" s="10">
        <v>60061252.65999963</v>
      </c>
      <c r="AP87" s="15">
        <v>0.9786553385497054</v>
      </c>
      <c r="AQ87" s="11">
        <v>10536</v>
      </c>
      <c r="AR87" s="15">
        <v>0.976821806044873</v>
      </c>
      <c r="AS87" s="57"/>
      <c r="AT87" s="56"/>
      <c r="AU87" s="57"/>
      <c r="AV87" s="10">
        <v>53561372.10999975</v>
      </c>
      <c r="AW87" s="15">
        <f>+AV87/$AV$97</f>
        <v>0.9793246058468682</v>
      </c>
      <c r="AX87" s="11">
        <v>9778</v>
      </c>
      <c r="AY87" s="15">
        <f>+AX87/$AX$97</f>
        <v>0.9792689033550326</v>
      </c>
      <c r="AZ87" s="57"/>
      <c r="BA87" s="56"/>
      <c r="BB87" s="57"/>
      <c r="BC87" s="10">
        <v>51115906.19000006</v>
      </c>
      <c r="BD87" s="15">
        <v>0.9795765424456</v>
      </c>
      <c r="BE87" s="11">
        <v>9683</v>
      </c>
      <c r="BF87" s="15">
        <v>0.9828461226146975</v>
      </c>
      <c r="BG87" s="57"/>
      <c r="BH87" s="56"/>
      <c r="BI87" s="57"/>
      <c r="BJ87" s="10">
        <v>43891633.70000005</v>
      </c>
      <c r="BK87" s="15">
        <v>0.9736836119954775</v>
      </c>
      <c r="BL87" s="11">
        <v>8843</v>
      </c>
      <c r="BM87" s="15">
        <v>0.9807031163358101</v>
      </c>
      <c r="BN87" s="57"/>
      <c r="BO87" s="56"/>
      <c r="BP87" s="57"/>
      <c r="BQ87" s="10">
        <v>40208854.589999825</v>
      </c>
      <c r="BR87" s="15">
        <v>0.9709899575855928</v>
      </c>
      <c r="BS87" s="11">
        <v>8339</v>
      </c>
      <c r="BT87" s="15">
        <v>0.9802329685845393</v>
      </c>
      <c r="BU87" s="57"/>
      <c r="BV87" s="56"/>
      <c r="BW87" s="57"/>
      <c r="BX87" s="10">
        <v>35254726.68999994</v>
      </c>
      <c r="BY87" s="15">
        <v>0.9668728606927074</v>
      </c>
      <c r="BZ87" s="11">
        <v>7552</v>
      </c>
      <c r="CA87" s="15">
        <v>0.9773521418403003</v>
      </c>
      <c r="CB87" s="57"/>
      <c r="CC87" s="56"/>
      <c r="CD87" s="57"/>
      <c r="CE87" s="10">
        <v>30603123.98</v>
      </c>
      <c r="CF87" s="15">
        <v>0.9678354053943498</v>
      </c>
      <c r="CG87" s="11">
        <v>6723</v>
      </c>
      <c r="CH87" s="15">
        <v>0.9773222852158744</v>
      </c>
      <c r="CI87" s="57"/>
      <c r="CJ87" s="56"/>
      <c r="CK87" s="57"/>
      <c r="CL87" s="10">
        <v>42525640.419999994</v>
      </c>
      <c r="CM87" s="15">
        <v>0.9733093605343554</v>
      </c>
      <c r="CN87" s="11">
        <v>9939</v>
      </c>
      <c r="CO87" s="15">
        <v>0.9814357657746619</v>
      </c>
      <c r="CP87" s="57"/>
      <c r="CQ87" s="56"/>
      <c r="CR87" s="57"/>
    </row>
    <row r="88" spans="1:96" ht="12.75">
      <c r="A88" s="9" t="s">
        <v>42</v>
      </c>
      <c r="B88" s="9"/>
      <c r="C88" s="44">
        <v>460331.04</v>
      </c>
      <c r="D88" s="34">
        <f aca="true" t="shared" si="40" ref="D88:D95">+C88/$C$97</f>
        <v>0.01189840094263393</v>
      </c>
      <c r="E88" s="47">
        <v>108</v>
      </c>
      <c r="F88" s="34">
        <f aca="true" t="shared" si="41" ref="F88:F95">+E88/$E$97</f>
        <v>0.012881679389312978</v>
      </c>
      <c r="G88" s="34"/>
      <c r="H88" s="34"/>
      <c r="I88" s="10">
        <v>456296.03</v>
      </c>
      <c r="J88" s="15">
        <f aca="true" t="shared" si="42" ref="J88:J95">+I88/$I$97</f>
        <v>0.014375890488699198</v>
      </c>
      <c r="K88" s="11">
        <v>118</v>
      </c>
      <c r="L88" s="15">
        <f aca="true" t="shared" si="43" ref="L88:L95">+K88/$K$97</f>
        <v>0.015477439664218258</v>
      </c>
      <c r="M88" s="57"/>
      <c r="N88" s="56"/>
      <c r="O88" s="57"/>
      <c r="P88" s="57"/>
      <c r="Q88" s="34"/>
      <c r="R88" s="10">
        <v>365229.29</v>
      </c>
      <c r="S88" s="15">
        <f aca="true" t="shared" si="44" ref="S88:S95">+R88/$R$97</f>
        <v>0.010557509883366633</v>
      </c>
      <c r="T88" s="11">
        <v>99</v>
      </c>
      <c r="U88" s="15">
        <f aca="true" t="shared" si="45" ref="U88:U95">+T88/$T$97</f>
        <v>0.012416907061331995</v>
      </c>
      <c r="V88" s="57"/>
      <c r="W88" s="56"/>
      <c r="X88" s="57"/>
      <c r="Y88" s="34"/>
      <c r="Z88" s="10">
        <v>308546.11</v>
      </c>
      <c r="AA88" s="15">
        <f aca="true" t="shared" si="46" ref="AA88:AA95">+Z88/$Z$97</f>
        <v>0.009667879986749568</v>
      </c>
      <c r="AB88" s="11">
        <v>70</v>
      </c>
      <c r="AC88" s="15">
        <f aca="true" t="shared" si="47" ref="AC88:AC95">+AB88/$AB$97</f>
        <v>0.009158707313881983</v>
      </c>
      <c r="AD88" s="57"/>
      <c r="AE88" s="56"/>
      <c r="AF88" s="57"/>
      <c r="AG88" s="57"/>
      <c r="AH88" s="10">
        <v>378772.16</v>
      </c>
      <c r="AI88" s="15">
        <f aca="true" t="shared" si="48" ref="AI88:AI95">+AH88/$AH$97</f>
        <v>0.007026849114182061</v>
      </c>
      <c r="AJ88" s="11">
        <v>77</v>
      </c>
      <c r="AK88" s="15">
        <f aca="true" t="shared" si="49" ref="AK88:AK94">+AJ88/$AJ$97</f>
        <v>0.0071929005137786085</v>
      </c>
      <c r="AL88" s="57"/>
      <c r="AM88" s="56"/>
      <c r="AN88" s="57"/>
      <c r="AO88" s="10">
        <v>414683.67</v>
      </c>
      <c r="AP88" s="15">
        <v>0.006756975079295435</v>
      </c>
      <c r="AQ88" s="11">
        <v>80</v>
      </c>
      <c r="AR88" s="15">
        <v>0.007417022065640645</v>
      </c>
      <c r="AS88" s="57"/>
      <c r="AT88" s="56"/>
      <c r="AU88" s="57"/>
      <c r="AV88" s="10">
        <v>301691.64</v>
      </c>
      <c r="AW88" s="15">
        <f aca="true" t="shared" si="50" ref="AW88:AW95">+AV88/$AV$97</f>
        <v>0.005516177700293359</v>
      </c>
      <c r="AX88" s="11">
        <v>59</v>
      </c>
      <c r="AY88" s="15">
        <f aca="true" t="shared" si="51" ref="AY88:AY95">+AX88/$AX$97</f>
        <v>0.005908863294942414</v>
      </c>
      <c r="AZ88" s="57"/>
      <c r="BA88" s="56"/>
      <c r="BB88" s="57"/>
      <c r="BC88" s="10">
        <v>333303.38</v>
      </c>
      <c r="BD88" s="15">
        <v>0.00638736935137629</v>
      </c>
      <c r="BE88" s="11">
        <v>57</v>
      </c>
      <c r="BF88" s="15">
        <v>0.0057856272838002435</v>
      </c>
      <c r="BG88" s="57"/>
      <c r="BH88" s="56"/>
      <c r="BI88" s="57"/>
      <c r="BJ88" s="10">
        <v>292973.47</v>
      </c>
      <c r="BK88" s="15">
        <v>0.0064992674558032775</v>
      </c>
      <c r="BL88" s="11">
        <v>48</v>
      </c>
      <c r="BM88" s="15">
        <v>0.0053232782521903076</v>
      </c>
      <c r="BN88" s="57"/>
      <c r="BO88" s="56"/>
      <c r="BP88" s="57"/>
      <c r="BQ88" s="10">
        <v>422099.03</v>
      </c>
      <c r="BR88" s="15">
        <v>0.0101931259523755</v>
      </c>
      <c r="BS88" s="11">
        <v>58</v>
      </c>
      <c r="BT88" s="15">
        <v>0.006824332274385222</v>
      </c>
      <c r="BU88" s="57"/>
      <c r="BV88" s="56"/>
      <c r="BW88" s="57"/>
      <c r="BX88" s="10">
        <v>330428.64</v>
      </c>
      <c r="BY88" s="15">
        <v>0.009062117747241607</v>
      </c>
      <c r="BZ88" s="11">
        <v>49</v>
      </c>
      <c r="CA88" s="15">
        <v>0.006341400284715931</v>
      </c>
      <c r="CB88" s="57"/>
      <c r="CC88" s="56"/>
      <c r="CD88" s="57"/>
      <c r="CE88" s="10">
        <v>189956.45</v>
      </c>
      <c r="CF88" s="15">
        <v>0.006007444792667913</v>
      </c>
      <c r="CG88" s="11">
        <v>38</v>
      </c>
      <c r="CH88" s="15">
        <v>0.0055240587294664925</v>
      </c>
      <c r="CI88" s="57"/>
      <c r="CJ88" s="56"/>
      <c r="CK88" s="57"/>
      <c r="CL88" s="10">
        <v>362442.65</v>
      </c>
      <c r="CM88" s="15">
        <v>0.00829543824426377</v>
      </c>
      <c r="CN88" s="11">
        <v>69</v>
      </c>
      <c r="CO88" s="15">
        <v>0.006813468944406043</v>
      </c>
      <c r="CP88" s="57"/>
      <c r="CQ88" s="56"/>
      <c r="CR88" s="57"/>
    </row>
    <row r="89" spans="1:96" ht="12.75">
      <c r="A89" s="9" t="s">
        <v>43</v>
      </c>
      <c r="B89" s="9"/>
      <c r="C89" s="44">
        <v>187185.3</v>
      </c>
      <c r="D89" s="34">
        <f t="shared" si="40"/>
        <v>0.004838269759013459</v>
      </c>
      <c r="E89" s="47">
        <v>46</v>
      </c>
      <c r="F89" s="34">
        <f t="shared" si="41"/>
        <v>0.005486641221374045</v>
      </c>
      <c r="G89" s="34"/>
      <c r="H89" s="34"/>
      <c r="I89" s="10">
        <v>186822.69</v>
      </c>
      <c r="J89" s="15">
        <f t="shared" si="42"/>
        <v>0.0058859651534645145</v>
      </c>
      <c r="K89" s="11">
        <v>44</v>
      </c>
      <c r="L89" s="15">
        <f t="shared" si="43"/>
        <v>0.005771248688352571</v>
      </c>
      <c r="M89" s="57"/>
      <c r="N89" s="56"/>
      <c r="O89" s="57"/>
      <c r="P89" s="57"/>
      <c r="Q89" s="34"/>
      <c r="R89" s="10">
        <v>150880.57</v>
      </c>
      <c r="S89" s="15">
        <f t="shared" si="44"/>
        <v>0.00436143308490672</v>
      </c>
      <c r="T89" s="11">
        <v>45</v>
      </c>
      <c r="U89" s="15">
        <f t="shared" si="45"/>
        <v>0.0056440486642418165</v>
      </c>
      <c r="V89" s="57"/>
      <c r="W89" s="56"/>
      <c r="X89" s="57"/>
      <c r="Y89" s="34"/>
      <c r="Z89" s="10">
        <v>102972.12</v>
      </c>
      <c r="AA89" s="15">
        <f t="shared" si="46"/>
        <v>0.0032264937585541912</v>
      </c>
      <c r="AB89" s="11">
        <v>26</v>
      </c>
      <c r="AC89" s="15">
        <f t="shared" si="47"/>
        <v>0.003401805573727594</v>
      </c>
      <c r="AD89" s="57"/>
      <c r="AE89" s="56"/>
      <c r="AF89" s="57"/>
      <c r="AG89" s="57"/>
      <c r="AH89" s="10">
        <v>122854.52</v>
      </c>
      <c r="AI89" s="15">
        <f t="shared" si="48"/>
        <v>0.002279154241524146</v>
      </c>
      <c r="AJ89" s="11">
        <v>29</v>
      </c>
      <c r="AK89" s="15">
        <f t="shared" si="49"/>
        <v>0.00270901447921532</v>
      </c>
      <c r="AL89" s="57"/>
      <c r="AM89" s="56"/>
      <c r="AN89" s="57"/>
      <c r="AO89" s="10">
        <v>173306.08</v>
      </c>
      <c r="AP89" s="15">
        <v>0.002823899151009206</v>
      </c>
      <c r="AQ89" s="11">
        <v>27</v>
      </c>
      <c r="AR89" s="15">
        <v>0.002503244947153718</v>
      </c>
      <c r="AS89" s="57"/>
      <c r="AT89" s="56"/>
      <c r="AU89" s="57"/>
      <c r="AV89" s="10">
        <v>113996.95</v>
      </c>
      <c r="AW89" s="15">
        <f t="shared" si="50"/>
        <v>0.002084338278287913</v>
      </c>
      <c r="AX89" s="11">
        <v>23</v>
      </c>
      <c r="AY89" s="15">
        <f t="shared" si="51"/>
        <v>0.002303455182774161</v>
      </c>
      <c r="AZ89" s="57"/>
      <c r="BA89" s="56"/>
      <c r="BB89" s="57"/>
      <c r="BC89" s="10">
        <v>98181.98</v>
      </c>
      <c r="BD89" s="15">
        <v>0.001881542785162994</v>
      </c>
      <c r="BE89" s="11">
        <v>16</v>
      </c>
      <c r="BF89" s="15">
        <v>0.0016240357287860333</v>
      </c>
      <c r="BG89" s="57"/>
      <c r="BH89" s="56"/>
      <c r="BI89" s="57"/>
      <c r="BJ89" s="10">
        <v>182988.66</v>
      </c>
      <c r="BK89" s="15">
        <v>0.004059385454659259</v>
      </c>
      <c r="BL89" s="11">
        <v>26</v>
      </c>
      <c r="BM89" s="15">
        <v>0.0028834423866030833</v>
      </c>
      <c r="BN89" s="57"/>
      <c r="BO89" s="56"/>
      <c r="BP89" s="57"/>
      <c r="BQ89" s="10">
        <v>51377.33</v>
      </c>
      <c r="BR89" s="15">
        <v>0.0012406936727306864</v>
      </c>
      <c r="BS89" s="11">
        <v>12</v>
      </c>
      <c r="BT89" s="15">
        <v>0.0014119308153900459</v>
      </c>
      <c r="BU89" s="57"/>
      <c r="BV89" s="56"/>
      <c r="BW89" s="57"/>
      <c r="BX89" s="10">
        <v>113777.05</v>
      </c>
      <c r="BY89" s="15">
        <v>0.003120374263059629</v>
      </c>
      <c r="BZ89" s="11">
        <v>20</v>
      </c>
      <c r="CA89" s="15">
        <v>0.002588326646822829</v>
      </c>
      <c r="CB89" s="57"/>
      <c r="CC89" s="56"/>
      <c r="CD89" s="57"/>
      <c r="CE89" s="10">
        <v>94500.06</v>
      </c>
      <c r="CF89" s="15">
        <v>0.0029886002468134426</v>
      </c>
      <c r="CG89" s="11">
        <v>18</v>
      </c>
      <c r="CH89" s="15">
        <v>0.0026166593981683385</v>
      </c>
      <c r="CI89" s="57"/>
      <c r="CJ89" s="56"/>
      <c r="CK89" s="57"/>
      <c r="CL89" s="10">
        <v>129230.22</v>
      </c>
      <c r="CM89" s="15">
        <v>0.0029577681029057164</v>
      </c>
      <c r="CN89" s="11">
        <v>28</v>
      </c>
      <c r="CO89" s="15">
        <v>0.0027648859484546264</v>
      </c>
      <c r="CP89" s="57"/>
      <c r="CQ89" s="56"/>
      <c r="CR89" s="57"/>
    </row>
    <row r="90" spans="1:96" ht="12.75">
      <c r="A90" s="9" t="s">
        <v>44</v>
      </c>
      <c r="B90" s="9"/>
      <c r="C90" s="44">
        <v>107905.72</v>
      </c>
      <c r="D90" s="34">
        <f t="shared" si="40"/>
        <v>0.002789091781782938</v>
      </c>
      <c r="E90" s="47">
        <v>27</v>
      </c>
      <c r="F90" s="34">
        <f t="shared" si="41"/>
        <v>0.0032204198473282444</v>
      </c>
      <c r="G90" s="34"/>
      <c r="H90" s="34"/>
      <c r="I90" s="10">
        <v>177295.57</v>
      </c>
      <c r="J90" s="15">
        <f t="shared" si="42"/>
        <v>0.005585807306829961</v>
      </c>
      <c r="K90" s="11">
        <v>123</v>
      </c>
      <c r="L90" s="15">
        <f t="shared" si="43"/>
        <v>0.01613326337880378</v>
      </c>
      <c r="M90" s="57"/>
      <c r="N90" s="56"/>
      <c r="O90" s="57"/>
      <c r="P90" s="57"/>
      <c r="Q90" s="34"/>
      <c r="R90" s="10">
        <v>159575.59</v>
      </c>
      <c r="S90" s="15">
        <f t="shared" si="44"/>
        <v>0.004612775904607929</v>
      </c>
      <c r="T90" s="11">
        <v>33</v>
      </c>
      <c r="U90" s="15">
        <f t="shared" si="45"/>
        <v>0.004138969020443998</v>
      </c>
      <c r="V90" s="57"/>
      <c r="W90" s="56"/>
      <c r="X90" s="57"/>
      <c r="Y90" s="34"/>
      <c r="Z90" s="10">
        <v>86318.87</v>
      </c>
      <c r="AA90" s="15">
        <f t="shared" si="46"/>
        <v>0.002704686426776982</v>
      </c>
      <c r="AB90" s="11">
        <v>23</v>
      </c>
      <c r="AC90" s="15">
        <f t="shared" si="47"/>
        <v>0.0030092895459897947</v>
      </c>
      <c r="AD90" s="57"/>
      <c r="AE90" s="56"/>
      <c r="AF90" s="57"/>
      <c r="AG90" s="57"/>
      <c r="AH90" s="10">
        <v>40486.67</v>
      </c>
      <c r="AI90" s="15">
        <f t="shared" si="48"/>
        <v>0.0007510945926587673</v>
      </c>
      <c r="AJ90" s="11">
        <v>15</v>
      </c>
      <c r="AK90" s="15">
        <f t="shared" si="49"/>
        <v>0.0014012143858010276</v>
      </c>
      <c r="AL90" s="57"/>
      <c r="AM90" s="56"/>
      <c r="AN90" s="57"/>
      <c r="AO90" s="10">
        <v>95513.67</v>
      </c>
      <c r="AP90" s="15">
        <v>0.0015563272311206477</v>
      </c>
      <c r="AQ90" s="11">
        <v>15</v>
      </c>
      <c r="AR90" s="15">
        <v>0.001390691637307621</v>
      </c>
      <c r="AS90" s="57"/>
      <c r="AT90" s="56"/>
      <c r="AU90" s="57"/>
      <c r="AV90" s="10">
        <v>150437.24</v>
      </c>
      <c r="AW90" s="15">
        <f t="shared" si="50"/>
        <v>0.0027506183087528707</v>
      </c>
      <c r="AX90" s="11">
        <v>21</v>
      </c>
      <c r="AY90" s="15">
        <f t="shared" si="51"/>
        <v>0.002103154732098147</v>
      </c>
      <c r="AZ90" s="57"/>
      <c r="BA90" s="56"/>
      <c r="BB90" s="57"/>
      <c r="BC90" s="10">
        <v>49690.35</v>
      </c>
      <c r="BD90" s="15">
        <v>0.000952257425799765</v>
      </c>
      <c r="BE90" s="11">
        <v>8</v>
      </c>
      <c r="BF90" s="15">
        <v>0.0008120178643930166</v>
      </c>
      <c r="BG90" s="57"/>
      <c r="BH90" s="56"/>
      <c r="BI90" s="57"/>
      <c r="BJ90" s="10">
        <v>96372.21</v>
      </c>
      <c r="BK90" s="15">
        <v>0.0021379026848295825</v>
      </c>
      <c r="BL90" s="11">
        <v>18</v>
      </c>
      <c r="BM90" s="15">
        <v>0.0019962293445713653</v>
      </c>
      <c r="BN90" s="57"/>
      <c r="BO90" s="56"/>
      <c r="BP90" s="57"/>
      <c r="BQ90" s="10">
        <v>102694.06</v>
      </c>
      <c r="BR90" s="15">
        <v>0.002479923936666726</v>
      </c>
      <c r="BS90" s="11">
        <v>16</v>
      </c>
      <c r="BT90" s="15">
        <v>0.0018825744205200612</v>
      </c>
      <c r="BU90" s="57"/>
      <c r="BV90" s="56"/>
      <c r="BW90" s="57"/>
      <c r="BX90" s="10">
        <v>89057.6</v>
      </c>
      <c r="BY90" s="15">
        <v>0.002442434945974247</v>
      </c>
      <c r="BZ90" s="11">
        <v>16</v>
      </c>
      <c r="CA90" s="15">
        <v>0.0020706613174582634</v>
      </c>
      <c r="CB90" s="57"/>
      <c r="CC90" s="56"/>
      <c r="CD90" s="57"/>
      <c r="CE90" s="10">
        <v>82164.92</v>
      </c>
      <c r="CF90" s="15">
        <v>0.002598496764884665</v>
      </c>
      <c r="CG90" s="11">
        <v>14</v>
      </c>
      <c r="CH90" s="15">
        <v>0.002035179531908708</v>
      </c>
      <c r="CI90" s="57"/>
      <c r="CJ90" s="56"/>
      <c r="CK90" s="57"/>
      <c r="CL90" s="10">
        <v>97565.74</v>
      </c>
      <c r="CM90" s="15">
        <v>0.002233044513182694</v>
      </c>
      <c r="CN90" s="11">
        <v>16</v>
      </c>
      <c r="CO90" s="15">
        <v>0.0015799348276883578</v>
      </c>
      <c r="CP90" s="57"/>
      <c r="CQ90" s="56"/>
      <c r="CR90" s="57"/>
    </row>
    <row r="91" spans="1:96" ht="12.75">
      <c r="A91" s="9" t="s">
        <v>45</v>
      </c>
      <c r="B91" s="9"/>
      <c r="C91" s="44">
        <v>81158.39</v>
      </c>
      <c r="D91" s="34">
        <f t="shared" si="40"/>
        <v>0.0020977404957933147</v>
      </c>
      <c r="E91" s="47">
        <v>14</v>
      </c>
      <c r="F91" s="34">
        <f t="shared" si="41"/>
        <v>0.0016698473282442748</v>
      </c>
      <c r="G91" s="34"/>
      <c r="H91" s="34"/>
      <c r="I91" s="10">
        <v>170968.36</v>
      </c>
      <c r="J91" s="15">
        <f t="shared" si="42"/>
        <v>0.005386464616824521</v>
      </c>
      <c r="K91" s="11">
        <v>120</v>
      </c>
      <c r="L91" s="15">
        <f t="shared" si="43"/>
        <v>0.015739769150052464</v>
      </c>
      <c r="M91" s="57"/>
      <c r="N91" s="56"/>
      <c r="O91" s="57"/>
      <c r="P91" s="57"/>
      <c r="Q91" s="34"/>
      <c r="R91" s="10">
        <v>94095.51</v>
      </c>
      <c r="S91" s="15">
        <f t="shared" si="44"/>
        <v>0.0027199742846621745</v>
      </c>
      <c r="T91" s="11">
        <v>20</v>
      </c>
      <c r="U91" s="15">
        <f t="shared" si="45"/>
        <v>0.002508466072996363</v>
      </c>
      <c r="V91" s="57"/>
      <c r="W91" s="56"/>
      <c r="X91" s="57"/>
      <c r="Y91" s="34"/>
      <c r="Z91" s="10">
        <v>57466.01</v>
      </c>
      <c r="AA91" s="15">
        <f t="shared" si="46"/>
        <v>0.0018006206203583332</v>
      </c>
      <c r="AB91" s="11">
        <v>13</v>
      </c>
      <c r="AC91" s="15">
        <f t="shared" si="47"/>
        <v>0.001700902786863797</v>
      </c>
      <c r="AD91" s="57"/>
      <c r="AE91" s="56"/>
      <c r="AF91" s="57"/>
      <c r="AG91" s="57"/>
      <c r="AH91" s="10">
        <v>64176.37</v>
      </c>
      <c r="AI91" s="15">
        <f t="shared" si="48"/>
        <v>0.001190577651445978</v>
      </c>
      <c r="AJ91" s="11">
        <v>17</v>
      </c>
      <c r="AK91" s="15">
        <f t="shared" si="49"/>
        <v>0.001588042970574498</v>
      </c>
      <c r="AL91" s="57"/>
      <c r="AM91" s="56"/>
      <c r="AN91" s="57"/>
      <c r="AO91" s="10">
        <v>54451.77</v>
      </c>
      <c r="AP91" s="15">
        <v>0.000887252813484377</v>
      </c>
      <c r="AQ91" s="11">
        <v>13</v>
      </c>
      <c r="AR91" s="15">
        <v>0.0012052660856666049</v>
      </c>
      <c r="AS91" s="57"/>
      <c r="AT91" s="56"/>
      <c r="AU91" s="57"/>
      <c r="AV91" s="10">
        <v>87550.13</v>
      </c>
      <c r="AW91" s="15">
        <f t="shared" si="50"/>
        <v>0.0016007804351614932</v>
      </c>
      <c r="AX91" s="11">
        <v>20</v>
      </c>
      <c r="AY91" s="15">
        <f t="shared" si="51"/>
        <v>0.00200300450676014</v>
      </c>
      <c r="AZ91" s="57"/>
      <c r="BA91" s="56"/>
      <c r="BB91" s="57"/>
      <c r="BC91" s="10">
        <v>105482.91</v>
      </c>
      <c r="BD91" s="15">
        <v>0.0020214565673710946</v>
      </c>
      <c r="BE91" s="11">
        <v>13</v>
      </c>
      <c r="BF91" s="15">
        <v>0.001319529029638652</v>
      </c>
      <c r="BG91" s="57"/>
      <c r="BH91" s="56"/>
      <c r="BI91" s="57"/>
      <c r="BJ91" s="10">
        <v>98308.06</v>
      </c>
      <c r="BK91" s="15">
        <v>0.002180847211186582</v>
      </c>
      <c r="BL91" s="11">
        <v>10</v>
      </c>
      <c r="BM91" s="15">
        <v>0.0011090163025396474</v>
      </c>
      <c r="BN91" s="57"/>
      <c r="BO91" s="56"/>
      <c r="BP91" s="57"/>
      <c r="BQ91" s="10">
        <v>69692.35</v>
      </c>
      <c r="BR91" s="15">
        <v>0.0016829768631949626</v>
      </c>
      <c r="BS91" s="11">
        <v>10</v>
      </c>
      <c r="BT91" s="15">
        <v>0.0011766090128250382</v>
      </c>
      <c r="BU91" s="57"/>
      <c r="BV91" s="56"/>
      <c r="BW91" s="57"/>
      <c r="BX91" s="10">
        <v>104799.12</v>
      </c>
      <c r="BY91" s="15">
        <v>0.002874151481685434</v>
      </c>
      <c r="BZ91" s="11">
        <v>18</v>
      </c>
      <c r="CA91" s="15">
        <v>0.002329493982140546</v>
      </c>
      <c r="CB91" s="57"/>
      <c r="CC91" s="56"/>
      <c r="CD91" s="57"/>
      <c r="CE91" s="10">
        <v>59342.72</v>
      </c>
      <c r="CF91" s="15">
        <v>0.0018767360321102547</v>
      </c>
      <c r="CG91" s="11">
        <v>8</v>
      </c>
      <c r="CH91" s="15">
        <v>0.0011629597325192615</v>
      </c>
      <c r="CI91" s="57"/>
      <c r="CJ91" s="56"/>
      <c r="CK91" s="57"/>
      <c r="CL91" s="10">
        <v>41107.44</v>
      </c>
      <c r="CM91" s="15">
        <v>0.0009408501728474237</v>
      </c>
      <c r="CN91" s="11">
        <v>8</v>
      </c>
      <c r="CO91" s="15">
        <v>0.0007899674138441789</v>
      </c>
      <c r="CP91" s="57"/>
      <c r="CQ91" s="56"/>
      <c r="CR91" s="57"/>
    </row>
    <row r="92" spans="1:96" ht="12.75">
      <c r="A92" s="9" t="s">
        <v>46</v>
      </c>
      <c r="B92" s="9"/>
      <c r="C92" s="44">
        <v>43529.27</v>
      </c>
      <c r="D92" s="34">
        <f t="shared" si="40"/>
        <v>0.0011251222754828064</v>
      </c>
      <c r="E92" s="47">
        <v>11</v>
      </c>
      <c r="F92" s="34">
        <f t="shared" si="41"/>
        <v>0.0013120229007633588</v>
      </c>
      <c r="G92" s="34"/>
      <c r="H92" s="34"/>
      <c r="I92" s="10">
        <v>194327.56</v>
      </c>
      <c r="J92" s="15">
        <f t="shared" si="42"/>
        <v>0.006122410754913039</v>
      </c>
      <c r="K92" s="11">
        <v>122</v>
      </c>
      <c r="L92" s="15">
        <f t="shared" si="43"/>
        <v>0.016002098635886673</v>
      </c>
      <c r="M92" s="57"/>
      <c r="N92" s="56"/>
      <c r="O92" s="57"/>
      <c r="P92" s="57"/>
      <c r="Q92" s="34"/>
      <c r="R92" s="10">
        <v>79749.19</v>
      </c>
      <c r="S92" s="15">
        <f t="shared" si="44"/>
        <v>0.0023052720158766114</v>
      </c>
      <c r="T92" s="11">
        <v>14</v>
      </c>
      <c r="U92" s="15">
        <f t="shared" si="45"/>
        <v>0.001755926251097454</v>
      </c>
      <c r="V92" s="57"/>
      <c r="W92" s="56"/>
      <c r="X92" s="57"/>
      <c r="Y92" s="34"/>
      <c r="Z92" s="10">
        <v>30105.41</v>
      </c>
      <c r="AA92" s="15">
        <f t="shared" si="46"/>
        <v>0.0009433127866427819</v>
      </c>
      <c r="AB92" s="11">
        <v>11</v>
      </c>
      <c r="AC92" s="15">
        <f t="shared" si="47"/>
        <v>0.0014392254350385975</v>
      </c>
      <c r="AD92" s="57"/>
      <c r="AE92" s="56"/>
      <c r="AF92" s="57"/>
      <c r="AG92" s="57"/>
      <c r="AH92" s="10">
        <v>33915.99</v>
      </c>
      <c r="AI92" s="15">
        <f t="shared" si="48"/>
        <v>0.0006291976271120551</v>
      </c>
      <c r="AJ92" s="11">
        <v>8</v>
      </c>
      <c r="AK92" s="15">
        <f t="shared" si="49"/>
        <v>0.0007473143390938813</v>
      </c>
      <c r="AL92" s="57"/>
      <c r="AM92" s="56"/>
      <c r="AN92" s="57"/>
      <c r="AO92" s="10">
        <v>45241.35</v>
      </c>
      <c r="AP92" s="15">
        <v>0.0007371755789266613</v>
      </c>
      <c r="AQ92" s="11">
        <v>13</v>
      </c>
      <c r="AR92" s="15">
        <v>0.0012052660856666049</v>
      </c>
      <c r="AS92" s="57"/>
      <c r="AT92" s="56"/>
      <c r="AU92" s="57"/>
      <c r="AV92" s="10">
        <v>101192.18</v>
      </c>
      <c r="AW92" s="15">
        <f t="shared" si="50"/>
        <v>0.0018502138367509006</v>
      </c>
      <c r="AX92" s="11">
        <v>14</v>
      </c>
      <c r="AY92" s="15">
        <f t="shared" si="51"/>
        <v>0.001402103154732098</v>
      </c>
      <c r="AZ92" s="57"/>
      <c r="BA92" s="56"/>
      <c r="BB92" s="57"/>
      <c r="BC92" s="10">
        <v>21798.82</v>
      </c>
      <c r="BD92" s="15">
        <v>0.00041774888320715044</v>
      </c>
      <c r="BE92" s="11">
        <v>7</v>
      </c>
      <c r="BF92" s="15">
        <v>0.0007105156313438896</v>
      </c>
      <c r="BG92" s="57"/>
      <c r="BH92" s="56"/>
      <c r="BI92" s="57"/>
      <c r="BJ92" s="10">
        <v>51835.26</v>
      </c>
      <c r="BK92" s="15">
        <v>0.0011499034993888743</v>
      </c>
      <c r="BL92" s="11">
        <v>10</v>
      </c>
      <c r="BM92" s="15">
        <v>0.0011090163025396474</v>
      </c>
      <c r="BN92" s="57"/>
      <c r="BO92" s="56"/>
      <c r="BP92" s="57"/>
      <c r="BQ92" s="10">
        <v>73767.41</v>
      </c>
      <c r="BR92" s="15">
        <v>0.0017813841015235782</v>
      </c>
      <c r="BS92" s="11">
        <v>13</v>
      </c>
      <c r="BT92" s="15">
        <v>0.0015295917166725497</v>
      </c>
      <c r="BU92" s="57"/>
      <c r="BV92" s="56"/>
      <c r="BW92" s="57"/>
      <c r="BX92" s="10">
        <v>29895.91</v>
      </c>
      <c r="BY92" s="15">
        <v>0.0008199054917907171</v>
      </c>
      <c r="BZ92" s="11">
        <v>5</v>
      </c>
      <c r="CA92" s="15">
        <v>0.0006470816617057072</v>
      </c>
      <c r="CB92" s="57"/>
      <c r="CC92" s="56"/>
      <c r="CD92" s="57"/>
      <c r="CE92" s="10">
        <v>71247.84</v>
      </c>
      <c r="CF92" s="15">
        <v>0.002253239968407688</v>
      </c>
      <c r="CG92" s="11">
        <v>11</v>
      </c>
      <c r="CH92" s="15">
        <v>0.0015990696322139846</v>
      </c>
      <c r="CI92" s="57"/>
      <c r="CJ92" s="56"/>
      <c r="CK92" s="57"/>
      <c r="CL92" s="10">
        <v>31153.71</v>
      </c>
      <c r="CM92" s="15">
        <v>0.0007130332961220283</v>
      </c>
      <c r="CN92" s="11">
        <v>7</v>
      </c>
      <c r="CO92" s="15">
        <v>0.0006912214871136566</v>
      </c>
      <c r="CP92" s="57"/>
      <c r="CQ92" s="56"/>
      <c r="CR92" s="57"/>
    </row>
    <row r="93" spans="1:96" ht="12.75">
      <c r="A93" s="9" t="s">
        <v>75</v>
      </c>
      <c r="B93" s="9"/>
      <c r="C93" s="44">
        <v>155920.59</v>
      </c>
      <c r="D93" s="34">
        <f t="shared" si="40"/>
        <v>0.004030155548563569</v>
      </c>
      <c r="E93" s="47">
        <v>35</v>
      </c>
      <c r="F93" s="34">
        <f t="shared" si="41"/>
        <v>0.004174618320610687</v>
      </c>
      <c r="G93" s="34"/>
      <c r="H93" s="34"/>
      <c r="I93" s="10">
        <f>205195.28</f>
        <v>205195.28</v>
      </c>
      <c r="J93" s="15">
        <f t="shared" si="42"/>
        <v>0.00646480503912771</v>
      </c>
      <c r="K93" s="11">
        <v>124</v>
      </c>
      <c r="L93" s="15">
        <f t="shared" si="43"/>
        <v>0.01626442812172088</v>
      </c>
      <c r="M93" s="57"/>
      <c r="N93" s="56"/>
      <c r="O93" s="57"/>
      <c r="P93" s="57"/>
      <c r="Q93" s="34"/>
      <c r="R93" s="10">
        <f>43551.5+42353.09+32294.89</f>
        <v>118199.48</v>
      </c>
      <c r="S93" s="15">
        <f t="shared" si="44"/>
        <v>0.003416736314627988</v>
      </c>
      <c r="T93" s="11">
        <f>11+11+9</f>
        <v>31</v>
      </c>
      <c r="U93" s="15">
        <f t="shared" si="45"/>
        <v>0.0038881224131443624</v>
      </c>
      <c r="V93" s="57"/>
      <c r="W93" s="56"/>
      <c r="X93" s="57"/>
      <c r="Y93" s="34"/>
      <c r="Z93" s="10">
        <f>81285.6+42284.05+37261.31</f>
        <v>160830.96000000002</v>
      </c>
      <c r="AA93" s="15">
        <f t="shared" si="46"/>
        <v>0.00503942318194749</v>
      </c>
      <c r="AB93" s="11">
        <v>30</v>
      </c>
      <c r="AC93" s="15">
        <f t="shared" si="47"/>
        <v>0.0039251602773779926</v>
      </c>
      <c r="AD93" s="57"/>
      <c r="AE93" s="56"/>
      <c r="AF93" s="57"/>
      <c r="AG93" s="57"/>
      <c r="AH93" s="10">
        <v>53648.91</v>
      </c>
      <c r="AI93" s="15">
        <f t="shared" si="48"/>
        <v>0.0009952758822357303</v>
      </c>
      <c r="AJ93" s="11">
        <v>18</v>
      </c>
      <c r="AK93" s="15">
        <f t="shared" si="49"/>
        <v>0.001681457262961233</v>
      </c>
      <c r="AL93" s="57"/>
      <c r="AM93" s="56"/>
      <c r="AN93" s="57"/>
      <c r="AO93" s="10">
        <v>90787.49</v>
      </c>
      <c r="AP93" s="15">
        <v>0.001479317493842436</v>
      </c>
      <c r="AQ93" s="11">
        <v>25</v>
      </c>
      <c r="AR93" s="15">
        <v>0.0023178193955127016</v>
      </c>
      <c r="AS93" s="57"/>
      <c r="AT93" s="56"/>
      <c r="AU93" s="57"/>
      <c r="AV93" s="10">
        <v>49668.56</v>
      </c>
      <c r="AW93" s="15">
        <f t="shared" si="50"/>
        <v>0.0009081478130374533</v>
      </c>
      <c r="AX93" s="11">
        <v>16</v>
      </c>
      <c r="AY93" s="15">
        <f t="shared" si="51"/>
        <v>0.0016024036054081122</v>
      </c>
      <c r="AZ93" s="57"/>
      <c r="BA93" s="56"/>
      <c r="BB93" s="57"/>
      <c r="BC93" s="10">
        <v>173899.06</v>
      </c>
      <c r="BD93" s="15">
        <v>0.0033325720431552374</v>
      </c>
      <c r="BE93" s="11">
        <v>22</v>
      </c>
      <c r="BF93" s="15">
        <v>0.002233049127080796</v>
      </c>
      <c r="BG93" s="57"/>
      <c r="BH93" s="56"/>
      <c r="BI93" s="57"/>
      <c r="BJ93" s="10">
        <v>121547.47</v>
      </c>
      <c r="BK93" s="15">
        <v>0.0026963858403500672</v>
      </c>
      <c r="BL93" s="11">
        <v>17</v>
      </c>
      <c r="BM93" s="15">
        <v>0.0018853277143174004</v>
      </c>
      <c r="BN93" s="57"/>
      <c r="BO93" s="56"/>
      <c r="BP93" s="57"/>
      <c r="BQ93" s="10">
        <v>136492.95</v>
      </c>
      <c r="BR93" s="15">
        <v>0.00329612183889949</v>
      </c>
      <c r="BS93" s="11">
        <v>17</v>
      </c>
      <c r="BT93" s="15">
        <v>0.002000235321802565</v>
      </c>
      <c r="BU93" s="57"/>
      <c r="BV93" s="56"/>
      <c r="BW93" s="57"/>
      <c r="BX93" s="10">
        <v>134256.77</v>
      </c>
      <c r="BY93" s="15">
        <v>0.003682037544034726</v>
      </c>
      <c r="BZ93" s="11">
        <v>23</v>
      </c>
      <c r="CA93" s="15">
        <v>0.002976575643846253</v>
      </c>
      <c r="CB93" s="57"/>
      <c r="CC93" s="56"/>
      <c r="CD93" s="57"/>
      <c r="CE93" s="10">
        <v>119993.75</v>
      </c>
      <c r="CF93" s="15">
        <v>0.0037948478642878163</v>
      </c>
      <c r="CG93" s="11">
        <v>20</v>
      </c>
      <c r="CH93" s="15">
        <v>0.0029073993312981536</v>
      </c>
      <c r="CI93" s="57"/>
      <c r="CJ93" s="56"/>
      <c r="CK93" s="57"/>
      <c r="CL93" s="10">
        <v>111606.35</v>
      </c>
      <c r="CM93" s="15">
        <v>0.0025544002177798</v>
      </c>
      <c r="CN93" s="11">
        <v>16</v>
      </c>
      <c r="CO93" s="15">
        <v>0.0015799348276883578</v>
      </c>
      <c r="CP93" s="57"/>
      <c r="CQ93" s="56"/>
      <c r="CR93" s="57"/>
    </row>
    <row r="94" spans="1:96" ht="12.75">
      <c r="A94" s="9" t="s">
        <v>76</v>
      </c>
      <c r="B94" s="9"/>
      <c r="C94" s="44">
        <v>83650.59</v>
      </c>
      <c r="D94" s="34">
        <f t="shared" si="40"/>
        <v>0.0021621576049007784</v>
      </c>
      <c r="E94" s="47">
        <v>18</v>
      </c>
      <c r="F94" s="34">
        <f t="shared" si="41"/>
        <v>0.0021469465648854963</v>
      </c>
      <c r="G94" s="34"/>
      <c r="H94" s="34"/>
      <c r="I94" s="10">
        <f>70317.78+104473.9</f>
        <v>174791.68</v>
      </c>
      <c r="J94" s="15">
        <f t="shared" si="42"/>
        <v>0.005506920693602689</v>
      </c>
      <c r="K94" s="11">
        <v>75</v>
      </c>
      <c r="L94" s="15">
        <f t="shared" si="43"/>
        <v>0.009837355718782791</v>
      </c>
      <c r="M94" s="57"/>
      <c r="N94" s="56"/>
      <c r="O94" s="57"/>
      <c r="P94" s="57"/>
      <c r="Q94" s="34"/>
      <c r="R94" s="10">
        <f>29659.92+26682.39+27909.33+441464.51</f>
        <v>525716.15</v>
      </c>
      <c r="S94" s="15">
        <f t="shared" si="44"/>
        <v>0.015196627437713047</v>
      </c>
      <c r="T94" s="11">
        <f>6+7+7+715</f>
        <v>735</v>
      </c>
      <c r="U94" s="15">
        <f t="shared" si="45"/>
        <v>0.09218612818261633</v>
      </c>
      <c r="V94" s="57"/>
      <c r="W94" s="56"/>
      <c r="X94" s="57"/>
      <c r="Y94" s="34"/>
      <c r="Z94" s="10">
        <f>8955.99+11890.89+20205.52+539677.81</f>
        <v>580730.2100000001</v>
      </c>
      <c r="AA94" s="15">
        <f t="shared" si="46"/>
        <v>0.01819640498776625</v>
      </c>
      <c r="AB94" s="11">
        <v>1073</v>
      </c>
      <c r="AC94" s="15">
        <f t="shared" si="47"/>
        <v>0.14038989925421955</v>
      </c>
      <c r="AD94" s="57"/>
      <c r="AE94" s="56"/>
      <c r="AF94" s="57"/>
      <c r="AG94" s="57"/>
      <c r="AH94" s="10">
        <v>614338.1</v>
      </c>
      <c r="AI94" s="15">
        <f t="shared" si="48"/>
        <v>0.011396986340794663</v>
      </c>
      <c r="AJ94" s="11">
        <v>1281</v>
      </c>
      <c r="AK94" s="15">
        <f t="shared" si="49"/>
        <v>0.11966370854740775</v>
      </c>
      <c r="AL94" s="57"/>
      <c r="AM94" s="56"/>
      <c r="AN94" s="57"/>
      <c r="AO94" s="10">
        <v>26022.12</v>
      </c>
      <c r="AP94" s="15">
        <v>0.0004240119133469504</v>
      </c>
      <c r="AQ94" s="11">
        <v>10</v>
      </c>
      <c r="AR94" s="15">
        <v>0.0009271277582050807</v>
      </c>
      <c r="AS94" s="57"/>
      <c r="AT94" s="56"/>
      <c r="AU94" s="57"/>
      <c r="AV94" s="10">
        <v>41178.65</v>
      </c>
      <c r="AW94" s="15">
        <f t="shared" si="50"/>
        <v>0.0007529169547362502</v>
      </c>
      <c r="AX94" s="11">
        <v>11</v>
      </c>
      <c r="AY94" s="15">
        <f t="shared" si="51"/>
        <v>0.0011016524787180772</v>
      </c>
      <c r="AZ94" s="57"/>
      <c r="BA94" s="56"/>
      <c r="BB94" s="57"/>
      <c r="BC94" s="10">
        <v>22852</v>
      </c>
      <c r="BD94" s="15">
        <v>0.0004379318458086173</v>
      </c>
      <c r="BE94" s="11">
        <v>7</v>
      </c>
      <c r="BF94" s="15">
        <v>0.0007105156313438896</v>
      </c>
      <c r="BG94" s="57"/>
      <c r="BH94" s="56"/>
      <c r="BI94" s="57"/>
      <c r="BJ94" s="10">
        <v>126823.38</v>
      </c>
      <c r="BK94" s="15">
        <v>0.0028134256192855014</v>
      </c>
      <c r="BL94" s="11">
        <v>14</v>
      </c>
      <c r="BM94" s="15">
        <v>0.0015526228235555064</v>
      </c>
      <c r="BN94" s="57"/>
      <c r="BO94" s="56"/>
      <c r="BP94" s="57"/>
      <c r="BQ94" s="10">
        <v>71490.14</v>
      </c>
      <c r="BR94" s="15">
        <v>0.0017263910826162234</v>
      </c>
      <c r="BS94" s="11">
        <v>10</v>
      </c>
      <c r="BT94" s="15">
        <v>0.0011766090128250382</v>
      </c>
      <c r="BU94" s="57"/>
      <c r="BV94" s="56"/>
      <c r="BW94" s="57"/>
      <c r="BX94" s="10">
        <v>118259.43</v>
      </c>
      <c r="BY94" s="15">
        <v>0.0032433050578838337</v>
      </c>
      <c r="BZ94" s="11">
        <v>13</v>
      </c>
      <c r="CA94" s="15">
        <v>0.001682412320434839</v>
      </c>
      <c r="CB94" s="57"/>
      <c r="CC94" s="56"/>
      <c r="CD94" s="57"/>
      <c r="CE94" s="10">
        <v>91772.02</v>
      </c>
      <c r="CF94" s="15">
        <v>0.002902324946910808</v>
      </c>
      <c r="CG94" s="11">
        <v>15</v>
      </c>
      <c r="CH94" s="15">
        <v>0.002180549498473615</v>
      </c>
      <c r="CI94" s="57"/>
      <c r="CJ94" s="56"/>
      <c r="CK94" s="57"/>
      <c r="CL94" s="10">
        <v>53540.54</v>
      </c>
      <c r="CM94" s="15">
        <v>0.0012254138499829812</v>
      </c>
      <c r="CN94" s="11">
        <v>10</v>
      </c>
      <c r="CO94" s="15">
        <v>0.0009874592673052237</v>
      </c>
      <c r="CP94" s="57"/>
      <c r="CQ94" s="56"/>
      <c r="CR94" s="57"/>
    </row>
    <row r="95" spans="1:96" ht="12.75">
      <c r="A95" s="9" t="s">
        <v>47</v>
      </c>
      <c r="B95" s="9"/>
      <c r="C95" s="44">
        <v>589012.51</v>
      </c>
      <c r="D95" s="34">
        <f t="shared" si="40"/>
        <v>0.015224493669180286</v>
      </c>
      <c r="E95" s="47">
        <v>93</v>
      </c>
      <c r="F95" s="34">
        <f t="shared" si="41"/>
        <v>0.011092557251908396</v>
      </c>
      <c r="G95" s="34"/>
      <c r="H95" s="34"/>
      <c r="I95" s="10">
        <v>498828.49</v>
      </c>
      <c r="J95" s="15">
        <f t="shared" si="42"/>
        <v>0.0157159021192518</v>
      </c>
      <c r="K95" s="11">
        <v>87</v>
      </c>
      <c r="L95" s="15">
        <f t="shared" si="43"/>
        <v>0.011411332633788037</v>
      </c>
      <c r="M95" s="57"/>
      <c r="N95" s="56"/>
      <c r="O95" s="57"/>
      <c r="P95" s="57"/>
      <c r="Q95" s="34"/>
      <c r="R95" s="10">
        <v>483829.08</v>
      </c>
      <c r="S95" s="15">
        <f t="shared" si="44"/>
        <v>0.013985817769325636</v>
      </c>
      <c r="T95" s="11">
        <v>86</v>
      </c>
      <c r="U95" s="15">
        <f t="shared" si="45"/>
        <v>0.01078640411388436</v>
      </c>
      <c r="V95" s="57"/>
      <c r="W95" s="56"/>
      <c r="X95" s="92"/>
      <c r="Y95" s="34"/>
      <c r="Z95" s="10">
        <v>420640.78</v>
      </c>
      <c r="AA95" s="15">
        <f t="shared" si="46"/>
        <v>0.013180216657318182</v>
      </c>
      <c r="AB95" s="11">
        <v>76</v>
      </c>
      <c r="AC95" s="15">
        <f t="shared" si="47"/>
        <v>0.009943739369357583</v>
      </c>
      <c r="AD95" s="57"/>
      <c r="AE95" s="56"/>
      <c r="AF95" s="92"/>
      <c r="AG95" s="92"/>
      <c r="AH95" s="10">
        <v>368060.78</v>
      </c>
      <c r="AI95" s="15">
        <f t="shared" si="48"/>
        <v>0.006828135325226012</v>
      </c>
      <c r="AJ95" s="11">
        <v>70</v>
      </c>
      <c r="AK95" s="15">
        <f>+AJ95/$AJ$97</f>
        <v>0.006539000467071462</v>
      </c>
      <c r="AL95" s="57"/>
      <c r="AM95" s="56"/>
      <c r="AN95" s="92"/>
      <c r="AO95" s="10">
        <v>409941.34</v>
      </c>
      <c r="AP95" s="15">
        <v>0.006679702189268699</v>
      </c>
      <c r="AQ95" s="11">
        <v>67</v>
      </c>
      <c r="AR95" s="15">
        <v>0.0062117559799740405</v>
      </c>
      <c r="AS95" s="57"/>
      <c r="AT95" s="56"/>
      <c r="AU95" s="92"/>
      <c r="AV95" s="10">
        <v>285066.49</v>
      </c>
      <c r="AW95" s="15">
        <f t="shared" si="50"/>
        <v>0.005212200826111388</v>
      </c>
      <c r="AX95" s="11">
        <v>43</v>
      </c>
      <c r="AY95" s="15">
        <f t="shared" si="51"/>
        <v>0.0043064596895343015</v>
      </c>
      <c r="AZ95" s="57"/>
      <c r="BA95" s="56"/>
      <c r="BB95" s="92"/>
      <c r="BC95" s="10">
        <v>260520.92</v>
      </c>
      <c r="BD95" s="15">
        <v>0.004992578652518778</v>
      </c>
      <c r="BE95" s="11">
        <v>39</v>
      </c>
      <c r="BF95" s="15">
        <v>0.003958587088915956</v>
      </c>
      <c r="BG95" s="57"/>
      <c r="BH95" s="56"/>
      <c r="BI95" s="92"/>
      <c r="BJ95" s="10">
        <v>215439.57</v>
      </c>
      <c r="BK95" s="15">
        <v>0.0047792702390194305</v>
      </c>
      <c r="BL95" s="11">
        <v>31</v>
      </c>
      <c r="BM95" s="15">
        <v>0.0034379505378729068</v>
      </c>
      <c r="BN95" s="57"/>
      <c r="BO95" s="56"/>
      <c r="BP95" s="92"/>
      <c r="BQ95" s="10">
        <v>273697.38</v>
      </c>
      <c r="BR95" s="15">
        <v>0.006609424966399897</v>
      </c>
      <c r="BS95" s="11">
        <v>32</v>
      </c>
      <c r="BT95" s="15">
        <v>0.0037651488410401224</v>
      </c>
      <c r="BU95" s="57"/>
      <c r="BV95" s="56"/>
      <c r="BW95" s="92"/>
      <c r="BX95" s="10">
        <v>287428.08</v>
      </c>
      <c r="BY95" s="15">
        <v>0.007882812775622536</v>
      </c>
      <c r="BZ95" s="11">
        <v>31</v>
      </c>
      <c r="CA95" s="15">
        <v>0.004011906302575385</v>
      </c>
      <c r="CB95" s="57"/>
      <c r="CC95" s="56"/>
      <c r="CD95" s="92"/>
      <c r="CE95" s="10">
        <v>308072.32</v>
      </c>
      <c r="CF95" s="15">
        <v>0.009742903989567732</v>
      </c>
      <c r="CG95" s="11">
        <v>32</v>
      </c>
      <c r="CH95" s="15">
        <v>0.004651838930077046</v>
      </c>
      <c r="CI95" s="57"/>
      <c r="CJ95" s="56"/>
      <c r="CK95" s="92"/>
      <c r="CL95" s="10">
        <v>339515.5</v>
      </c>
      <c r="CM95" s="15">
        <v>0.007770691068560329</v>
      </c>
      <c r="CN95" s="11">
        <v>34</v>
      </c>
      <c r="CO95" s="15">
        <v>0.0033573615088377602</v>
      </c>
      <c r="CP95" s="57"/>
      <c r="CQ95" s="56"/>
      <c r="CR95" s="92"/>
    </row>
    <row r="96" spans="1:96" ht="12.75">
      <c r="A96" s="9"/>
      <c r="B96" s="9"/>
      <c r="C96" s="44"/>
      <c r="D96" s="34"/>
      <c r="E96" s="47"/>
      <c r="F96" s="34"/>
      <c r="G96" s="34"/>
      <c r="H96" s="34"/>
      <c r="I96" s="10"/>
      <c r="J96" s="9"/>
      <c r="K96" s="11"/>
      <c r="L96" s="9"/>
      <c r="M96" s="55"/>
      <c r="N96" s="56"/>
      <c r="O96" s="55"/>
      <c r="P96" s="55"/>
      <c r="Q96" s="34"/>
      <c r="R96" s="10"/>
      <c r="S96" s="9"/>
      <c r="T96" s="11"/>
      <c r="U96" s="9"/>
      <c r="V96" s="55"/>
      <c r="W96" s="56"/>
      <c r="X96" s="55"/>
      <c r="Y96" s="34"/>
      <c r="Z96" s="10"/>
      <c r="AA96" s="9"/>
      <c r="AB96" s="11"/>
      <c r="AC96" s="9"/>
      <c r="AD96" s="55"/>
      <c r="AE96" s="56"/>
      <c r="AF96" s="55"/>
      <c r="AG96" s="55"/>
      <c r="AH96" s="10"/>
      <c r="AI96" s="9"/>
      <c r="AJ96" s="11"/>
      <c r="AK96" s="9"/>
      <c r="AL96" s="55"/>
      <c r="AM96" s="56"/>
      <c r="AN96" s="55"/>
      <c r="AO96" s="10"/>
      <c r="AP96" s="9"/>
      <c r="AQ96" s="11"/>
      <c r="AR96" s="9"/>
      <c r="AS96" s="55"/>
      <c r="AT96" s="56"/>
      <c r="AU96" s="55"/>
      <c r="AV96" s="10"/>
      <c r="AW96" s="9"/>
      <c r="AX96" s="11"/>
      <c r="AY96" s="9"/>
      <c r="AZ96" s="55"/>
      <c r="BA96" s="56"/>
      <c r="BB96" s="55"/>
      <c r="BC96" s="10"/>
      <c r="BD96" s="9"/>
      <c r="BE96" s="11"/>
      <c r="BF96" s="9"/>
      <c r="BG96" s="55"/>
      <c r="BH96" s="56"/>
      <c r="BI96" s="55"/>
      <c r="BJ96" s="10"/>
      <c r="BK96" s="9"/>
      <c r="BL96" s="11"/>
      <c r="BM96" s="9"/>
      <c r="BN96" s="55"/>
      <c r="BO96" s="56"/>
      <c r="BP96" s="55"/>
      <c r="BQ96" s="10"/>
      <c r="BR96" s="9"/>
      <c r="BS96" s="11"/>
      <c r="BT96" s="9"/>
      <c r="BU96" s="55"/>
      <c r="BV96" s="56"/>
      <c r="BW96" s="55"/>
      <c r="BX96" s="10"/>
      <c r="BY96" s="9"/>
      <c r="BZ96" s="11"/>
      <c r="CA96" s="9"/>
      <c r="CB96" s="55"/>
      <c r="CC96" s="56"/>
      <c r="CD96" s="55"/>
      <c r="CE96" s="10"/>
      <c r="CF96" s="9"/>
      <c r="CG96" s="11"/>
      <c r="CH96" s="9"/>
      <c r="CI96" s="55"/>
      <c r="CJ96" s="56"/>
      <c r="CK96" s="55"/>
      <c r="CL96" s="10"/>
      <c r="CM96" s="9"/>
      <c r="CN96" s="11"/>
      <c r="CO96" s="9"/>
      <c r="CP96" s="55"/>
      <c r="CQ96" s="56"/>
      <c r="CR96" s="55"/>
    </row>
    <row r="97" spans="1:96" ht="13.5" thickBot="1">
      <c r="A97" s="9"/>
      <c r="B97" s="9"/>
      <c r="C97" s="82">
        <f>SUM(C87:C95)</f>
        <v>38688479.41999988</v>
      </c>
      <c r="D97" s="34"/>
      <c r="E97" s="83">
        <f>SUM(E87:E95)</f>
        <v>8384</v>
      </c>
      <c r="F97" s="34"/>
      <c r="G97" s="34"/>
      <c r="H97" s="34"/>
      <c r="I97" s="22">
        <f>SUM(I87:I95)</f>
        <v>31740366.3000001</v>
      </c>
      <c r="J97" s="13"/>
      <c r="K97" s="23">
        <f>SUM(K87:K95)</f>
        <v>7624</v>
      </c>
      <c r="L97" s="24"/>
      <c r="M97" s="54"/>
      <c r="N97" s="32"/>
      <c r="O97" s="58"/>
      <c r="P97" s="58"/>
      <c r="Q97" s="34"/>
      <c r="R97" s="22">
        <f>SUM(R87:R95)</f>
        <v>34594264.559999995</v>
      </c>
      <c r="S97" s="13"/>
      <c r="T97" s="23">
        <f>SUM(T87:T95)</f>
        <v>7973</v>
      </c>
      <c r="U97" s="24"/>
      <c r="V97" s="54"/>
      <c r="W97" s="32"/>
      <c r="X97" s="58"/>
      <c r="Y97" s="34"/>
      <c r="Z97" s="22">
        <f>SUM(Z87:Z95)</f>
        <v>31914557.320000008</v>
      </c>
      <c r="AA97" s="13"/>
      <c r="AB97" s="23">
        <f>SUM(AB87:AB95)</f>
        <v>7643</v>
      </c>
      <c r="AC97" s="24"/>
      <c r="AD97" s="54"/>
      <c r="AE97" s="32"/>
      <c r="AF97" s="58"/>
      <c r="AG97" s="58"/>
      <c r="AH97" s="22">
        <f>SUM(AH87:AH95)</f>
        <v>53903556.75</v>
      </c>
      <c r="AI97" s="13"/>
      <c r="AJ97" s="23">
        <f>SUM(AJ87:AJ95)</f>
        <v>10705</v>
      </c>
      <c r="AK97" s="24"/>
      <c r="AL97" s="54"/>
      <c r="AM97" s="32"/>
      <c r="AN97" s="58"/>
      <c r="AO97" s="22">
        <f>SUM(AO87:AO95)</f>
        <v>61371200.14999964</v>
      </c>
      <c r="AP97" s="13"/>
      <c r="AQ97" s="23">
        <f>SUM(AQ87:AQ95)</f>
        <v>10786</v>
      </c>
      <c r="AR97" s="24"/>
      <c r="AS97" s="54"/>
      <c r="AT97" s="32"/>
      <c r="AU97" s="58"/>
      <c r="AV97" s="22">
        <f>SUM(AV87:AV95)</f>
        <v>54692153.949999765</v>
      </c>
      <c r="AW97" s="13"/>
      <c r="AX97" s="23">
        <f>SUM(AX87:AX95)</f>
        <v>9985</v>
      </c>
      <c r="AY97" s="24"/>
      <c r="AZ97" s="54"/>
      <c r="BA97" s="32"/>
      <c r="BB97" s="58"/>
      <c r="BC97" s="22">
        <f>SUM(BC87:BC95)</f>
        <v>52181635.61000006</v>
      </c>
      <c r="BD97" s="13"/>
      <c r="BE97" s="23">
        <f>SUM(BE87:BE95)</f>
        <v>9852</v>
      </c>
      <c r="BF97" s="24"/>
      <c r="BG97" s="54"/>
      <c r="BH97" s="32"/>
      <c r="BI97" s="58"/>
      <c r="BJ97" s="22">
        <f>SUM(BJ87:BJ95)</f>
        <v>45077921.780000046</v>
      </c>
      <c r="BK97" s="13"/>
      <c r="BL97" s="23">
        <f>SUM(BL87:BL95)</f>
        <v>9017</v>
      </c>
      <c r="BM97" s="24"/>
      <c r="BN97" s="54"/>
      <c r="BO97" s="32"/>
      <c r="BP97" s="58"/>
      <c r="BQ97" s="22">
        <f>SUM(BQ87:BQ95)</f>
        <v>41410165.23999983</v>
      </c>
      <c r="BR97" s="13"/>
      <c r="BS97" s="23">
        <f>SUM(BS87:BS95)</f>
        <v>8507</v>
      </c>
      <c r="BT97" s="24"/>
      <c r="BU97" s="54"/>
      <c r="BV97" s="32"/>
      <c r="BW97" s="58"/>
      <c r="BX97" s="22">
        <f>SUM(BX87:BX95)</f>
        <v>36462629.28999993</v>
      </c>
      <c r="BY97" s="13"/>
      <c r="BZ97" s="23">
        <f>SUM(BZ87:BZ95)</f>
        <v>7727</v>
      </c>
      <c r="CA97" s="24"/>
      <c r="CB97" s="54"/>
      <c r="CC97" s="32"/>
      <c r="CD97" s="58"/>
      <c r="CE97" s="22">
        <f>SUM(CE87:CE95)</f>
        <v>31620174.06</v>
      </c>
      <c r="CF97" s="13"/>
      <c r="CG97" s="23">
        <f>SUM(CG87:CG95)</f>
        <v>6879</v>
      </c>
      <c r="CH97" s="24"/>
      <c r="CI97" s="54"/>
      <c r="CJ97" s="32"/>
      <c r="CK97" s="58"/>
      <c r="CL97" s="22">
        <f>SUM(CL87:CL95)</f>
        <v>43691802.56999999</v>
      </c>
      <c r="CM97" s="13"/>
      <c r="CN97" s="23">
        <f>SUM(CN87:CN95)</f>
        <v>10127</v>
      </c>
      <c r="CO97" s="24"/>
      <c r="CP97" s="54"/>
      <c r="CQ97" s="32"/>
      <c r="CR97" s="58"/>
    </row>
    <row r="98" spans="1:96" ht="13.5" thickTop="1">
      <c r="A98" s="9"/>
      <c r="B98" s="9"/>
      <c r="C98" s="9"/>
      <c r="D98" s="9"/>
      <c r="E98" s="9"/>
      <c r="F98" s="9"/>
      <c r="G98" s="9"/>
      <c r="H98" s="9"/>
      <c r="I98" s="13"/>
      <c r="J98" s="9"/>
      <c r="K98" s="9"/>
      <c r="L98" s="10"/>
      <c r="M98" s="55"/>
      <c r="N98" s="56"/>
      <c r="O98" s="55"/>
      <c r="P98" s="55"/>
      <c r="Q98" s="9"/>
      <c r="R98" s="13"/>
      <c r="S98" s="9"/>
      <c r="T98" s="9"/>
      <c r="U98" s="10"/>
      <c r="V98" s="55"/>
      <c r="W98" s="56"/>
      <c r="X98" s="55"/>
      <c r="Y98" s="9"/>
      <c r="Z98" s="13"/>
      <c r="AA98" s="9"/>
      <c r="AB98" s="9"/>
      <c r="AC98" s="10"/>
      <c r="AD98" s="55"/>
      <c r="AE98" s="56"/>
      <c r="AF98" s="55"/>
      <c r="AG98" s="55"/>
      <c r="AH98" s="13"/>
      <c r="AI98" s="9"/>
      <c r="AJ98" s="9"/>
      <c r="AK98" s="10"/>
      <c r="AL98" s="55"/>
      <c r="AM98" s="56"/>
      <c r="AN98" s="55"/>
      <c r="AO98" s="13"/>
      <c r="AP98" s="9"/>
      <c r="AQ98" s="9"/>
      <c r="AR98" s="10"/>
      <c r="AS98" s="55"/>
      <c r="AT98" s="56"/>
      <c r="AU98" s="55"/>
      <c r="AV98" s="13"/>
      <c r="AW98" s="9"/>
      <c r="AX98" s="9"/>
      <c r="AY98" s="10"/>
      <c r="AZ98" s="55"/>
      <c r="BA98" s="56"/>
      <c r="BB98" s="55"/>
      <c r="BC98" s="13"/>
      <c r="BD98" s="9"/>
      <c r="BE98" s="9"/>
      <c r="BF98" s="10"/>
      <c r="BG98" s="55"/>
      <c r="BH98" s="56"/>
      <c r="BI98" s="55"/>
      <c r="BJ98" s="13"/>
      <c r="BK98" s="9"/>
      <c r="BL98" s="9"/>
      <c r="BM98" s="10"/>
      <c r="BN98" s="55"/>
      <c r="BO98" s="56"/>
      <c r="BP98" s="55"/>
      <c r="BQ98" s="13"/>
      <c r="BR98" s="9"/>
      <c r="BS98" s="9"/>
      <c r="BT98" s="10"/>
      <c r="BU98" s="55"/>
      <c r="BV98" s="56"/>
      <c r="BW98" s="55"/>
      <c r="BX98" s="13"/>
      <c r="BY98" s="9"/>
      <c r="BZ98" s="9"/>
      <c r="CA98" s="10"/>
      <c r="CB98" s="55"/>
      <c r="CC98" s="56"/>
      <c r="CD98" s="55"/>
      <c r="CE98" s="13"/>
      <c r="CF98" s="9"/>
      <c r="CG98" s="9"/>
      <c r="CH98" s="10"/>
      <c r="CI98" s="55"/>
      <c r="CJ98" s="56"/>
      <c r="CK98" s="55"/>
      <c r="CL98" s="13"/>
      <c r="CM98" s="9"/>
      <c r="CN98" s="9"/>
      <c r="CO98" s="10"/>
      <c r="CP98" s="55"/>
      <c r="CQ98" s="56"/>
      <c r="CR98" s="55"/>
    </row>
    <row r="99" spans="1:9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10"/>
      <c r="M99" s="9"/>
      <c r="N99" s="11"/>
      <c r="O99" s="9"/>
      <c r="P99" s="9"/>
      <c r="Q99" s="9"/>
      <c r="R99" s="9"/>
      <c r="S99" s="9"/>
      <c r="T99" s="9"/>
      <c r="U99" s="10"/>
      <c r="V99" s="9"/>
      <c r="W99" s="11"/>
      <c r="X99" s="9"/>
      <c r="Y99" s="9"/>
      <c r="Z99" s="9"/>
      <c r="AA99" s="9"/>
      <c r="AB99" s="9"/>
      <c r="AC99" s="10"/>
      <c r="AD99" s="9"/>
      <c r="AE99" s="11"/>
      <c r="AF99" s="9"/>
      <c r="AG99" s="9"/>
      <c r="AH99" s="9"/>
      <c r="AI99" s="9"/>
      <c r="AJ99" s="9"/>
      <c r="AK99" s="10"/>
      <c r="AL99" s="9"/>
      <c r="AM99" s="11"/>
      <c r="AN99" s="9"/>
      <c r="AO99" s="9"/>
      <c r="AP99" s="9"/>
      <c r="AQ99" s="9"/>
      <c r="AR99" s="10"/>
      <c r="AS99" s="9"/>
      <c r="AT99" s="11"/>
      <c r="AU99" s="9"/>
      <c r="AV99" s="9"/>
      <c r="AW99" s="9"/>
      <c r="AX99" s="9"/>
      <c r="AY99" s="10"/>
      <c r="AZ99" s="9"/>
      <c r="BA99" s="11"/>
      <c r="BB99" s="9"/>
      <c r="BC99" s="9"/>
      <c r="BD99" s="9"/>
      <c r="BE99" s="9"/>
      <c r="BF99" s="10"/>
      <c r="BG99" s="9"/>
      <c r="BH99" s="11"/>
      <c r="BI99" s="9"/>
      <c r="BJ99" s="9"/>
      <c r="BK99" s="9"/>
      <c r="BL99" s="9"/>
      <c r="BM99" s="10"/>
      <c r="BN99" s="9"/>
      <c r="BO99" s="11"/>
      <c r="BP99" s="9"/>
      <c r="BQ99" s="9"/>
      <c r="BR99" s="9"/>
      <c r="BS99" s="9"/>
      <c r="BT99" s="10"/>
      <c r="BU99" s="9"/>
      <c r="BV99" s="11"/>
      <c r="BW99" s="9"/>
      <c r="BX99" s="9"/>
      <c r="BY99" s="9"/>
      <c r="BZ99" s="9"/>
      <c r="CA99" s="10"/>
      <c r="CB99" s="9"/>
      <c r="CC99" s="11"/>
      <c r="CD99" s="9"/>
      <c r="CE99" s="9"/>
      <c r="CF99" s="9"/>
      <c r="CG99" s="9"/>
      <c r="CH99" s="10"/>
      <c r="CI99" s="9"/>
      <c r="CJ99" s="11"/>
      <c r="CK99" s="9"/>
      <c r="CL99" s="9"/>
      <c r="CM99" s="9"/>
      <c r="CN99" s="9"/>
      <c r="CO99" s="10"/>
      <c r="CP99" s="9"/>
      <c r="CQ99" s="11"/>
      <c r="CR99" s="9"/>
    </row>
    <row r="101" ht="12.75">
      <c r="AQ101" s="7"/>
    </row>
    <row r="102" spans="3:5" ht="12.75">
      <c r="C102" s="84"/>
      <c r="E102" s="85"/>
    </row>
    <row r="104" ht="12.75">
      <c r="C104" s="84"/>
    </row>
    <row r="105" ht="12.75">
      <c r="K105" s="91"/>
    </row>
    <row r="106" ht="12.75">
      <c r="C106" s="84"/>
    </row>
  </sheetData>
  <mergeCells count="26">
    <mergeCell ref="Z1:AF1"/>
    <mergeCell ref="Z4:AF4"/>
    <mergeCell ref="R1:X1"/>
    <mergeCell ref="R4:X4"/>
    <mergeCell ref="A1:G1"/>
    <mergeCell ref="A4:G4"/>
    <mergeCell ref="I4:O4"/>
    <mergeCell ref="I1:O1"/>
    <mergeCell ref="BJ1:BP1"/>
    <mergeCell ref="BJ4:BP4"/>
    <mergeCell ref="AV1:BB1"/>
    <mergeCell ref="AV4:BB4"/>
    <mergeCell ref="BC1:BI1"/>
    <mergeCell ref="BC4:BI4"/>
    <mergeCell ref="AH1:AN1"/>
    <mergeCell ref="AH4:AN4"/>
    <mergeCell ref="AO1:AU1"/>
    <mergeCell ref="AO4:AU4"/>
    <mergeCell ref="BX1:CD1"/>
    <mergeCell ref="BX4:CD4"/>
    <mergeCell ref="BQ1:BW1"/>
    <mergeCell ref="BQ4:BW4"/>
    <mergeCell ref="CL1:CR1"/>
    <mergeCell ref="CL4:CR4"/>
    <mergeCell ref="CE1:CK1"/>
    <mergeCell ref="CE4:CK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13" r:id="rId1"/>
  <rowBreaks count="1" manualBreakCount="1">
    <brk id="99" max="18" man="1"/>
  </rowBreaks>
  <colBreaks count="1" manualBreakCount="1">
    <brk id="3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Jimmy Giles</cp:lastModifiedBy>
  <cp:lastPrinted>2004-07-16T15:29:14Z</cp:lastPrinted>
  <dcterms:created xsi:type="dcterms:W3CDTF">2001-03-19T09:33:28Z</dcterms:created>
  <dcterms:modified xsi:type="dcterms:W3CDTF">2005-01-20T14:17:00Z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