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360" windowWidth="12120" windowHeight="9000" firstSheet="3" activeTab="12"/>
  </bookViews>
  <sheets>
    <sheet name="March 02" sheetId="1" r:id="rId1"/>
    <sheet name="June 02" sheetId="2" r:id="rId2"/>
    <sheet name="Sept 02" sheetId="3" r:id="rId3"/>
    <sheet name="Dec 02" sheetId="4" r:id="rId4"/>
    <sheet name="Mar 03" sheetId="5" r:id="rId5"/>
    <sheet name="June 03" sheetId="6" r:id="rId6"/>
    <sheet name="Sept 03" sheetId="7" r:id="rId7"/>
    <sheet name="Dec 03" sheetId="8" r:id="rId8"/>
    <sheet name="Mar 04" sheetId="9" r:id="rId9"/>
    <sheet name="June 04" sheetId="10" r:id="rId10"/>
    <sheet name="Sept 04" sheetId="11" r:id="rId11"/>
    <sheet name="Dec 04" sheetId="12" r:id="rId12"/>
    <sheet name="Mar 05" sheetId="13" r:id="rId13"/>
  </sheets>
  <definedNames>
    <definedName name="PAGE1" localSheetId="7">'Dec 03'!$A$1:$M$52</definedName>
    <definedName name="PAGE1" localSheetId="11">'Dec 04'!$A$1:$M$52</definedName>
    <definedName name="PAGE1" localSheetId="9">'June 04'!$A$1:$M$52</definedName>
    <definedName name="PAGE1" localSheetId="8">'Mar 04'!$A$1:$M$52</definedName>
    <definedName name="PAGE1" localSheetId="12">'Mar 05'!$A$1:$M$52</definedName>
    <definedName name="PAGE1" localSheetId="6">'Sept 03'!$A$1:$M$52</definedName>
    <definedName name="PAGE1" localSheetId="10">'Sept 04'!$A$1:$M$52</definedName>
    <definedName name="PAGE1">'June 03'!$A$1:$M$52</definedName>
    <definedName name="PAGE2" localSheetId="7">'Dec 03'!$A$53:$M$98</definedName>
    <definedName name="PAGE2" localSheetId="11">'Dec 04'!$A$53:$M$98</definedName>
    <definedName name="PAGE2" localSheetId="9">'June 04'!$A$53:$M$98</definedName>
    <definedName name="PAGE2" localSheetId="8">'Mar 04'!$A$53:$M$98</definedName>
    <definedName name="PAGE2" localSheetId="12">'Mar 05'!$A$53:$M$108</definedName>
    <definedName name="PAGE2" localSheetId="6">'Sept 03'!$A$53:$M$98</definedName>
    <definedName name="PAGE2" localSheetId="10">'Sept 04'!$A$53:$M$98</definedName>
    <definedName name="PAGE2">'June 03'!$A$53:$M$98</definedName>
    <definedName name="PAGE3" localSheetId="7">'Dec 03'!$A$99:$M$146</definedName>
    <definedName name="PAGE3" localSheetId="11">'Dec 04'!$A$99:$M$146</definedName>
    <definedName name="PAGE3" localSheetId="9">'June 04'!$A$99:$M$146</definedName>
    <definedName name="PAGE3" localSheetId="8">'Mar 04'!$A$99:$M$146</definedName>
    <definedName name="PAGE3" localSheetId="12">'Mar 05'!$A$109:$M$157</definedName>
    <definedName name="PAGE3" localSheetId="6">'Sept 03'!$A$99:$M$146</definedName>
    <definedName name="PAGE3" localSheetId="10">'Sept 04'!$A$99:$M$146</definedName>
    <definedName name="PAGE3">'June 03'!$A$99:$M$146</definedName>
    <definedName name="PAGE4" localSheetId="7">'Dec 03'!$A$147:$M$207</definedName>
    <definedName name="PAGE4" localSheetId="11">'Dec 04'!$A$147:$M$208</definedName>
    <definedName name="PAGE4" localSheetId="9">'June 04'!$A$147:$M$207</definedName>
    <definedName name="PAGE4" localSheetId="8">'Mar 04'!$A$147:$M$207</definedName>
    <definedName name="PAGE4" localSheetId="12">'Mar 05'!$A$158:$M$219</definedName>
    <definedName name="PAGE4" localSheetId="6">'Sept 03'!$A$147:$M$207</definedName>
    <definedName name="PAGE4" localSheetId="10">'Sept 04'!$A$147:$M$208</definedName>
    <definedName name="PAGE4">'June 03'!$A$147:$M$207</definedName>
    <definedName name="_xlnm.Print_Area" localSheetId="3">'Dec 02'!$A$1:$N$209</definedName>
    <definedName name="_xlnm.Print_Area" localSheetId="7">'Dec 03'!$A$1:$N$208</definedName>
    <definedName name="_xlnm.Print_Area" localSheetId="11">'Dec 04'!$A$1:$N$209</definedName>
    <definedName name="_xlnm.Print_Area" localSheetId="1">'June 02'!$A$1:$N$209</definedName>
    <definedName name="_xlnm.Print_Area" localSheetId="5">'June 03'!$A$1:$N$208</definedName>
    <definedName name="_xlnm.Print_Area" localSheetId="9">'June 04'!$A$1:$N$208</definedName>
    <definedName name="_xlnm.Print_Area" localSheetId="4">'Mar 03'!$A$1:$N$209</definedName>
    <definedName name="_xlnm.Print_Area" localSheetId="8">'Mar 04'!$A$1:$N$208</definedName>
    <definedName name="_xlnm.Print_Area" localSheetId="12">'Mar 05'!$A$1:$N$220</definedName>
    <definedName name="_xlnm.Print_Area" localSheetId="0">'March 02'!$A$1:$N$210</definedName>
    <definedName name="_xlnm.Print_Area" localSheetId="2">'Sept 02'!$A$1:$N$210</definedName>
    <definedName name="_xlnm.Print_Area" localSheetId="6">'Sept 03'!$A$1:$N$208</definedName>
    <definedName name="_xlnm.Print_Area" localSheetId="10">'Sept 04'!$A$1:$N$209</definedName>
    <definedName name="_xlnm.Print_Area">'June 03'!$A$147:$M$207</definedName>
  </definedNames>
  <calcPr calcMode="autoNoTable" fullCalcOnLoad="1" iterate="1" iterateCount="1" iterateDelta="0"/>
</workbook>
</file>

<file path=xl/sharedStrings.xml><?xml version="1.0" encoding="utf-8"?>
<sst xmlns="http://schemas.openxmlformats.org/spreadsheetml/2006/main" count="3295" uniqueCount="222">
  <si>
    <t>Paragon Personal and Auto Finance (No.2) PLC</t>
  </si>
  <si>
    <t>N.B. This data fact sheet and its notes can only be a summary of certain features of the bonds and their structure. No representation can be made that the information herein is accurate or complete and no liability is accepted therefor. Reference should be made to the issue</t>
  </si>
  <si>
    <t>documentation for a full description of the bonds and their structure. This data fact sheet and its notes are for information purposes only and are not intended as an offer or invitation with respect to the purchase or sale of any security. Reliance should not be placed</t>
  </si>
  <si>
    <t>on the information herein when making any decision whether to buy, hold or sell bonds (or other securities) or for any other purpose.</t>
  </si>
  <si>
    <t>Summary Transaction  Features</t>
  </si>
  <si>
    <t>Name of Issuer</t>
  </si>
  <si>
    <t>Asset  % at Closing</t>
  </si>
  <si>
    <t xml:space="preserve">Asset  % at the Quarter End </t>
  </si>
  <si>
    <t>Date of Issue</t>
  </si>
  <si>
    <t>Date of Production</t>
  </si>
  <si>
    <t>Security Level Data</t>
  </si>
  <si>
    <t>Moody's Rating at Closing</t>
  </si>
  <si>
    <t>Standard &amp; Poors  Rating at Closing</t>
  </si>
  <si>
    <t>Fitch Rating at Closing</t>
  </si>
  <si>
    <t>Current Moody's Rating</t>
  </si>
  <si>
    <t>Current Standard &amp; Poors Rating</t>
  </si>
  <si>
    <t>Current Fitch Rating</t>
  </si>
  <si>
    <t>ISIN</t>
  </si>
  <si>
    <t>Original Issue Amount (£'000)</t>
  </si>
  <si>
    <t>Previous Outstanding Note Principal</t>
  </si>
  <si>
    <t>Outstanding Note Principal</t>
  </si>
  <si>
    <t xml:space="preserve">Note Interest Margins: </t>
  </si>
  <si>
    <t>Current Note Interest Rates: (LIBOR + Note margins)</t>
  </si>
  <si>
    <t>Previous Note Interest Rates: (LIBOR + Note margins)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</si>
  <si>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</si>
  <si>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</si>
  <si>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</si>
  <si>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</si>
  <si>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</si>
  <si>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</si>
  <si>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</si>
  <si>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</si>
  <si>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</si>
  <si>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</si>
  <si>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</si>
  <si>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 and PDD</t>
  </si>
  <si>
    <t>PPAF2 INVESTOR REPORT QUARTER ENDING MARCH 2002</t>
  </si>
  <si>
    <t>Portfolio Asset Movements</t>
  </si>
  <si>
    <t>Personal Loans (£'000)</t>
  </si>
  <si>
    <t>Accrued Arrears and Interest Sold to Issuer (£'000)</t>
  </si>
  <si>
    <t>Retail Credit Loans (£'000)</t>
  </si>
  <si>
    <t>Secured Loans (£'000)</t>
  </si>
  <si>
    <t>Car Finance Loans (£'000)</t>
  </si>
  <si>
    <t>Total (£'000)</t>
  </si>
  <si>
    <t>Credit Enhancement</t>
  </si>
  <si>
    <t>Allocated Purchase Funds</t>
  </si>
  <si>
    <t>Over collateralisation due to replenishment of PDL</t>
  </si>
  <si>
    <t>Discounts on substitutions</t>
  </si>
  <si>
    <t>Repayment of accured arrears and interest</t>
  </si>
  <si>
    <t>Issuer Fund Analysis</t>
  </si>
  <si>
    <t>Cash balance in the Transaction Account  at the  Determination Date</t>
  </si>
  <si>
    <t>Accruals  made to the Interest Payment Date plus cash held in the Collection Acounts</t>
  </si>
  <si>
    <t>First Loss Fund</t>
  </si>
  <si>
    <t>Drawing on the PFPLC  Subordinated Loan to meet the Required Princiapl Funds test</t>
  </si>
  <si>
    <t>Total Cash for the Period</t>
  </si>
  <si>
    <t xml:space="preserve">Payments made from Issuer Funds </t>
  </si>
  <si>
    <t>Trustee Fee</t>
  </si>
  <si>
    <t>Administration Fee</t>
  </si>
  <si>
    <t>Payments to swap counterparty</t>
  </si>
  <si>
    <t>A Note Interest</t>
  </si>
  <si>
    <t xml:space="preserve">Third Party payments </t>
  </si>
  <si>
    <t>B Note Interest</t>
  </si>
  <si>
    <t>C Note Interest</t>
  </si>
  <si>
    <t>First Loss Fund  replenishments</t>
  </si>
  <si>
    <t>Surplus income to the Issuer</t>
  </si>
  <si>
    <t>Available Credit Enhancement</t>
  </si>
  <si>
    <t>First Loss Fund Analysis</t>
  </si>
  <si>
    <t>First Loss Fund at Closing</t>
  </si>
  <si>
    <t>Replenishments</t>
  </si>
  <si>
    <t>Drawing used to pay</t>
  </si>
  <si>
    <t>Closing First Loss Fund Balance</t>
  </si>
  <si>
    <t>Non Performing Loans and Write off of Portfolio Assets</t>
  </si>
  <si>
    <t>Write off of loans</t>
  </si>
  <si>
    <t>Total  for the Period</t>
  </si>
  <si>
    <t>Over Collateralisation</t>
  </si>
  <si>
    <t>Current Principal Balance  (£'000)</t>
  </si>
  <si>
    <t>Principal Cash (£'000)</t>
  </si>
  <si>
    <t>Total Collateralisation</t>
  </si>
  <si>
    <t>Outstanding Note Principal (£'000)</t>
  </si>
  <si>
    <t>Mandatory and Discretionary Further Advances (FA's)</t>
  </si>
  <si>
    <t>Total FA's permitted</t>
  </si>
  <si>
    <t>FA's made to last quarter</t>
  </si>
  <si>
    <t>FA's made this quarter</t>
  </si>
  <si>
    <t>Total FA's made to date</t>
  </si>
  <si>
    <t>Remaining permitted FA's</t>
  </si>
  <si>
    <t>Collateral Level Data</t>
  </si>
  <si>
    <t>Original Weighted Average Yield</t>
  </si>
  <si>
    <t>Original Weighted Note Coupon</t>
  </si>
  <si>
    <t xml:space="preserve">Original Spread </t>
  </si>
  <si>
    <t>Current Weighted Average Yield</t>
  </si>
  <si>
    <t>Current Weighted Note Coupon</t>
  </si>
  <si>
    <t xml:space="preserve">Current Spread </t>
  </si>
  <si>
    <t>Stated Maturity Class A Notes</t>
  </si>
  <si>
    <t>Stated Maturity Class B Notes</t>
  </si>
  <si>
    <t>Stated Maturity Class C Notes</t>
  </si>
  <si>
    <t>Original Weighted Average Maturity  (years)</t>
  </si>
  <si>
    <t>Current Weighted Average Maturity (years)</t>
  </si>
  <si>
    <t xml:space="preserve">Quarterly Prepayment Rate </t>
  </si>
  <si>
    <t xml:space="preserve">Life Time Prepayment Rate </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</si>
  <si>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</si>
  <si>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</si>
  <si>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</si>
  <si>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</si>
  <si>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</si>
  <si>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</si>
  <si>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</si>
  <si>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</si>
  <si>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Recoveries (Cumulative)</t>
  </si>
  <si>
    <t>Properties Sold</t>
  </si>
  <si>
    <t>Properties Sold by Mortgagee</t>
  </si>
  <si>
    <t>Average Arrears @ Redemption date</t>
  </si>
  <si>
    <t>Average Days between Possession &amp; Redemption</t>
  </si>
  <si>
    <t>Average Sale Price/Orig Loan Valuation</t>
  </si>
  <si>
    <t>Vehicles Sold</t>
  </si>
  <si>
    <t>Vehicles Sold by the administrator</t>
  </si>
  <si>
    <t>Average Days between Possession &amp; Sale</t>
  </si>
  <si>
    <t>Delinquency Summary</t>
  </si>
  <si>
    <t>Performing</t>
  </si>
  <si>
    <t>&gt;1&lt;=2 Months</t>
  </si>
  <si>
    <t>&gt;2&lt;=3 Months</t>
  </si>
  <si>
    <t>&gt;3&lt;=12 Months</t>
  </si>
  <si>
    <t>Total Performing  Assets</t>
  </si>
  <si>
    <t>&gt;12 Months</t>
  </si>
  <si>
    <t>Total Assets</t>
  </si>
  <si>
    <t>Required Principal Funds Test</t>
  </si>
  <si>
    <t>Total Current Principal Balance of Performing Assets</t>
  </si>
  <si>
    <t>Allocated Purchase Funds from the Priority of Payments</t>
  </si>
  <si>
    <t>Overcollaterlisation on Performing Loans</t>
  </si>
  <si>
    <t>Total</t>
  </si>
  <si>
    <t>Notes Outstanding</t>
  </si>
  <si>
    <t>Result of the Required Principal Funds Test</t>
  </si>
  <si>
    <t>Contact Name/Address</t>
  </si>
  <si>
    <t>John Harvey, St. Catherines Court, Herbert Road, Solihull, West Midlands, B91 3QE</t>
  </si>
  <si>
    <t>Jimmy Giles, St. Catherines Court, Herbert Road, Solihull, West Midlands, B91 3QE</t>
  </si>
  <si>
    <t>Pool</t>
  </si>
  <si>
    <t>Factor</t>
  </si>
  <si>
    <t>At Closing</t>
  </si>
  <si>
    <t xml:space="preserve">Personal Loans </t>
  </si>
  <si>
    <t>No.</t>
  </si>
  <si>
    <t>Class A Notes</t>
  </si>
  <si>
    <t>Aaa</t>
  </si>
  <si>
    <t>AAA</t>
  </si>
  <si>
    <t>ISIN XS0140279471</t>
  </si>
  <si>
    <t>38 bp</t>
  </si>
  <si>
    <t>January 2005</t>
  </si>
  <si>
    <t>76 bp</t>
  </si>
  <si>
    <t>Last Quarter Balance</t>
  </si>
  <si>
    <t>Retail Credit</t>
  </si>
  <si>
    <t>Unsecured Personal Loans (£'000)</t>
  </si>
  <si>
    <t>%</t>
  </si>
  <si>
    <t>Tel.</t>
  </si>
  <si>
    <t>0121 712 3894</t>
  </si>
  <si>
    <t>0121 712 2315</t>
  </si>
  <si>
    <t xml:space="preserve">Secured Loans </t>
  </si>
  <si>
    <t>£'000 Principal</t>
  </si>
  <si>
    <t>Class B Notes</t>
  </si>
  <si>
    <t>A2</t>
  </si>
  <si>
    <t>A</t>
  </si>
  <si>
    <t>ISIN XS0140279638</t>
  </si>
  <si>
    <t>120 bp</t>
  </si>
  <si>
    <t>240 bp</t>
  </si>
  <si>
    <t>This Quarter Redemptions and Repayments</t>
  </si>
  <si>
    <t>Car Finance</t>
  </si>
  <si>
    <t>E-mail</t>
  </si>
  <si>
    <t>jharvey@paragon-group.co.uk</t>
  </si>
  <si>
    <t>jgiles@paragon-group.co.uk</t>
  </si>
  <si>
    <t>Class C Notes</t>
  </si>
  <si>
    <t>Baa2</t>
  </si>
  <si>
    <t>BBB</t>
  </si>
  <si>
    <t>ISIN XS0140279802</t>
  </si>
  <si>
    <t>275 bp</t>
  </si>
  <si>
    <t>550 bp</t>
  </si>
  <si>
    <t>Additions this quarter</t>
  </si>
  <si>
    <t>DFA's</t>
  </si>
  <si>
    <t xml:space="preserve">or the IPD falling  in January 2007, whichever is the later </t>
  </si>
  <si>
    <t>Repurchases this quarter</t>
  </si>
  <si>
    <t>MFA's</t>
  </si>
  <si>
    <t>n/a</t>
  </si>
  <si>
    <t>January 2022</t>
  </si>
  <si>
    <t>January 2033</t>
  </si>
  <si>
    <t>January  2033</t>
  </si>
  <si>
    <t>£'000 Value</t>
  </si>
  <si>
    <t>=</t>
  </si>
  <si>
    <t>PPAF (No.2) PLC</t>
  </si>
  <si>
    <t>12 Dec 2001</t>
  </si>
  <si>
    <t>Quarterly</t>
  </si>
  <si>
    <t>ACTUAL/365</t>
  </si>
  <si>
    <t>Current Principal Balance</t>
  </si>
  <si>
    <t>Issuer Funds(£'000)</t>
  </si>
  <si>
    <t>PPAF2 INVESTOR REPORT QUARTER ENDING JUNE 2002</t>
  </si>
  <si>
    <t>PPAF2 INVESTOR REPORT QUARTER ENDING SEPTEMBER 2002</t>
  </si>
  <si>
    <t>PPAF2 INVESTOR REPORT QUARTER ENDING DECEMBER 2002</t>
  </si>
  <si>
    <t>PPAF2 INVESTOR REPORT QUARTER ENDING MARCH 2003</t>
  </si>
  <si>
    <t>PPAF2 INVESTOR REPORT QUARTER ENDING JUNE 2003</t>
  </si>
  <si>
    <t>PPAF2 INVESTOR REPORT QUARTER ENDING SEPTEMBER 2003</t>
  </si>
  <si>
    <t>PPAF2 INVESTOR REPORT QUARTER ENDING DECEMBER 2003</t>
  </si>
  <si>
    <t>ACTUAL/366</t>
  </si>
  <si>
    <t>PPAF2 INVESTOR REPORT QUARTER ENDING MARCH 2004</t>
  </si>
  <si>
    <t>Drawing on the PFPLC  Subordinated Loan to meet the Required Princiapl Funds test / Interest Shortfalls</t>
  </si>
  <si>
    <t xml:space="preserve">Movement into the &gt; 12 Month Arrears Loans </t>
  </si>
  <si>
    <t>PPAF2 INVESTOR REPORT QUARTER ENDING JUNE 2004</t>
  </si>
  <si>
    <t>PPAF2 INVESTOR REPORT QUARTER ENDING SEPTEMBER 2004</t>
  </si>
  <si>
    <t>Number of Properties in Possession</t>
  </si>
  <si>
    <t>PPAF2 INVESTOR REPORT QUARTER ENDING DECEMBER 2004</t>
  </si>
  <si>
    <t>This performance report is issued by Paragon Finance PLC for and on behalf of Paragon Personal and Auto Finance (No.2) PLC</t>
  </si>
  <si>
    <t>john.harvey@paragon-group.co.uk</t>
  </si>
  <si>
    <t>jimmy.giles@paragon-group.co.uk</t>
  </si>
  <si>
    <t>N.B. This data fact sheet and its notes can only be a summary of certain features of the bonds and their structure. No representation can be made that the information herein is accurate or complete and no liability is accepted therefor. Reference should b</t>
  </si>
  <si>
    <t>documentation for a full description of the bonds and their structure. This data fact sheet and its notes are for information purposes only and are not intended as an offer or invitation with respect to the purchase or sale of any security. Reliance shoul</t>
  </si>
  <si>
    <t>Repayment of Notes</t>
  </si>
  <si>
    <t>Repayment of first loss fund</t>
  </si>
  <si>
    <t>Note Repayment</t>
  </si>
  <si>
    <t>Principal payments made from Principal Income:</t>
  </si>
  <si>
    <t>Opening Cash</t>
  </si>
  <si>
    <t>A Note repayments</t>
  </si>
  <si>
    <t>B Note repayments</t>
  </si>
  <si>
    <t>C Note repayments</t>
  </si>
  <si>
    <t>Total payments to be made this quarter</t>
  </si>
  <si>
    <t>Total closing cash balance</t>
  </si>
  <si>
    <t>Repayment of the First Loss Fund</t>
  </si>
  <si>
    <t>PPAF2 INVESTOR REPORT QUARTER ENDING MARCH 2005</t>
  </si>
  <si>
    <t>Cash balance in the Transaction Account  at the Determination Date and Interest Payment Date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</si>
</sst>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0"/>
    <numFmt numFmtId="181" formatCode="[$£-809]#,##0.00"/>
    <numFmt numFmtId="182" formatCode="#,##0.0000"/>
    <numFmt numFmtId="183" formatCode="dd/mm"/>
    <numFmt numFmtId="184" formatCode="0.00000%"/>
    <numFmt numFmtId="185" formatCode="0.0%"/>
    <numFmt numFmtId="186" formatCode="0.000%"/>
  </numFmts>
  <fonts count="27">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8"/>
      <name val="Times New Roman"/>
      <family val="0"/>
    </font>
    <font>
      <b/>
      <i/>
      <sz val="12"/>
      <name val="Times New Roman"/>
      <family val="0"/>
    </font>
    <font>
      <sz val="12"/>
      <name val="Arial MT"/>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MT"/>
      <family val="0"/>
    </font>
    <font>
      <sz val="12"/>
      <color indexed="8"/>
      <name val="Times New Roman"/>
      <family val="0"/>
    </font>
    <font>
      <b/>
      <sz val="12"/>
      <color indexed="8"/>
      <name val="Times New Roman"/>
      <family val="0"/>
    </font>
    <font>
      <b/>
      <u val="double"/>
      <sz val="12"/>
      <color indexed="12"/>
      <name val="Times New Roman"/>
      <family val="0"/>
    </font>
    <font>
      <sz val="12"/>
      <color indexed="12"/>
      <name val="Arial MT"/>
      <family val="0"/>
    </font>
    <font>
      <b/>
      <sz val="12"/>
      <name val="Arial MT"/>
      <family val="0"/>
    </font>
    <font>
      <b/>
      <sz val="12"/>
      <color indexed="53"/>
      <name val="Times New Roman"/>
      <family val="1"/>
    </font>
    <font>
      <sz val="12"/>
      <color indexed="53"/>
      <name val="Times New Roman"/>
      <family val="0"/>
    </font>
    <font>
      <sz val="12"/>
      <color indexed="53"/>
      <name val="Arial"/>
      <family val="0"/>
    </font>
    <font>
      <b/>
      <u val="single"/>
      <sz val="12"/>
      <color indexed="53"/>
      <name val="Times New Roman"/>
      <family val="1"/>
    </font>
    <font>
      <u val="single"/>
      <sz val="8.4"/>
      <color indexed="12"/>
      <name val="Arial"/>
      <family val="0"/>
    </font>
  </fonts>
  <fills count="4">
    <fill>
      <patternFill/>
    </fill>
    <fill>
      <patternFill patternType="gray125"/>
    </fill>
    <fill>
      <patternFill patternType="solid">
        <fgColor indexed="26"/>
        <bgColor indexed="64"/>
      </patternFill>
    </fill>
    <fill>
      <patternFill patternType="solid">
        <fgColor indexed="26"/>
        <bgColor indexed="64"/>
      </patternFill>
    </fill>
  </fills>
  <borders count="10">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cellStyleXfs>
  <cellXfs count="173">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9" fillId="2" borderId="0" xfId="0" applyNumberFormat="1" applyFont="1" applyFill="1" applyAlignment="1">
      <alignment/>
    </xf>
    <xf numFmtId="0" fontId="1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xf>
    <xf numFmtId="0" fontId="15" fillId="2" borderId="0" xfId="0" applyNumberFormat="1" applyFont="1" applyFill="1" applyAlignment="1">
      <alignment horizontal="center" wrapText="1"/>
    </xf>
    <xf numFmtId="0" fontId="13" fillId="2" borderId="0" xfId="0" applyNumberFormat="1" applyFont="1" applyFill="1" applyAlignment="1">
      <alignment horizontal="center"/>
    </xf>
    <xf numFmtId="10" fontId="13" fillId="2" borderId="0" xfId="0" applyNumberFormat="1" applyFont="1" applyFill="1" applyAlignment="1">
      <alignment horizontal="center"/>
    </xf>
    <xf numFmtId="15" fontId="13"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11" fillId="2" borderId="5" xfId="0" applyNumberFormat="1" applyFont="1" applyFill="1" applyAlignment="1">
      <alignment/>
    </xf>
    <xf numFmtId="0" fontId="13" fillId="2" borderId="5" xfId="0" applyNumberFormat="1" applyFont="1" applyFill="1" applyAlignment="1">
      <alignment/>
    </xf>
    <xf numFmtId="0" fontId="13" fillId="2" borderId="5" xfId="0" applyNumberFormat="1" applyFont="1" applyFill="1" applyAlignment="1">
      <alignment horizontal="center" wrapText="1"/>
    </xf>
    <xf numFmtId="0" fontId="16" fillId="2" borderId="5" xfId="0" applyNumberFormat="1" applyFont="1" applyFill="1" applyAlignment="1">
      <alignment/>
    </xf>
    <xf numFmtId="0" fontId="4" fillId="2" borderId="5" xfId="0" applyNumberFormat="1" applyFont="1" applyFill="1" applyAlignment="1">
      <alignment horizontal="center"/>
    </xf>
    <xf numFmtId="180" fontId="4" fillId="2" borderId="5" xfId="0" applyNumberFormat="1" applyFont="1" applyFill="1" applyAlignment="1">
      <alignment horizontal="center"/>
    </xf>
    <xf numFmtId="180" fontId="4" fillId="2" borderId="5" xfId="0" applyNumberFormat="1" applyFont="1" applyFill="1" applyAlignment="1">
      <alignment/>
    </xf>
    <xf numFmtId="180" fontId="11" fillId="2" borderId="5" xfId="0" applyNumberFormat="1" applyFont="1" applyFill="1" applyAlignment="1">
      <alignment/>
    </xf>
    <xf numFmtId="181" fontId="4" fillId="2" borderId="5" xfId="0" applyNumberFormat="1" applyFont="1" applyFill="1" applyAlignment="1">
      <alignment/>
    </xf>
    <xf numFmtId="182" fontId="4" fillId="2" borderId="5" xfId="0" applyNumberFormat="1" applyFont="1" applyFill="1" applyAlignment="1">
      <alignment/>
    </xf>
    <xf numFmtId="183" fontId="4" fillId="2" borderId="5" xfId="0" applyNumberFormat="1" applyFont="1" applyFill="1" applyAlignment="1">
      <alignment horizontal="center"/>
    </xf>
    <xf numFmtId="0" fontId="13" fillId="2" borderId="4" xfId="0" applyNumberFormat="1" applyFont="1" applyFill="1" applyAlignment="1">
      <alignment/>
    </xf>
    <xf numFmtId="182" fontId="17" fillId="2" borderId="5" xfId="0" applyNumberFormat="1" applyFont="1" applyFill="1" applyAlignment="1">
      <alignment/>
    </xf>
    <xf numFmtId="180" fontId="13" fillId="2" borderId="5" xfId="0" applyNumberFormat="1" applyFont="1" applyFill="1" applyAlignment="1">
      <alignment horizontal="center"/>
    </xf>
    <xf numFmtId="180" fontId="13" fillId="2" borderId="5" xfId="0" applyNumberFormat="1" applyFont="1" applyFill="1" applyAlignment="1">
      <alignment/>
    </xf>
    <xf numFmtId="180" fontId="16" fillId="2" borderId="5" xfId="0" applyNumberFormat="1" applyFont="1" applyFill="1" applyAlignment="1">
      <alignment/>
    </xf>
    <xf numFmtId="184" fontId="0" fillId="2" borderId="5" xfId="0" applyNumberFormat="1" applyFont="1" applyFill="1" applyAlignment="1">
      <alignment/>
    </xf>
    <xf numFmtId="184" fontId="4" fillId="2" borderId="5" xfId="0" applyNumberFormat="1" applyFont="1" applyFill="1" applyAlignment="1">
      <alignment horizontal="center"/>
    </xf>
    <xf numFmtId="184" fontId="4" fillId="2" borderId="5" xfId="0" applyNumberFormat="1" applyFont="1" applyFill="1" applyAlignment="1">
      <alignment/>
    </xf>
    <xf numFmtId="10" fontId="4" fillId="2" borderId="5" xfId="0" applyNumberFormat="1" applyFont="1" applyFill="1" applyAlignment="1">
      <alignment horizontal="center"/>
    </xf>
    <xf numFmtId="15"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3" fillId="2" borderId="5" xfId="0" applyNumberFormat="1" applyFont="1" applyFill="1" applyAlignment="1">
      <alignment horizontal="center"/>
    </xf>
    <xf numFmtId="15" fontId="13" fillId="2" borderId="5" xfId="0" applyNumberFormat="1" applyFont="1" applyFill="1" applyAlignment="1">
      <alignment horizontal="center"/>
    </xf>
    <xf numFmtId="15" fontId="4" fillId="2" borderId="5" xfId="0" applyNumberFormat="1" applyFont="1" applyFill="1" applyAlignment="1">
      <alignment/>
    </xf>
    <xf numFmtId="15" fontId="17" fillId="2" borderId="5" xfId="0" applyNumberFormat="1" applyFont="1" applyFill="1" applyAlignment="1">
      <alignment horizontal="center"/>
    </xf>
    <xf numFmtId="15" fontId="17" fillId="2" borderId="5" xfId="0" applyNumberFormat="1" applyFont="1" applyFill="1" applyAlignment="1">
      <alignment horizontal="center"/>
    </xf>
    <xf numFmtId="0" fontId="4" fillId="2" borderId="5" xfId="0" applyNumberFormat="1" applyFont="1" applyFill="1" applyAlignment="1">
      <alignment horizontal="right"/>
    </xf>
    <xf numFmtId="0" fontId="4" fillId="2" borderId="0" xfId="0" applyNumberFormat="1" applyFont="1" applyFill="1" applyAlignment="1">
      <alignment horizontal="right"/>
    </xf>
    <xf numFmtId="4" fontId="4" fillId="2" borderId="2" xfId="0" applyNumberFormat="1" applyFont="1" applyFill="1" applyAlignment="1">
      <alignment horizontal="right"/>
    </xf>
    <xf numFmtId="0" fontId="15" fillId="2" borderId="0" xfId="0" applyNumberFormat="1" applyFont="1" applyFill="1" applyAlignment="1">
      <alignment/>
    </xf>
    <xf numFmtId="4" fontId="4" fillId="2" borderId="0" xfId="0" applyNumberFormat="1" applyFont="1" applyFill="1" applyAlignment="1">
      <alignment horizontal="right"/>
    </xf>
    <xf numFmtId="3" fontId="4" fillId="2" borderId="5" xfId="0" applyNumberFormat="1" applyFont="1" applyFill="1" applyAlignment="1">
      <alignment/>
    </xf>
    <xf numFmtId="3" fontId="17" fillId="2" borderId="5" xfId="0" applyNumberFormat="1" applyFont="1" applyFill="1" applyAlignment="1">
      <alignment horizontal="right"/>
    </xf>
    <xf numFmtId="3" fontId="17" fillId="2" borderId="5" xfId="0" applyNumberFormat="1" applyFont="1" applyFill="1" applyAlignment="1">
      <alignment/>
    </xf>
    <xf numFmtId="0" fontId="8" fillId="2" borderId="5" xfId="0" applyNumberFormat="1" applyFont="1" applyFill="1" applyAlignment="1">
      <alignment/>
    </xf>
    <xf numFmtId="10" fontId="4" fillId="2" borderId="5" xfId="0" applyNumberFormat="1" applyFont="1" applyFill="1" applyAlignment="1">
      <alignment/>
    </xf>
    <xf numFmtId="0" fontId="0" fillId="2" borderId="5" xfId="0" applyNumberFormat="1" applyFont="1" applyFill="1" applyAlignment="1">
      <alignment/>
    </xf>
    <xf numFmtId="3" fontId="0" fillId="0" borderId="0" xfId="0" applyNumberFormat="1" applyAlignment="1">
      <alignment/>
    </xf>
    <xf numFmtId="0" fontId="6" fillId="2" borderId="5" xfId="0" applyNumberFormat="1" applyFont="1" applyFill="1" applyAlignment="1">
      <alignment/>
    </xf>
    <xf numFmtId="3" fontId="4" fillId="2" borderId="0" xfId="0" applyNumberFormat="1" applyFont="1" applyFill="1" applyAlignment="1">
      <alignment/>
    </xf>
    <xf numFmtId="3" fontId="4" fillId="2" borderId="2" xfId="0" applyNumberFormat="1" applyFont="1" applyFill="1" applyAlignment="1">
      <alignment/>
    </xf>
    <xf numFmtId="0" fontId="4" fillId="3" borderId="3" xfId="0" applyNumberFormat="1" applyFont="1" applyFill="1" applyAlignment="1">
      <alignment/>
    </xf>
    <xf numFmtId="0" fontId="15" fillId="3" borderId="0" xfId="0" applyNumberFormat="1" applyFont="1" applyFill="1" applyAlignment="1">
      <alignment/>
    </xf>
    <xf numFmtId="0" fontId="4" fillId="3" borderId="0" xfId="0" applyNumberFormat="1" applyFont="1" applyFill="1" applyAlignment="1">
      <alignment/>
    </xf>
    <xf numFmtId="4" fontId="4" fillId="3" borderId="0" xfId="0" applyNumberFormat="1" applyFont="1" applyFill="1" applyAlignment="1">
      <alignment horizontal="right"/>
    </xf>
    <xf numFmtId="0" fontId="7" fillId="3" borderId="0" xfId="0" applyNumberFormat="1" applyFont="1" applyFill="1" applyAlignment="1">
      <alignment/>
    </xf>
    <xf numFmtId="3" fontId="4" fillId="2" borderId="5" xfId="0" applyNumberFormat="1" applyFont="1" applyFill="1" applyAlignment="1">
      <alignment horizontal="right"/>
    </xf>
    <xf numFmtId="0" fontId="0" fillId="2" borderId="0" xfId="0" applyNumberFormat="1" applyFont="1" applyFill="1" applyAlignment="1">
      <alignment/>
    </xf>
    <xf numFmtId="4" fontId="17" fillId="2" borderId="0" xfId="0" applyNumberFormat="1" applyFont="1" applyFill="1" applyAlignment="1">
      <alignment horizontal="right"/>
    </xf>
    <xf numFmtId="0" fontId="0" fillId="2" borderId="5" xfId="0" applyNumberFormat="1" applyFont="1" applyFill="1" applyAlignment="1">
      <alignment/>
    </xf>
    <xf numFmtId="0" fontId="12" fillId="2" borderId="5" xfId="0" applyNumberFormat="1" applyFont="1" applyFill="1" applyAlignment="1">
      <alignment/>
    </xf>
    <xf numFmtId="4" fontId="4" fillId="2" borderId="5" xfId="0" applyNumberFormat="1" applyFont="1" applyFill="1" applyAlignment="1">
      <alignment horizontal="right"/>
    </xf>
    <xf numFmtId="3" fontId="17" fillId="2" borderId="5" xfId="0" applyNumberFormat="1" applyFont="1" applyFill="1" applyAlignment="1">
      <alignment horizontal="center"/>
    </xf>
    <xf numFmtId="0" fontId="17" fillId="2" borderId="3" xfId="0" applyNumberFormat="1" applyFont="1" applyFill="1" applyAlignment="1">
      <alignment/>
    </xf>
    <xf numFmtId="15" fontId="13" fillId="2" borderId="0" xfId="0" applyNumberFormat="1" applyFont="1" applyFill="1" applyAlignment="1">
      <alignment horizontal="centerContinuous"/>
    </xf>
    <xf numFmtId="0" fontId="17" fillId="2" borderId="4" xfId="0" applyNumberFormat="1" applyFont="1" applyFill="1" applyAlignment="1">
      <alignment/>
    </xf>
    <xf numFmtId="0" fontId="17" fillId="2" borderId="5" xfId="0" applyNumberFormat="1" applyFont="1" applyFill="1" applyAlignment="1">
      <alignment/>
    </xf>
    <xf numFmtId="15" fontId="18" fillId="2" borderId="5" xfId="0" applyNumberFormat="1" applyFont="1" applyFill="1" applyAlignment="1">
      <alignment horizontal="centerContinuous"/>
    </xf>
    <xf numFmtId="15" fontId="18" fillId="2" borderId="5" xfId="0" applyNumberFormat="1" applyFont="1" applyFill="1" applyAlignment="1">
      <alignment horizontal="center"/>
    </xf>
    <xf numFmtId="10" fontId="17" fillId="2" borderId="5" xfId="0" applyNumberFormat="1" applyFont="1" applyFill="1" applyAlignment="1">
      <alignment horizontal="center"/>
    </xf>
    <xf numFmtId="4" fontId="17" fillId="2" borderId="5" xfId="0" applyNumberFormat="1" applyFont="1" applyFill="1" applyAlignment="1">
      <alignment horizontal="center"/>
    </xf>
    <xf numFmtId="4" fontId="4" fillId="2" borderId="5" xfId="0" applyNumberFormat="1" applyFont="1" applyFill="1" applyAlignment="1">
      <alignment horizontal="center"/>
    </xf>
    <xf numFmtId="0" fontId="4" fillId="2" borderId="5" xfId="0" applyNumberFormat="1" applyFont="1" applyFill="1" applyAlignment="1">
      <alignment/>
    </xf>
    <xf numFmtId="0" fontId="17" fillId="2" borderId="0" xfId="0" applyNumberFormat="1" applyFont="1" applyFill="1" applyAlignment="1">
      <alignment/>
    </xf>
    <xf numFmtId="4" fontId="4" fillId="2" borderId="0" xfId="0" applyNumberFormat="1" applyFont="1" applyFill="1" applyAlignment="1">
      <alignment horizontal="center"/>
    </xf>
    <xf numFmtId="0" fontId="4" fillId="2" borderId="0" xfId="0" applyNumberFormat="1" applyFont="1" applyFill="1" applyAlignment="1">
      <alignment/>
    </xf>
    <xf numFmtId="0" fontId="17" fillId="2" borderId="1" xfId="0" applyNumberFormat="1" applyFont="1" applyFill="1" applyAlignment="1">
      <alignment horizontal="right"/>
    </xf>
    <xf numFmtId="0" fontId="15" fillId="2" borderId="2" xfId="0" applyNumberFormat="1" applyFont="1" applyFill="1" applyAlignment="1">
      <alignment/>
    </xf>
    <xf numFmtId="0" fontId="13" fillId="2" borderId="2" xfId="0" applyNumberFormat="1" applyFont="1" applyFill="1" applyAlignment="1">
      <alignment horizontal="center"/>
    </xf>
    <xf numFmtId="3" fontId="13" fillId="2" borderId="2" xfId="0" applyNumberFormat="1" applyFont="1" applyFill="1" applyAlignment="1">
      <alignment horizontal="center"/>
    </xf>
    <xf numFmtId="0" fontId="14" fillId="2" borderId="2" xfId="0" applyNumberFormat="1" applyFont="1" applyFill="1" applyAlignment="1">
      <alignment/>
    </xf>
    <xf numFmtId="0" fontId="17" fillId="2" borderId="4" xfId="0" applyNumberFormat="1" applyFont="1" applyFill="1" applyAlignment="1">
      <alignment horizontal="right"/>
    </xf>
    <xf numFmtId="3" fontId="18" fillId="2" borderId="5" xfId="0" applyNumberFormat="1" applyFont="1" applyFill="1" applyAlignment="1">
      <alignment/>
    </xf>
    <xf numFmtId="0" fontId="17" fillId="2" borderId="5" xfId="0" applyNumberFormat="1" applyFont="1" applyFill="1" applyAlignment="1">
      <alignment horizontal="right"/>
    </xf>
    <xf numFmtId="0" fontId="17" fillId="2" borderId="4" xfId="0" applyNumberFormat="1" applyFont="1" applyFill="1" applyAlignment="1">
      <alignment horizontal="center"/>
    </xf>
    <xf numFmtId="4" fontId="17" fillId="2" borderId="5" xfId="0" applyNumberFormat="1" applyFont="1" applyFill="1" applyAlignment="1">
      <alignment horizontal="right"/>
    </xf>
    <xf numFmtId="0" fontId="18" fillId="2" borderId="5" xfId="0" applyNumberFormat="1" applyFont="1" applyFill="1" applyAlignment="1">
      <alignment/>
    </xf>
    <xf numFmtId="0" fontId="17" fillId="2" borderId="5" xfId="0" applyNumberFormat="1" applyFont="1" applyFill="1" applyAlignment="1">
      <alignment horizontal="right"/>
    </xf>
    <xf numFmtId="4" fontId="17" fillId="2" borderId="5" xfId="0" applyNumberFormat="1" applyFont="1" applyFill="1" applyAlignment="1">
      <alignment horizontal="right"/>
    </xf>
    <xf numFmtId="9" fontId="17" fillId="2" borderId="5" xfId="0" applyNumberFormat="1" applyFont="1" applyFill="1" applyAlignment="1">
      <alignment horizontal="right"/>
    </xf>
    <xf numFmtId="10" fontId="17" fillId="2" borderId="5" xfId="0" applyNumberFormat="1" applyFont="1" applyFill="1" applyAlignment="1">
      <alignment horizontal="center"/>
    </xf>
    <xf numFmtId="0" fontId="17" fillId="2" borderId="5" xfId="0" applyNumberFormat="1" applyFont="1" applyFill="1" applyAlignment="1">
      <alignment horizontal="center"/>
    </xf>
    <xf numFmtId="0" fontId="19" fillId="2" borderId="5" xfId="0" applyNumberFormat="1" applyFont="1" applyFill="1" applyAlignment="1">
      <alignment/>
    </xf>
    <xf numFmtId="0" fontId="13" fillId="2" borderId="5" xfId="0" applyNumberFormat="1" applyFont="1" applyFill="1" applyAlignment="1">
      <alignment horizontal="center"/>
    </xf>
    <xf numFmtId="3" fontId="13" fillId="2" borderId="5" xfId="0" applyNumberFormat="1" applyFont="1" applyFill="1" applyAlignment="1">
      <alignment horizontal="center"/>
    </xf>
    <xf numFmtId="0" fontId="14" fillId="2" borderId="5" xfId="0" applyNumberFormat="1" applyFont="1" applyFill="1" applyAlignment="1">
      <alignment/>
    </xf>
    <xf numFmtId="3" fontId="17" fillId="2" borderId="5" xfId="0" applyNumberFormat="1" applyFont="1" applyFill="1" applyAlignment="1">
      <alignment horizontal="center"/>
    </xf>
    <xf numFmtId="0" fontId="17" fillId="2" borderId="5" xfId="0" applyNumberFormat="1" applyFont="1" applyFill="1" applyAlignment="1">
      <alignment horizontal="center"/>
    </xf>
    <xf numFmtId="9" fontId="17" fillId="2" borderId="5" xfId="0" applyNumberFormat="1" applyFont="1" applyFill="1" applyAlignment="1">
      <alignment horizontal="center"/>
    </xf>
    <xf numFmtId="0" fontId="18" fillId="2" borderId="5" xfId="0" applyNumberFormat="1" applyFont="1" applyFill="1" applyAlignment="1">
      <alignment horizontal="center"/>
    </xf>
    <xf numFmtId="3" fontId="18" fillId="2" borderId="5" xfId="0" applyNumberFormat="1" applyFont="1" applyFill="1" applyAlignment="1">
      <alignment horizontal="center"/>
    </xf>
    <xf numFmtId="3" fontId="15" fillId="2" borderId="5" xfId="0" applyNumberFormat="1" applyFont="1" applyFill="1" applyAlignment="1">
      <alignment/>
    </xf>
    <xf numFmtId="3" fontId="0" fillId="0" borderId="3" xfId="0" applyNumberFormat="1" applyAlignment="1">
      <alignment/>
    </xf>
    <xf numFmtId="9" fontId="0" fillId="0" borderId="3" xfId="0" applyNumberFormat="1" applyAlignment="1">
      <alignment/>
    </xf>
    <xf numFmtId="185" fontId="4" fillId="2" borderId="5" xfId="0" applyNumberFormat="1" applyFont="1" applyFill="1" applyAlignment="1">
      <alignment/>
    </xf>
    <xf numFmtId="0" fontId="11" fillId="2" borderId="4" xfId="0" applyNumberFormat="1" applyFont="1" applyFill="1" applyAlignment="1">
      <alignment/>
    </xf>
    <xf numFmtId="0" fontId="16" fillId="2" borderId="5" xfId="0" applyNumberFormat="1" applyFont="1" applyFill="1" applyAlignment="1">
      <alignment horizontal="center"/>
    </xf>
    <xf numFmtId="0" fontId="20" fillId="2" borderId="5" xfId="0" applyNumberFormat="1" applyFont="1" applyFill="1" applyAlignment="1">
      <alignment/>
    </xf>
    <xf numFmtId="3" fontId="20" fillId="2" borderId="5" xfId="0" applyNumberFormat="1" applyFont="1" applyFill="1" applyAlignment="1">
      <alignment/>
    </xf>
    <xf numFmtId="0" fontId="11" fillId="2" borderId="3" xfId="0" applyNumberFormat="1" applyFont="1" applyFill="1" applyAlignment="1">
      <alignment/>
    </xf>
    <xf numFmtId="0" fontId="21" fillId="2" borderId="0" xfId="0" applyNumberFormat="1" applyFont="1" applyFill="1" applyAlignment="1">
      <alignment/>
    </xf>
    <xf numFmtId="0" fontId="12" fillId="2" borderId="0" xfId="0" applyNumberFormat="1" applyFont="1" applyFill="1" applyAlignment="1">
      <alignment horizontal="center"/>
    </xf>
    <xf numFmtId="0" fontId="0" fillId="0" borderId="2" xfId="0" applyNumberFormat="1" applyAlignment="1">
      <alignment/>
    </xf>
    <xf numFmtId="186" fontId="17" fillId="2" borderId="5" xfId="0" applyNumberFormat="1" applyFont="1" applyFill="1" applyAlignment="1">
      <alignment horizontal="center"/>
    </xf>
    <xf numFmtId="4" fontId="13" fillId="2" borderId="5" xfId="0" applyNumberFormat="1" applyFont="1" applyFill="1" applyAlignment="1">
      <alignment horizontal="center"/>
    </xf>
    <xf numFmtId="184" fontId="4" fillId="2" borderId="5" xfId="0" applyNumberFormat="1" applyFont="1" applyFill="1" applyAlignment="1">
      <alignment horizontal="right"/>
    </xf>
    <xf numFmtId="10" fontId="0" fillId="0" borderId="0" xfId="0" applyNumberFormat="1" applyAlignment="1">
      <alignment/>
    </xf>
    <xf numFmtId="0" fontId="0" fillId="0" borderId="0" xfId="0" applyNumberFormat="1" applyAlignment="1">
      <alignment/>
    </xf>
    <xf numFmtId="0" fontId="0" fillId="2" borderId="6" xfId="0" applyNumberFormat="1" applyFont="1" applyFill="1" applyBorder="1" applyAlignment="1">
      <alignment/>
    </xf>
    <xf numFmtId="0" fontId="4" fillId="2" borderId="7" xfId="0" applyNumberFormat="1" applyFont="1" applyFill="1" applyBorder="1" applyAlignment="1">
      <alignment/>
    </xf>
    <xf numFmtId="0" fontId="12" fillId="2" borderId="8" xfId="0" applyNumberFormat="1" applyFont="1" applyFill="1" applyBorder="1" applyAlignment="1">
      <alignment/>
    </xf>
    <xf numFmtId="0" fontId="4" fillId="2" borderId="8" xfId="0" applyNumberFormat="1" applyFont="1" applyFill="1" applyBorder="1" applyAlignment="1">
      <alignment/>
    </xf>
    <xf numFmtId="0" fontId="4" fillId="2" borderId="8" xfId="0" applyNumberFormat="1" applyFont="1" applyFill="1" applyBorder="1" applyAlignment="1">
      <alignment horizontal="right"/>
    </xf>
    <xf numFmtId="0" fontId="4" fillId="2" borderId="9" xfId="0" applyNumberFormat="1" applyFont="1" applyFill="1" applyBorder="1" applyAlignment="1">
      <alignment/>
    </xf>
    <xf numFmtId="3" fontId="4" fillId="2" borderId="8" xfId="0" applyNumberFormat="1" applyFont="1" applyFill="1" applyBorder="1" applyAlignment="1">
      <alignment/>
    </xf>
    <xf numFmtId="0" fontId="17" fillId="2" borderId="7" xfId="0" applyNumberFormat="1" applyFont="1" applyFill="1" applyBorder="1" applyAlignment="1">
      <alignment/>
    </xf>
    <xf numFmtId="0" fontId="17" fillId="2" borderId="8" xfId="0" applyNumberFormat="1" applyFont="1" applyFill="1" applyBorder="1" applyAlignment="1">
      <alignment/>
    </xf>
    <xf numFmtId="0" fontId="4" fillId="2" borderId="8" xfId="0" applyNumberFormat="1" applyFont="1" applyFill="1" applyBorder="1" applyAlignment="1">
      <alignment horizontal="center"/>
    </xf>
    <xf numFmtId="4" fontId="4" fillId="2" borderId="8" xfId="0" applyNumberFormat="1" applyFont="1" applyFill="1" applyBorder="1" applyAlignment="1">
      <alignment horizontal="center"/>
    </xf>
    <xf numFmtId="0" fontId="4" fillId="2" borderId="8" xfId="0" applyNumberFormat="1" applyFont="1" applyFill="1" applyBorder="1" applyAlignment="1">
      <alignment/>
    </xf>
    <xf numFmtId="184" fontId="0" fillId="2" borderId="5" xfId="0" applyNumberFormat="1" applyFont="1" applyFill="1" applyAlignment="1">
      <alignment/>
    </xf>
    <xf numFmtId="0" fontId="0" fillId="2" borderId="5" xfId="0" applyNumberFormat="1" applyFont="1" applyFill="1" applyAlignment="1">
      <alignment/>
    </xf>
    <xf numFmtId="0" fontId="0" fillId="2" borderId="0" xfId="0" applyNumberFormat="1" applyFont="1" applyFill="1" applyAlignment="1">
      <alignment/>
    </xf>
    <xf numFmtId="0" fontId="0" fillId="2" borderId="6" xfId="0" applyNumberFormat="1" applyFont="1" applyFill="1" applyBorder="1" applyAlignment="1">
      <alignment/>
    </xf>
    <xf numFmtId="0" fontId="22" fillId="2" borderId="0" xfId="0" applyNumberFormat="1" applyFont="1" applyFill="1" applyAlignment="1">
      <alignment/>
    </xf>
    <xf numFmtId="0" fontId="22" fillId="2" borderId="0" xfId="0" applyNumberFormat="1" applyFont="1" applyFill="1" applyAlignment="1">
      <alignment horizontal="center"/>
    </xf>
    <xf numFmtId="0" fontId="22" fillId="2" borderId="5" xfId="0" applyNumberFormat="1" applyFont="1" applyFill="1" applyAlignment="1">
      <alignment horizontal="center"/>
    </xf>
    <xf numFmtId="0" fontId="22" fillId="2" borderId="0" xfId="0" applyNumberFormat="1" applyFont="1" applyFill="1" applyAlignment="1">
      <alignment horizontal="center" wrapText="1"/>
    </xf>
    <xf numFmtId="0" fontId="23" fillId="2" borderId="3" xfId="0" applyNumberFormat="1" applyFont="1" applyFill="1" applyAlignment="1">
      <alignment/>
    </xf>
    <xf numFmtId="0" fontId="22" fillId="2" borderId="0" xfId="0" applyNumberFormat="1" applyFont="1" applyFill="1" applyAlignment="1">
      <alignment horizontal="left" vertical="top" wrapText="1"/>
    </xf>
    <xf numFmtId="0" fontId="22" fillId="2" borderId="0" xfId="0" applyNumberFormat="1" applyFont="1" applyFill="1" applyAlignment="1">
      <alignment horizontal="center" vertical="top" wrapText="1"/>
    </xf>
    <xf numFmtId="4" fontId="22" fillId="2" borderId="0" xfId="0" applyNumberFormat="1" applyFont="1" applyFill="1" applyAlignment="1">
      <alignment horizontal="center" vertical="top" wrapText="1"/>
    </xf>
    <xf numFmtId="0" fontId="22" fillId="2" borderId="0" xfId="0" applyNumberFormat="1" applyFont="1" applyFill="1" applyAlignment="1">
      <alignment/>
    </xf>
    <xf numFmtId="0" fontId="24" fillId="0" borderId="3" xfId="0" applyNumberFormat="1" applyFont="1" applyAlignment="1">
      <alignment/>
    </xf>
    <xf numFmtId="0" fontId="24" fillId="0" borderId="0" xfId="0" applyNumberFormat="1" applyFont="1" applyAlignment="1">
      <alignment/>
    </xf>
    <xf numFmtId="0" fontId="25" fillId="2" borderId="5" xfId="0" applyNumberFormat="1" applyFont="1" applyFill="1" applyAlignment="1">
      <alignment/>
    </xf>
    <xf numFmtId="0" fontId="25" fillId="2" borderId="0" xfId="0" applyNumberFormat="1" applyFont="1" applyFill="1" applyAlignment="1">
      <alignment/>
    </xf>
    <xf numFmtId="0" fontId="22" fillId="2" borderId="0" xfId="0" applyNumberFormat="1" applyFont="1" applyFill="1" applyAlignment="1">
      <alignment horizontal="right"/>
    </xf>
    <xf numFmtId="4" fontId="22" fillId="2" borderId="0" xfId="0" applyNumberFormat="1" applyFont="1" applyFill="1" applyAlignment="1">
      <alignment horizontal="center"/>
    </xf>
    <xf numFmtId="0" fontId="22" fillId="2" borderId="5" xfId="0" applyNumberFormat="1" applyFont="1" applyFill="1" applyAlignment="1">
      <alignment/>
    </xf>
    <xf numFmtId="3" fontId="0" fillId="0" borderId="0" xfId="0" applyNumberFormat="1" applyFont="1" applyAlignment="1">
      <alignment/>
    </xf>
  </cellXfs>
  <cellStyles count="2">
    <cellStyle name="Normal" xfId="0"/>
    <cellStyle name="Hyperlink"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104775</xdr:rowOff>
    </xdr:from>
    <xdr:to>
      <xdr:col>1</xdr:col>
      <xdr:colOff>28575</xdr:colOff>
      <xdr:row>51</xdr:row>
      <xdr:rowOff>142875</xdr:rowOff>
    </xdr:to>
    <xdr:pic>
      <xdr:nvPicPr>
        <xdr:cNvPr id="1" name="Picture 1"/>
        <xdr:cNvPicPr preferRelativeResize="1">
          <a:picLocks noChangeAspect="1"/>
        </xdr:cNvPicPr>
      </xdr:nvPicPr>
      <xdr:blipFill>
        <a:blip r:link="rId1"/>
        <a:stretch>
          <a:fillRect/>
        </a:stretch>
      </xdr:blipFill>
      <xdr:spPr>
        <a:xfrm>
          <a:off x="28575" y="10163175"/>
          <a:ext cx="314325" cy="238125"/>
        </a:xfrm>
        <a:prstGeom prst="rect">
          <a:avLst/>
        </a:prstGeom>
        <a:noFill/>
        <a:ln w="9525" cmpd="sng">
          <a:noFill/>
        </a:ln>
      </xdr:spPr>
    </xdr:pic>
    <xdr:clientData/>
  </xdr:twoCellAnchor>
  <xdr:twoCellAnchor>
    <xdr:from>
      <xdr:col>0</xdr:col>
      <xdr:colOff>0</xdr:colOff>
      <xdr:row>96</xdr:row>
      <xdr:rowOff>104775</xdr:rowOff>
    </xdr:from>
    <xdr:to>
      <xdr:col>1</xdr:col>
      <xdr:colOff>0</xdr:colOff>
      <xdr:row>97</xdr:row>
      <xdr:rowOff>142875</xdr:rowOff>
    </xdr:to>
    <xdr:pic>
      <xdr:nvPicPr>
        <xdr:cNvPr id="2" name="Picture 2"/>
        <xdr:cNvPicPr preferRelativeResize="1">
          <a:picLocks noChangeAspect="1"/>
        </xdr:cNvPicPr>
      </xdr:nvPicPr>
      <xdr:blipFill>
        <a:blip r:link="rId1"/>
        <a:stretch>
          <a:fillRect/>
        </a:stretch>
      </xdr:blipFill>
      <xdr:spPr>
        <a:xfrm>
          <a:off x="0" y="19773900"/>
          <a:ext cx="314325" cy="238125"/>
        </a:xfrm>
        <a:prstGeom prst="rect">
          <a:avLst/>
        </a:prstGeom>
        <a:noFill/>
        <a:ln w="9525" cmpd="sng">
          <a:noFill/>
        </a:ln>
      </xdr:spPr>
    </xdr:pic>
    <xdr:clientData/>
  </xdr:twoCellAnchor>
  <xdr:twoCellAnchor>
    <xdr:from>
      <xdr:col>0</xdr:col>
      <xdr:colOff>0</xdr:colOff>
      <xdr:row>144</xdr:row>
      <xdr:rowOff>123825</xdr:rowOff>
    </xdr:from>
    <xdr:to>
      <xdr:col>1</xdr:col>
      <xdr:colOff>0</xdr:colOff>
      <xdr:row>145</xdr:row>
      <xdr:rowOff>161925</xdr:rowOff>
    </xdr:to>
    <xdr:pic>
      <xdr:nvPicPr>
        <xdr:cNvPr id="3" name="Picture 3"/>
        <xdr:cNvPicPr preferRelativeResize="1">
          <a:picLocks noChangeAspect="1"/>
        </xdr:cNvPicPr>
      </xdr:nvPicPr>
      <xdr:blipFill>
        <a:blip r:link="rId1"/>
        <a:stretch>
          <a:fillRect/>
        </a:stretch>
      </xdr:blipFill>
      <xdr:spPr>
        <a:xfrm>
          <a:off x="0" y="29403675"/>
          <a:ext cx="314325" cy="238125"/>
        </a:xfrm>
        <a:prstGeom prst="rect">
          <a:avLst/>
        </a:prstGeom>
        <a:noFill/>
        <a:ln w="9525" cmpd="sng">
          <a:noFill/>
        </a:ln>
      </xdr:spPr>
    </xdr:pic>
    <xdr:clientData/>
  </xdr:twoCellAnchor>
  <xdr:twoCellAnchor>
    <xdr:from>
      <xdr:col>0</xdr:col>
      <xdr:colOff>0</xdr:colOff>
      <xdr:row>205</xdr:row>
      <xdr:rowOff>76200</xdr:rowOff>
    </xdr:from>
    <xdr:to>
      <xdr:col>1</xdr:col>
      <xdr:colOff>0</xdr:colOff>
      <xdr:row>206</xdr:row>
      <xdr:rowOff>114300</xdr:rowOff>
    </xdr:to>
    <xdr:pic>
      <xdr:nvPicPr>
        <xdr:cNvPr id="4" name="Picture 4"/>
        <xdr:cNvPicPr preferRelativeResize="1">
          <a:picLocks noChangeAspect="1"/>
        </xdr:cNvPicPr>
      </xdr:nvPicPr>
      <xdr:blipFill>
        <a:blip r:link="rId1"/>
        <a:stretch>
          <a:fillRect/>
        </a:stretch>
      </xdr:blipFill>
      <xdr:spPr>
        <a:xfrm>
          <a:off x="0" y="41567100"/>
          <a:ext cx="314325" cy="238125"/>
        </a:xfrm>
        <a:prstGeom prst="rect">
          <a:avLst/>
        </a:prstGeom>
        <a:noFill/>
        <a:ln w="9525" cmpd="sng">
          <a:noFill/>
        </a:ln>
      </xdr:spPr>
    </xdr:pic>
    <xdr:clientData/>
  </xdr:twoCellAnchor>
  <xdr:twoCellAnchor>
    <xdr:from>
      <xdr:col>12</xdr:col>
      <xdr:colOff>66675</xdr:colOff>
      <xdr:row>205</xdr:row>
      <xdr:rowOff>47625</xdr:rowOff>
    </xdr:from>
    <xdr:to>
      <xdr:col>12</xdr:col>
      <xdr:colOff>866775</xdr:colOff>
      <xdr:row>206</xdr:row>
      <xdr:rowOff>76200</xdr:rowOff>
    </xdr:to>
    <xdr:pic>
      <xdr:nvPicPr>
        <xdr:cNvPr id="5" name="Picture 5"/>
        <xdr:cNvPicPr preferRelativeResize="1">
          <a:picLocks noChangeAspect="1"/>
        </xdr:cNvPicPr>
      </xdr:nvPicPr>
      <xdr:blipFill>
        <a:blip r:link="rId2"/>
        <a:stretch>
          <a:fillRect/>
        </a:stretch>
      </xdr:blipFill>
      <xdr:spPr>
        <a:xfrm>
          <a:off x="15516225" y="41538525"/>
          <a:ext cx="800100" cy="228600"/>
        </a:xfrm>
        <a:prstGeom prst="rect">
          <a:avLst/>
        </a:prstGeom>
        <a:noFill/>
        <a:ln w="9525" cmpd="sng">
          <a:noFill/>
        </a:ln>
      </xdr:spPr>
    </xdr:pic>
    <xdr:clientData/>
  </xdr:twoCellAnchor>
  <xdr:twoCellAnchor>
    <xdr:from>
      <xdr:col>12</xdr:col>
      <xdr:colOff>123825</xdr:colOff>
      <xdr:row>144</xdr:row>
      <xdr:rowOff>66675</xdr:rowOff>
    </xdr:from>
    <xdr:to>
      <xdr:col>12</xdr:col>
      <xdr:colOff>923925</xdr:colOff>
      <xdr:row>145</xdr:row>
      <xdr:rowOff>95250</xdr:rowOff>
    </xdr:to>
    <xdr:pic>
      <xdr:nvPicPr>
        <xdr:cNvPr id="6" name="Picture 6"/>
        <xdr:cNvPicPr preferRelativeResize="1">
          <a:picLocks noChangeAspect="1"/>
        </xdr:cNvPicPr>
      </xdr:nvPicPr>
      <xdr:blipFill>
        <a:blip r:link="rId2"/>
        <a:stretch>
          <a:fillRect/>
        </a:stretch>
      </xdr:blipFill>
      <xdr:spPr>
        <a:xfrm>
          <a:off x="15573375" y="29346525"/>
          <a:ext cx="800100" cy="228600"/>
        </a:xfrm>
        <a:prstGeom prst="rect">
          <a:avLst/>
        </a:prstGeom>
        <a:noFill/>
        <a:ln w="9525" cmpd="sng">
          <a:noFill/>
        </a:ln>
      </xdr:spPr>
    </xdr:pic>
    <xdr:clientData/>
  </xdr:twoCellAnchor>
  <xdr:twoCellAnchor>
    <xdr:from>
      <xdr:col>12</xdr:col>
      <xdr:colOff>104775</xdr:colOff>
      <xdr:row>96</xdr:row>
      <xdr:rowOff>66675</xdr:rowOff>
    </xdr:from>
    <xdr:to>
      <xdr:col>12</xdr:col>
      <xdr:colOff>904875</xdr:colOff>
      <xdr:row>97</xdr:row>
      <xdr:rowOff>95250</xdr:rowOff>
    </xdr:to>
    <xdr:pic>
      <xdr:nvPicPr>
        <xdr:cNvPr id="7" name="Picture 7"/>
        <xdr:cNvPicPr preferRelativeResize="1">
          <a:picLocks noChangeAspect="1"/>
        </xdr:cNvPicPr>
      </xdr:nvPicPr>
      <xdr:blipFill>
        <a:blip r:link="rId2"/>
        <a:stretch>
          <a:fillRect/>
        </a:stretch>
      </xdr:blipFill>
      <xdr:spPr>
        <a:xfrm>
          <a:off x="15554325" y="19735800"/>
          <a:ext cx="800100" cy="228600"/>
        </a:xfrm>
        <a:prstGeom prst="rect">
          <a:avLst/>
        </a:prstGeom>
        <a:noFill/>
        <a:ln w="9525" cmpd="sng">
          <a:noFill/>
        </a:ln>
      </xdr:spPr>
    </xdr:pic>
    <xdr:clientData/>
  </xdr:twoCellAnchor>
  <xdr:twoCellAnchor>
    <xdr:from>
      <xdr:col>12</xdr:col>
      <xdr:colOff>133350</xdr:colOff>
      <xdr:row>50</xdr:row>
      <xdr:rowOff>85725</xdr:rowOff>
    </xdr:from>
    <xdr:to>
      <xdr:col>12</xdr:col>
      <xdr:colOff>933450</xdr:colOff>
      <xdr:row>51</xdr:row>
      <xdr:rowOff>114300</xdr:rowOff>
    </xdr:to>
    <xdr:pic>
      <xdr:nvPicPr>
        <xdr:cNvPr id="8" name="Picture 8"/>
        <xdr:cNvPicPr preferRelativeResize="1">
          <a:picLocks noChangeAspect="1"/>
        </xdr:cNvPicPr>
      </xdr:nvPicPr>
      <xdr:blipFill>
        <a:blip r:link="rId2"/>
        <a:stretch>
          <a:fillRect/>
        </a:stretch>
      </xdr:blipFill>
      <xdr:spPr>
        <a:xfrm>
          <a:off x="15582900" y="1014412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205</xdr:row>
      <xdr:rowOff>104775</xdr:rowOff>
    </xdr:from>
    <xdr:to>
      <xdr:col>1</xdr:col>
      <xdr:colOff>19050</xdr:colOff>
      <xdr:row>206</xdr:row>
      <xdr:rowOff>142875</xdr:rowOff>
    </xdr:to>
    <xdr:pic>
      <xdr:nvPicPr>
        <xdr:cNvPr id="4" name="Picture 4"/>
        <xdr:cNvPicPr preferRelativeResize="1">
          <a:picLocks noChangeAspect="1"/>
        </xdr:cNvPicPr>
      </xdr:nvPicPr>
      <xdr:blipFill>
        <a:blip r:link="rId1"/>
        <a:stretch>
          <a:fillRect/>
        </a:stretch>
      </xdr:blipFill>
      <xdr:spPr>
        <a:xfrm>
          <a:off x="19050" y="41595675"/>
          <a:ext cx="314325" cy="238125"/>
        </a:xfrm>
        <a:prstGeom prst="rect">
          <a:avLst/>
        </a:prstGeom>
        <a:noFill/>
        <a:ln w="9525" cmpd="sng">
          <a:noFill/>
        </a:ln>
      </xdr:spPr>
    </xdr:pic>
    <xdr:clientData/>
  </xdr:twoCellAnchor>
  <xdr:twoCellAnchor>
    <xdr:from>
      <xdr:col>11</xdr:col>
      <xdr:colOff>923925</xdr:colOff>
      <xdr:row>205</xdr:row>
      <xdr:rowOff>28575</xdr:rowOff>
    </xdr:from>
    <xdr:to>
      <xdr:col>12</xdr:col>
      <xdr:colOff>381000</xdr:colOff>
      <xdr:row>206</xdr:row>
      <xdr:rowOff>57150</xdr:rowOff>
    </xdr:to>
    <xdr:pic>
      <xdr:nvPicPr>
        <xdr:cNvPr id="5" name="Picture 5"/>
        <xdr:cNvPicPr preferRelativeResize="1">
          <a:picLocks noChangeAspect="1"/>
        </xdr:cNvPicPr>
      </xdr:nvPicPr>
      <xdr:blipFill>
        <a:blip r:link="rId2"/>
        <a:stretch>
          <a:fillRect/>
        </a:stretch>
      </xdr:blipFill>
      <xdr:spPr>
        <a:xfrm>
          <a:off x="15468600" y="41519475"/>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478125"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401925"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206</xdr:row>
      <xdr:rowOff>104775</xdr:rowOff>
    </xdr:from>
    <xdr:to>
      <xdr:col>1</xdr:col>
      <xdr:colOff>19050</xdr:colOff>
      <xdr:row>207</xdr:row>
      <xdr:rowOff>142875</xdr:rowOff>
    </xdr:to>
    <xdr:pic>
      <xdr:nvPicPr>
        <xdr:cNvPr id="4" name="Picture 4"/>
        <xdr:cNvPicPr preferRelativeResize="1">
          <a:picLocks noChangeAspect="1"/>
        </xdr:cNvPicPr>
      </xdr:nvPicPr>
      <xdr:blipFill>
        <a:blip r:link="rId1"/>
        <a:stretch>
          <a:fillRect/>
        </a:stretch>
      </xdr:blipFill>
      <xdr:spPr>
        <a:xfrm>
          <a:off x="19050" y="41795700"/>
          <a:ext cx="314325" cy="238125"/>
        </a:xfrm>
        <a:prstGeom prst="rect">
          <a:avLst/>
        </a:prstGeom>
        <a:noFill/>
        <a:ln w="9525" cmpd="sng">
          <a:noFill/>
        </a:ln>
      </xdr:spPr>
    </xdr:pic>
    <xdr:clientData/>
  </xdr:twoCellAnchor>
  <xdr:twoCellAnchor>
    <xdr:from>
      <xdr:col>11</xdr:col>
      <xdr:colOff>923925</xdr:colOff>
      <xdr:row>206</xdr:row>
      <xdr:rowOff>28575</xdr:rowOff>
    </xdr:from>
    <xdr:to>
      <xdr:col>12</xdr:col>
      <xdr:colOff>381000</xdr:colOff>
      <xdr:row>207</xdr:row>
      <xdr:rowOff>57150</xdr:rowOff>
    </xdr:to>
    <xdr:pic>
      <xdr:nvPicPr>
        <xdr:cNvPr id="5" name="Picture 5"/>
        <xdr:cNvPicPr preferRelativeResize="1">
          <a:picLocks noChangeAspect="1"/>
        </xdr:cNvPicPr>
      </xdr:nvPicPr>
      <xdr:blipFill>
        <a:blip r:link="rId2"/>
        <a:stretch>
          <a:fillRect/>
        </a:stretch>
      </xdr:blipFill>
      <xdr:spPr>
        <a:xfrm>
          <a:off x="15468600" y="41719500"/>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478125"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401925"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206</xdr:row>
      <xdr:rowOff>104775</xdr:rowOff>
    </xdr:from>
    <xdr:to>
      <xdr:col>1</xdr:col>
      <xdr:colOff>19050</xdr:colOff>
      <xdr:row>207</xdr:row>
      <xdr:rowOff>142875</xdr:rowOff>
    </xdr:to>
    <xdr:pic>
      <xdr:nvPicPr>
        <xdr:cNvPr id="4" name="Picture 4"/>
        <xdr:cNvPicPr preferRelativeResize="1">
          <a:picLocks noChangeAspect="1"/>
        </xdr:cNvPicPr>
      </xdr:nvPicPr>
      <xdr:blipFill>
        <a:blip r:link="rId1"/>
        <a:stretch>
          <a:fillRect/>
        </a:stretch>
      </xdr:blipFill>
      <xdr:spPr>
        <a:xfrm>
          <a:off x="19050" y="41795700"/>
          <a:ext cx="314325" cy="238125"/>
        </a:xfrm>
        <a:prstGeom prst="rect">
          <a:avLst/>
        </a:prstGeom>
        <a:noFill/>
        <a:ln w="9525" cmpd="sng">
          <a:noFill/>
        </a:ln>
      </xdr:spPr>
    </xdr:pic>
    <xdr:clientData/>
  </xdr:twoCellAnchor>
  <xdr:twoCellAnchor>
    <xdr:from>
      <xdr:col>11</xdr:col>
      <xdr:colOff>923925</xdr:colOff>
      <xdr:row>206</xdr:row>
      <xdr:rowOff>28575</xdr:rowOff>
    </xdr:from>
    <xdr:to>
      <xdr:col>12</xdr:col>
      <xdr:colOff>381000</xdr:colOff>
      <xdr:row>207</xdr:row>
      <xdr:rowOff>57150</xdr:rowOff>
    </xdr:to>
    <xdr:pic>
      <xdr:nvPicPr>
        <xdr:cNvPr id="5" name="Picture 5"/>
        <xdr:cNvPicPr preferRelativeResize="1">
          <a:picLocks noChangeAspect="1"/>
        </xdr:cNvPicPr>
      </xdr:nvPicPr>
      <xdr:blipFill>
        <a:blip r:link="rId2"/>
        <a:stretch>
          <a:fillRect/>
        </a:stretch>
      </xdr:blipFill>
      <xdr:spPr>
        <a:xfrm>
          <a:off x="15468600" y="41719500"/>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478125"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401925"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106</xdr:row>
      <xdr:rowOff>76200</xdr:rowOff>
    </xdr:from>
    <xdr:to>
      <xdr:col>1</xdr:col>
      <xdr:colOff>0</xdr:colOff>
      <xdr:row>107</xdr:row>
      <xdr:rowOff>114300</xdr:rowOff>
    </xdr:to>
    <xdr:pic>
      <xdr:nvPicPr>
        <xdr:cNvPr id="2" name="Picture 2"/>
        <xdr:cNvPicPr preferRelativeResize="1">
          <a:picLocks noChangeAspect="1"/>
        </xdr:cNvPicPr>
      </xdr:nvPicPr>
      <xdr:blipFill>
        <a:blip r:link="rId1"/>
        <a:stretch>
          <a:fillRect/>
        </a:stretch>
      </xdr:blipFill>
      <xdr:spPr>
        <a:xfrm>
          <a:off x="0" y="21745575"/>
          <a:ext cx="314325" cy="238125"/>
        </a:xfrm>
        <a:prstGeom prst="rect">
          <a:avLst/>
        </a:prstGeom>
        <a:noFill/>
        <a:ln w="9525" cmpd="sng">
          <a:noFill/>
        </a:ln>
      </xdr:spPr>
    </xdr:pic>
    <xdr:clientData/>
  </xdr:twoCellAnchor>
  <xdr:twoCellAnchor>
    <xdr:from>
      <xdr:col>0</xdr:col>
      <xdr:colOff>0</xdr:colOff>
      <xdr:row>155</xdr:row>
      <xdr:rowOff>66675</xdr:rowOff>
    </xdr:from>
    <xdr:to>
      <xdr:col>1</xdr:col>
      <xdr:colOff>0</xdr:colOff>
      <xdr:row>156</xdr:row>
      <xdr:rowOff>104775</xdr:rowOff>
    </xdr:to>
    <xdr:pic>
      <xdr:nvPicPr>
        <xdr:cNvPr id="3" name="Picture 3"/>
        <xdr:cNvPicPr preferRelativeResize="1">
          <a:picLocks noChangeAspect="1"/>
        </xdr:cNvPicPr>
      </xdr:nvPicPr>
      <xdr:blipFill>
        <a:blip r:link="rId1"/>
        <a:stretch>
          <a:fillRect/>
        </a:stretch>
      </xdr:blipFill>
      <xdr:spPr>
        <a:xfrm>
          <a:off x="0" y="31546800"/>
          <a:ext cx="314325" cy="238125"/>
        </a:xfrm>
        <a:prstGeom prst="rect">
          <a:avLst/>
        </a:prstGeom>
        <a:noFill/>
        <a:ln w="9525" cmpd="sng">
          <a:noFill/>
        </a:ln>
      </xdr:spPr>
    </xdr:pic>
    <xdr:clientData/>
  </xdr:twoCellAnchor>
  <xdr:twoCellAnchor>
    <xdr:from>
      <xdr:col>0</xdr:col>
      <xdr:colOff>19050</xdr:colOff>
      <xdr:row>217</xdr:row>
      <xdr:rowOff>104775</xdr:rowOff>
    </xdr:from>
    <xdr:to>
      <xdr:col>1</xdr:col>
      <xdr:colOff>19050</xdr:colOff>
      <xdr:row>218</xdr:row>
      <xdr:rowOff>142875</xdr:rowOff>
    </xdr:to>
    <xdr:pic>
      <xdr:nvPicPr>
        <xdr:cNvPr id="4" name="Picture 4"/>
        <xdr:cNvPicPr preferRelativeResize="1">
          <a:picLocks noChangeAspect="1"/>
        </xdr:cNvPicPr>
      </xdr:nvPicPr>
      <xdr:blipFill>
        <a:blip r:link="rId1"/>
        <a:stretch>
          <a:fillRect/>
        </a:stretch>
      </xdr:blipFill>
      <xdr:spPr>
        <a:xfrm>
          <a:off x="19050" y="43995975"/>
          <a:ext cx="314325" cy="238125"/>
        </a:xfrm>
        <a:prstGeom prst="rect">
          <a:avLst/>
        </a:prstGeom>
        <a:noFill/>
        <a:ln w="9525" cmpd="sng">
          <a:noFill/>
        </a:ln>
      </xdr:spPr>
    </xdr:pic>
    <xdr:clientData/>
  </xdr:twoCellAnchor>
  <xdr:twoCellAnchor>
    <xdr:from>
      <xdr:col>11</xdr:col>
      <xdr:colOff>923925</xdr:colOff>
      <xdr:row>217</xdr:row>
      <xdr:rowOff>28575</xdr:rowOff>
    </xdr:from>
    <xdr:to>
      <xdr:col>12</xdr:col>
      <xdr:colOff>381000</xdr:colOff>
      <xdr:row>218</xdr:row>
      <xdr:rowOff>57150</xdr:rowOff>
    </xdr:to>
    <xdr:pic>
      <xdr:nvPicPr>
        <xdr:cNvPr id="5" name="Picture 5"/>
        <xdr:cNvPicPr preferRelativeResize="1">
          <a:picLocks noChangeAspect="1"/>
        </xdr:cNvPicPr>
      </xdr:nvPicPr>
      <xdr:blipFill>
        <a:blip r:link="rId2"/>
        <a:stretch>
          <a:fillRect/>
        </a:stretch>
      </xdr:blipFill>
      <xdr:spPr>
        <a:xfrm>
          <a:off x="15468600" y="43919775"/>
          <a:ext cx="800100" cy="228600"/>
        </a:xfrm>
        <a:prstGeom prst="rect">
          <a:avLst/>
        </a:prstGeom>
        <a:noFill/>
        <a:ln w="9525" cmpd="sng">
          <a:noFill/>
        </a:ln>
      </xdr:spPr>
    </xdr:pic>
    <xdr:clientData/>
  </xdr:twoCellAnchor>
  <xdr:twoCellAnchor>
    <xdr:from>
      <xdr:col>11</xdr:col>
      <xdr:colOff>933450</xdr:colOff>
      <xdr:row>155</xdr:row>
      <xdr:rowOff>76200</xdr:rowOff>
    </xdr:from>
    <xdr:to>
      <xdr:col>12</xdr:col>
      <xdr:colOff>390525</xdr:colOff>
      <xdr:row>156</xdr:row>
      <xdr:rowOff>104775</xdr:rowOff>
    </xdr:to>
    <xdr:pic>
      <xdr:nvPicPr>
        <xdr:cNvPr id="6" name="Picture 6"/>
        <xdr:cNvPicPr preferRelativeResize="1">
          <a:picLocks noChangeAspect="1"/>
        </xdr:cNvPicPr>
      </xdr:nvPicPr>
      <xdr:blipFill>
        <a:blip r:link="rId2"/>
        <a:stretch>
          <a:fillRect/>
        </a:stretch>
      </xdr:blipFill>
      <xdr:spPr>
        <a:xfrm>
          <a:off x="15478125" y="31556325"/>
          <a:ext cx="800100" cy="228600"/>
        </a:xfrm>
        <a:prstGeom prst="rect">
          <a:avLst/>
        </a:prstGeom>
        <a:noFill/>
        <a:ln w="9525" cmpd="sng">
          <a:noFill/>
        </a:ln>
      </xdr:spPr>
    </xdr:pic>
    <xdr:clientData/>
  </xdr:twoCellAnchor>
  <xdr:twoCellAnchor>
    <xdr:from>
      <xdr:col>11</xdr:col>
      <xdr:colOff>857250</xdr:colOff>
      <xdr:row>106</xdr:row>
      <xdr:rowOff>76200</xdr:rowOff>
    </xdr:from>
    <xdr:to>
      <xdr:col>12</xdr:col>
      <xdr:colOff>314325</xdr:colOff>
      <xdr:row>107</xdr:row>
      <xdr:rowOff>104775</xdr:rowOff>
    </xdr:to>
    <xdr:pic>
      <xdr:nvPicPr>
        <xdr:cNvPr id="7" name="Picture 7"/>
        <xdr:cNvPicPr preferRelativeResize="1">
          <a:picLocks noChangeAspect="1"/>
        </xdr:cNvPicPr>
      </xdr:nvPicPr>
      <xdr:blipFill>
        <a:blip r:link="rId2"/>
        <a:stretch>
          <a:fillRect/>
        </a:stretch>
      </xdr:blipFill>
      <xdr:spPr>
        <a:xfrm>
          <a:off x="15401925" y="2174557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123825</xdr:rowOff>
    </xdr:from>
    <xdr:to>
      <xdr:col>1</xdr:col>
      <xdr:colOff>0</xdr:colOff>
      <xdr:row>51</xdr:row>
      <xdr:rowOff>161925</xdr:rowOff>
    </xdr:to>
    <xdr:pic>
      <xdr:nvPicPr>
        <xdr:cNvPr id="1" name="Picture 1"/>
        <xdr:cNvPicPr preferRelativeResize="1">
          <a:picLocks noChangeAspect="1"/>
        </xdr:cNvPicPr>
      </xdr:nvPicPr>
      <xdr:blipFill>
        <a:blip r:link="rId1"/>
        <a:stretch>
          <a:fillRect/>
        </a:stretch>
      </xdr:blipFill>
      <xdr:spPr>
        <a:xfrm>
          <a:off x="0" y="10182225"/>
          <a:ext cx="314325" cy="238125"/>
        </a:xfrm>
        <a:prstGeom prst="rect">
          <a:avLst/>
        </a:prstGeom>
        <a:noFill/>
        <a:ln w="9525" cmpd="sng">
          <a:noFill/>
        </a:ln>
      </xdr:spPr>
    </xdr:pic>
    <xdr:clientData/>
  </xdr:twoCellAnchor>
  <xdr:twoCellAnchor>
    <xdr:from>
      <xdr:col>0</xdr:col>
      <xdr:colOff>47625</xdr:colOff>
      <xdr:row>96</xdr:row>
      <xdr:rowOff>95250</xdr:rowOff>
    </xdr:from>
    <xdr:to>
      <xdr:col>1</xdr:col>
      <xdr:colOff>47625</xdr:colOff>
      <xdr:row>97</xdr:row>
      <xdr:rowOff>133350</xdr:rowOff>
    </xdr:to>
    <xdr:pic>
      <xdr:nvPicPr>
        <xdr:cNvPr id="2" name="Picture 2"/>
        <xdr:cNvPicPr preferRelativeResize="1">
          <a:picLocks noChangeAspect="1"/>
        </xdr:cNvPicPr>
      </xdr:nvPicPr>
      <xdr:blipFill>
        <a:blip r:link="rId1"/>
        <a:stretch>
          <a:fillRect/>
        </a:stretch>
      </xdr:blipFill>
      <xdr:spPr>
        <a:xfrm>
          <a:off x="47625" y="19764375"/>
          <a:ext cx="314325" cy="238125"/>
        </a:xfrm>
        <a:prstGeom prst="rect">
          <a:avLst/>
        </a:prstGeom>
        <a:noFill/>
        <a:ln w="9525" cmpd="sng">
          <a:noFill/>
        </a:ln>
      </xdr:spPr>
    </xdr:pic>
    <xdr:clientData/>
  </xdr:twoCellAnchor>
  <xdr:twoCellAnchor>
    <xdr:from>
      <xdr:col>0</xdr:col>
      <xdr:colOff>0</xdr:colOff>
      <xdr:row>144</xdr:row>
      <xdr:rowOff>123825</xdr:rowOff>
    </xdr:from>
    <xdr:to>
      <xdr:col>1</xdr:col>
      <xdr:colOff>0</xdr:colOff>
      <xdr:row>145</xdr:row>
      <xdr:rowOff>161925</xdr:rowOff>
    </xdr:to>
    <xdr:pic>
      <xdr:nvPicPr>
        <xdr:cNvPr id="3" name="Picture 3"/>
        <xdr:cNvPicPr preferRelativeResize="1">
          <a:picLocks noChangeAspect="1"/>
        </xdr:cNvPicPr>
      </xdr:nvPicPr>
      <xdr:blipFill>
        <a:blip r:link="rId1"/>
        <a:stretch>
          <a:fillRect/>
        </a:stretch>
      </xdr:blipFill>
      <xdr:spPr>
        <a:xfrm>
          <a:off x="0" y="29403675"/>
          <a:ext cx="314325" cy="238125"/>
        </a:xfrm>
        <a:prstGeom prst="rect">
          <a:avLst/>
        </a:prstGeom>
        <a:noFill/>
        <a:ln w="9525" cmpd="sng">
          <a:noFill/>
        </a:ln>
      </xdr:spPr>
    </xdr:pic>
    <xdr:clientData/>
  </xdr:twoCellAnchor>
  <xdr:twoCellAnchor>
    <xdr:from>
      <xdr:col>0</xdr:col>
      <xdr:colOff>0</xdr:colOff>
      <xdr:row>205</xdr:row>
      <xdr:rowOff>85725</xdr:rowOff>
    </xdr:from>
    <xdr:to>
      <xdr:col>1</xdr:col>
      <xdr:colOff>0</xdr:colOff>
      <xdr:row>206</xdr:row>
      <xdr:rowOff>123825</xdr:rowOff>
    </xdr:to>
    <xdr:pic>
      <xdr:nvPicPr>
        <xdr:cNvPr id="4" name="Picture 4"/>
        <xdr:cNvPicPr preferRelativeResize="1">
          <a:picLocks noChangeAspect="1"/>
        </xdr:cNvPicPr>
      </xdr:nvPicPr>
      <xdr:blipFill>
        <a:blip r:link="rId1"/>
        <a:stretch>
          <a:fillRect/>
        </a:stretch>
      </xdr:blipFill>
      <xdr:spPr>
        <a:xfrm>
          <a:off x="0" y="41576625"/>
          <a:ext cx="314325" cy="238125"/>
        </a:xfrm>
        <a:prstGeom prst="rect">
          <a:avLst/>
        </a:prstGeom>
        <a:noFill/>
        <a:ln w="9525" cmpd="sng">
          <a:noFill/>
        </a:ln>
      </xdr:spPr>
    </xdr:pic>
    <xdr:clientData/>
  </xdr:twoCellAnchor>
  <xdr:twoCellAnchor>
    <xdr:from>
      <xdr:col>11</xdr:col>
      <xdr:colOff>1276350</xdr:colOff>
      <xdr:row>205</xdr:row>
      <xdr:rowOff>76200</xdr:rowOff>
    </xdr:from>
    <xdr:to>
      <xdr:col>12</xdr:col>
      <xdr:colOff>733425</xdr:colOff>
      <xdr:row>206</xdr:row>
      <xdr:rowOff>104775</xdr:rowOff>
    </xdr:to>
    <xdr:pic>
      <xdr:nvPicPr>
        <xdr:cNvPr id="5" name="Picture 5"/>
        <xdr:cNvPicPr preferRelativeResize="1">
          <a:picLocks noChangeAspect="1"/>
        </xdr:cNvPicPr>
      </xdr:nvPicPr>
      <xdr:blipFill>
        <a:blip r:link="rId2"/>
        <a:stretch>
          <a:fillRect/>
        </a:stretch>
      </xdr:blipFill>
      <xdr:spPr>
        <a:xfrm>
          <a:off x="15430500" y="41567100"/>
          <a:ext cx="800100" cy="228600"/>
        </a:xfrm>
        <a:prstGeom prst="rect">
          <a:avLst/>
        </a:prstGeom>
        <a:noFill/>
        <a:ln w="9525" cmpd="sng">
          <a:noFill/>
        </a:ln>
      </xdr:spPr>
    </xdr:pic>
    <xdr:clientData/>
  </xdr:twoCellAnchor>
  <xdr:twoCellAnchor>
    <xdr:from>
      <xdr:col>12</xdr:col>
      <xdr:colOff>9525</xdr:colOff>
      <xdr:row>144</xdr:row>
      <xdr:rowOff>76200</xdr:rowOff>
    </xdr:from>
    <xdr:to>
      <xdr:col>12</xdr:col>
      <xdr:colOff>809625</xdr:colOff>
      <xdr:row>145</xdr:row>
      <xdr:rowOff>104775</xdr:rowOff>
    </xdr:to>
    <xdr:pic>
      <xdr:nvPicPr>
        <xdr:cNvPr id="6" name="Picture 6"/>
        <xdr:cNvPicPr preferRelativeResize="1">
          <a:picLocks noChangeAspect="1"/>
        </xdr:cNvPicPr>
      </xdr:nvPicPr>
      <xdr:blipFill>
        <a:blip r:link="rId2"/>
        <a:stretch>
          <a:fillRect/>
        </a:stretch>
      </xdr:blipFill>
      <xdr:spPr>
        <a:xfrm>
          <a:off x="15506700" y="29356050"/>
          <a:ext cx="800100" cy="228600"/>
        </a:xfrm>
        <a:prstGeom prst="rect">
          <a:avLst/>
        </a:prstGeom>
        <a:noFill/>
        <a:ln w="9525" cmpd="sng">
          <a:noFill/>
        </a:ln>
      </xdr:spPr>
    </xdr:pic>
    <xdr:clientData/>
  </xdr:twoCellAnchor>
  <xdr:twoCellAnchor>
    <xdr:from>
      <xdr:col>12</xdr:col>
      <xdr:colOff>0</xdr:colOff>
      <xdr:row>96</xdr:row>
      <xdr:rowOff>85725</xdr:rowOff>
    </xdr:from>
    <xdr:to>
      <xdr:col>12</xdr:col>
      <xdr:colOff>800100</xdr:colOff>
      <xdr:row>97</xdr:row>
      <xdr:rowOff>114300</xdr:rowOff>
    </xdr:to>
    <xdr:pic>
      <xdr:nvPicPr>
        <xdr:cNvPr id="7" name="Picture 7"/>
        <xdr:cNvPicPr preferRelativeResize="1">
          <a:picLocks noChangeAspect="1"/>
        </xdr:cNvPicPr>
      </xdr:nvPicPr>
      <xdr:blipFill>
        <a:blip r:link="rId2"/>
        <a:stretch>
          <a:fillRect/>
        </a:stretch>
      </xdr:blipFill>
      <xdr:spPr>
        <a:xfrm>
          <a:off x="15497175" y="19754850"/>
          <a:ext cx="800100" cy="228600"/>
        </a:xfrm>
        <a:prstGeom prst="rect">
          <a:avLst/>
        </a:prstGeom>
        <a:noFill/>
        <a:ln w="9525" cmpd="sng">
          <a:noFill/>
        </a:ln>
      </xdr:spPr>
    </xdr:pic>
    <xdr:clientData/>
  </xdr:twoCellAnchor>
  <xdr:twoCellAnchor>
    <xdr:from>
      <xdr:col>11</xdr:col>
      <xdr:colOff>1314450</xdr:colOff>
      <xdr:row>50</xdr:row>
      <xdr:rowOff>95250</xdr:rowOff>
    </xdr:from>
    <xdr:to>
      <xdr:col>12</xdr:col>
      <xdr:colOff>771525</xdr:colOff>
      <xdr:row>51</xdr:row>
      <xdr:rowOff>123825</xdr:rowOff>
    </xdr:to>
    <xdr:pic>
      <xdr:nvPicPr>
        <xdr:cNvPr id="8" name="Picture 8"/>
        <xdr:cNvPicPr preferRelativeResize="1">
          <a:picLocks noChangeAspect="1"/>
        </xdr:cNvPicPr>
      </xdr:nvPicPr>
      <xdr:blipFill>
        <a:blip r:link="rId2"/>
        <a:stretch>
          <a:fillRect/>
        </a:stretch>
      </xdr:blipFill>
      <xdr:spPr>
        <a:xfrm>
          <a:off x="15468600" y="10153650"/>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104775</xdr:rowOff>
    </xdr:from>
    <xdr:to>
      <xdr:col>1</xdr:col>
      <xdr:colOff>0</xdr:colOff>
      <xdr:row>51</xdr:row>
      <xdr:rowOff>142875</xdr:rowOff>
    </xdr:to>
    <xdr:pic>
      <xdr:nvPicPr>
        <xdr:cNvPr id="1" name="Picture 1"/>
        <xdr:cNvPicPr preferRelativeResize="1">
          <a:picLocks noChangeAspect="1"/>
        </xdr:cNvPicPr>
      </xdr:nvPicPr>
      <xdr:blipFill>
        <a:blip r:link="rId1"/>
        <a:stretch>
          <a:fillRect/>
        </a:stretch>
      </xdr:blipFill>
      <xdr:spPr>
        <a:xfrm>
          <a:off x="0" y="10163175"/>
          <a:ext cx="314325" cy="238125"/>
        </a:xfrm>
        <a:prstGeom prst="rect">
          <a:avLst/>
        </a:prstGeom>
        <a:noFill/>
        <a:ln w="9525" cmpd="sng">
          <a:noFill/>
        </a:ln>
      </xdr:spPr>
    </xdr:pic>
    <xdr:clientData/>
  </xdr:twoCellAnchor>
  <xdr:twoCellAnchor>
    <xdr:from>
      <xdr:col>0</xdr:col>
      <xdr:colOff>0</xdr:colOff>
      <xdr:row>96</xdr:row>
      <xdr:rowOff>95250</xdr:rowOff>
    </xdr:from>
    <xdr:to>
      <xdr:col>1</xdr:col>
      <xdr:colOff>0</xdr:colOff>
      <xdr:row>97</xdr:row>
      <xdr:rowOff>133350</xdr:rowOff>
    </xdr:to>
    <xdr:pic>
      <xdr:nvPicPr>
        <xdr:cNvPr id="2" name="Picture 2"/>
        <xdr:cNvPicPr preferRelativeResize="1">
          <a:picLocks noChangeAspect="1"/>
        </xdr:cNvPicPr>
      </xdr:nvPicPr>
      <xdr:blipFill>
        <a:blip r:link="rId1"/>
        <a:stretch>
          <a:fillRect/>
        </a:stretch>
      </xdr:blipFill>
      <xdr:spPr>
        <a:xfrm>
          <a:off x="0" y="19764375"/>
          <a:ext cx="314325" cy="238125"/>
        </a:xfrm>
        <a:prstGeom prst="rect">
          <a:avLst/>
        </a:prstGeom>
        <a:noFill/>
        <a:ln w="9525" cmpd="sng">
          <a:noFill/>
        </a:ln>
      </xdr:spPr>
    </xdr:pic>
    <xdr:clientData/>
  </xdr:twoCellAnchor>
  <xdr:twoCellAnchor>
    <xdr:from>
      <xdr:col>0</xdr:col>
      <xdr:colOff>0</xdr:colOff>
      <xdr:row>144</xdr:row>
      <xdr:rowOff>104775</xdr:rowOff>
    </xdr:from>
    <xdr:to>
      <xdr:col>1</xdr:col>
      <xdr:colOff>0</xdr:colOff>
      <xdr:row>145</xdr:row>
      <xdr:rowOff>142875</xdr:rowOff>
    </xdr:to>
    <xdr:pic>
      <xdr:nvPicPr>
        <xdr:cNvPr id="3" name="Picture 4"/>
        <xdr:cNvPicPr preferRelativeResize="1">
          <a:picLocks noChangeAspect="1"/>
        </xdr:cNvPicPr>
      </xdr:nvPicPr>
      <xdr:blipFill>
        <a:blip r:link="rId1"/>
        <a:stretch>
          <a:fillRect/>
        </a:stretch>
      </xdr:blipFill>
      <xdr:spPr>
        <a:xfrm>
          <a:off x="0" y="29384625"/>
          <a:ext cx="314325" cy="238125"/>
        </a:xfrm>
        <a:prstGeom prst="rect">
          <a:avLst/>
        </a:prstGeom>
        <a:noFill/>
        <a:ln w="9525" cmpd="sng">
          <a:noFill/>
        </a:ln>
      </xdr:spPr>
    </xdr:pic>
    <xdr:clientData/>
  </xdr:twoCellAnchor>
  <xdr:twoCellAnchor>
    <xdr:from>
      <xdr:col>0</xdr:col>
      <xdr:colOff>0</xdr:colOff>
      <xdr:row>205</xdr:row>
      <xdr:rowOff>85725</xdr:rowOff>
    </xdr:from>
    <xdr:to>
      <xdr:col>1</xdr:col>
      <xdr:colOff>0</xdr:colOff>
      <xdr:row>206</xdr:row>
      <xdr:rowOff>123825</xdr:rowOff>
    </xdr:to>
    <xdr:pic>
      <xdr:nvPicPr>
        <xdr:cNvPr id="4" name="Picture 5"/>
        <xdr:cNvPicPr preferRelativeResize="1">
          <a:picLocks noChangeAspect="1"/>
        </xdr:cNvPicPr>
      </xdr:nvPicPr>
      <xdr:blipFill>
        <a:blip r:link="rId1"/>
        <a:stretch>
          <a:fillRect/>
        </a:stretch>
      </xdr:blipFill>
      <xdr:spPr>
        <a:xfrm>
          <a:off x="0" y="41576625"/>
          <a:ext cx="314325" cy="238125"/>
        </a:xfrm>
        <a:prstGeom prst="rect">
          <a:avLst/>
        </a:prstGeom>
        <a:noFill/>
        <a:ln w="9525" cmpd="sng">
          <a:noFill/>
        </a:ln>
      </xdr:spPr>
    </xdr:pic>
    <xdr:clientData/>
  </xdr:twoCellAnchor>
  <xdr:twoCellAnchor>
    <xdr:from>
      <xdr:col>11</xdr:col>
      <xdr:colOff>1276350</xdr:colOff>
      <xdr:row>205</xdr:row>
      <xdr:rowOff>57150</xdr:rowOff>
    </xdr:from>
    <xdr:to>
      <xdr:col>12</xdr:col>
      <xdr:colOff>733425</xdr:colOff>
      <xdr:row>206</xdr:row>
      <xdr:rowOff>85725</xdr:rowOff>
    </xdr:to>
    <xdr:pic>
      <xdr:nvPicPr>
        <xdr:cNvPr id="5" name="Picture 6"/>
        <xdr:cNvPicPr preferRelativeResize="1">
          <a:picLocks noChangeAspect="1"/>
        </xdr:cNvPicPr>
      </xdr:nvPicPr>
      <xdr:blipFill>
        <a:blip r:link="rId2"/>
        <a:stretch>
          <a:fillRect/>
        </a:stretch>
      </xdr:blipFill>
      <xdr:spPr>
        <a:xfrm>
          <a:off x="15649575" y="41548050"/>
          <a:ext cx="800100" cy="228600"/>
        </a:xfrm>
        <a:prstGeom prst="rect">
          <a:avLst/>
        </a:prstGeom>
        <a:noFill/>
        <a:ln w="9525" cmpd="sng">
          <a:noFill/>
        </a:ln>
      </xdr:spPr>
    </xdr:pic>
    <xdr:clientData/>
  </xdr:twoCellAnchor>
  <xdr:twoCellAnchor>
    <xdr:from>
      <xdr:col>11</xdr:col>
      <xdr:colOff>1276350</xdr:colOff>
      <xdr:row>144</xdr:row>
      <xdr:rowOff>76200</xdr:rowOff>
    </xdr:from>
    <xdr:to>
      <xdr:col>12</xdr:col>
      <xdr:colOff>733425</xdr:colOff>
      <xdr:row>145</xdr:row>
      <xdr:rowOff>104775</xdr:rowOff>
    </xdr:to>
    <xdr:pic>
      <xdr:nvPicPr>
        <xdr:cNvPr id="6" name="Picture 7"/>
        <xdr:cNvPicPr preferRelativeResize="1">
          <a:picLocks noChangeAspect="1"/>
        </xdr:cNvPicPr>
      </xdr:nvPicPr>
      <xdr:blipFill>
        <a:blip r:link="rId2"/>
        <a:stretch>
          <a:fillRect/>
        </a:stretch>
      </xdr:blipFill>
      <xdr:spPr>
        <a:xfrm>
          <a:off x="15649575" y="29356050"/>
          <a:ext cx="800100" cy="228600"/>
        </a:xfrm>
        <a:prstGeom prst="rect">
          <a:avLst/>
        </a:prstGeom>
        <a:noFill/>
        <a:ln w="9525" cmpd="sng">
          <a:noFill/>
        </a:ln>
      </xdr:spPr>
    </xdr:pic>
    <xdr:clientData/>
  </xdr:twoCellAnchor>
  <xdr:twoCellAnchor>
    <xdr:from>
      <xdr:col>11</xdr:col>
      <xdr:colOff>1304925</xdr:colOff>
      <xdr:row>96</xdr:row>
      <xdr:rowOff>76200</xdr:rowOff>
    </xdr:from>
    <xdr:to>
      <xdr:col>12</xdr:col>
      <xdr:colOff>762000</xdr:colOff>
      <xdr:row>97</xdr:row>
      <xdr:rowOff>104775</xdr:rowOff>
    </xdr:to>
    <xdr:pic>
      <xdr:nvPicPr>
        <xdr:cNvPr id="7" name="Picture 8"/>
        <xdr:cNvPicPr preferRelativeResize="1">
          <a:picLocks noChangeAspect="1"/>
        </xdr:cNvPicPr>
      </xdr:nvPicPr>
      <xdr:blipFill>
        <a:blip r:link="rId2"/>
        <a:stretch>
          <a:fillRect/>
        </a:stretch>
      </xdr:blipFill>
      <xdr:spPr>
        <a:xfrm>
          <a:off x="15678150" y="19745325"/>
          <a:ext cx="800100" cy="228600"/>
        </a:xfrm>
        <a:prstGeom prst="rect">
          <a:avLst/>
        </a:prstGeom>
        <a:noFill/>
        <a:ln w="9525" cmpd="sng">
          <a:noFill/>
        </a:ln>
      </xdr:spPr>
    </xdr:pic>
    <xdr:clientData/>
  </xdr:twoCellAnchor>
  <xdr:twoCellAnchor>
    <xdr:from>
      <xdr:col>11</xdr:col>
      <xdr:colOff>1314450</xdr:colOff>
      <xdr:row>50</xdr:row>
      <xdr:rowOff>66675</xdr:rowOff>
    </xdr:from>
    <xdr:to>
      <xdr:col>12</xdr:col>
      <xdr:colOff>771525</xdr:colOff>
      <xdr:row>51</xdr:row>
      <xdr:rowOff>95250</xdr:rowOff>
    </xdr:to>
    <xdr:pic>
      <xdr:nvPicPr>
        <xdr:cNvPr id="8" name="Picture 9"/>
        <xdr:cNvPicPr preferRelativeResize="1">
          <a:picLocks noChangeAspect="1"/>
        </xdr:cNvPicPr>
      </xdr:nvPicPr>
      <xdr:blipFill>
        <a:blip r:link="rId2"/>
        <a:stretch>
          <a:fillRect/>
        </a:stretch>
      </xdr:blipFill>
      <xdr:spPr>
        <a:xfrm>
          <a:off x="15687675" y="10125075"/>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161925</xdr:rowOff>
    </xdr:from>
    <xdr:to>
      <xdr:col>1</xdr:col>
      <xdr:colOff>0</xdr:colOff>
      <xdr:row>51</xdr:row>
      <xdr:rowOff>200025</xdr:rowOff>
    </xdr:to>
    <xdr:pic>
      <xdr:nvPicPr>
        <xdr:cNvPr id="1" name="Picture 1"/>
        <xdr:cNvPicPr preferRelativeResize="1">
          <a:picLocks noChangeAspect="1"/>
        </xdr:cNvPicPr>
      </xdr:nvPicPr>
      <xdr:blipFill>
        <a:blip r:link="rId1"/>
        <a:stretch>
          <a:fillRect/>
        </a:stretch>
      </xdr:blipFill>
      <xdr:spPr>
        <a:xfrm>
          <a:off x="0" y="10220325"/>
          <a:ext cx="314325" cy="238125"/>
        </a:xfrm>
        <a:prstGeom prst="rect">
          <a:avLst/>
        </a:prstGeom>
        <a:noFill/>
        <a:ln w="9525" cmpd="sng">
          <a:noFill/>
        </a:ln>
      </xdr:spPr>
    </xdr:pic>
    <xdr:clientData/>
  </xdr:twoCellAnchor>
  <xdr:twoCellAnchor>
    <xdr:from>
      <xdr:col>0</xdr:col>
      <xdr:colOff>28575</xdr:colOff>
      <xdr:row>96</xdr:row>
      <xdr:rowOff>123825</xdr:rowOff>
    </xdr:from>
    <xdr:to>
      <xdr:col>1</xdr:col>
      <xdr:colOff>28575</xdr:colOff>
      <xdr:row>97</xdr:row>
      <xdr:rowOff>161925</xdr:rowOff>
    </xdr:to>
    <xdr:pic>
      <xdr:nvPicPr>
        <xdr:cNvPr id="2" name="Picture 2"/>
        <xdr:cNvPicPr preferRelativeResize="1">
          <a:picLocks noChangeAspect="1"/>
        </xdr:cNvPicPr>
      </xdr:nvPicPr>
      <xdr:blipFill>
        <a:blip r:link="rId1"/>
        <a:stretch>
          <a:fillRect/>
        </a:stretch>
      </xdr:blipFill>
      <xdr:spPr>
        <a:xfrm>
          <a:off x="28575" y="19792950"/>
          <a:ext cx="314325" cy="238125"/>
        </a:xfrm>
        <a:prstGeom prst="rect">
          <a:avLst/>
        </a:prstGeom>
        <a:noFill/>
        <a:ln w="9525" cmpd="sng">
          <a:noFill/>
        </a:ln>
      </xdr:spPr>
    </xdr:pic>
    <xdr:clientData/>
  </xdr:twoCellAnchor>
  <xdr:twoCellAnchor>
    <xdr:from>
      <xdr:col>0</xdr:col>
      <xdr:colOff>19050</xdr:colOff>
      <xdr:row>144</xdr:row>
      <xdr:rowOff>95250</xdr:rowOff>
    </xdr:from>
    <xdr:to>
      <xdr:col>1</xdr:col>
      <xdr:colOff>19050</xdr:colOff>
      <xdr:row>145</xdr:row>
      <xdr:rowOff>133350</xdr:rowOff>
    </xdr:to>
    <xdr:pic>
      <xdr:nvPicPr>
        <xdr:cNvPr id="3" name="Picture 3"/>
        <xdr:cNvPicPr preferRelativeResize="1">
          <a:picLocks noChangeAspect="1"/>
        </xdr:cNvPicPr>
      </xdr:nvPicPr>
      <xdr:blipFill>
        <a:blip r:link="rId1"/>
        <a:stretch>
          <a:fillRect/>
        </a:stretch>
      </xdr:blipFill>
      <xdr:spPr>
        <a:xfrm>
          <a:off x="19050" y="29375100"/>
          <a:ext cx="314325" cy="238125"/>
        </a:xfrm>
        <a:prstGeom prst="rect">
          <a:avLst/>
        </a:prstGeom>
        <a:noFill/>
        <a:ln w="9525" cmpd="sng">
          <a:noFill/>
        </a:ln>
      </xdr:spPr>
    </xdr:pic>
    <xdr:clientData/>
  </xdr:twoCellAnchor>
  <xdr:twoCellAnchor>
    <xdr:from>
      <xdr:col>0</xdr:col>
      <xdr:colOff>0</xdr:colOff>
      <xdr:row>205</xdr:row>
      <xdr:rowOff>76200</xdr:rowOff>
    </xdr:from>
    <xdr:to>
      <xdr:col>1</xdr:col>
      <xdr:colOff>0</xdr:colOff>
      <xdr:row>206</xdr:row>
      <xdr:rowOff>114300</xdr:rowOff>
    </xdr:to>
    <xdr:pic>
      <xdr:nvPicPr>
        <xdr:cNvPr id="4" name="Picture 4"/>
        <xdr:cNvPicPr preferRelativeResize="1">
          <a:picLocks noChangeAspect="1"/>
        </xdr:cNvPicPr>
      </xdr:nvPicPr>
      <xdr:blipFill>
        <a:blip r:link="rId1"/>
        <a:stretch>
          <a:fillRect/>
        </a:stretch>
      </xdr:blipFill>
      <xdr:spPr>
        <a:xfrm>
          <a:off x="0" y="41567100"/>
          <a:ext cx="314325" cy="238125"/>
        </a:xfrm>
        <a:prstGeom prst="rect">
          <a:avLst/>
        </a:prstGeom>
        <a:noFill/>
        <a:ln w="9525" cmpd="sng">
          <a:noFill/>
        </a:ln>
      </xdr:spPr>
    </xdr:pic>
    <xdr:clientData/>
  </xdr:twoCellAnchor>
  <xdr:twoCellAnchor>
    <xdr:from>
      <xdr:col>11</xdr:col>
      <xdr:colOff>1162050</xdr:colOff>
      <xdr:row>205</xdr:row>
      <xdr:rowOff>76200</xdr:rowOff>
    </xdr:from>
    <xdr:to>
      <xdr:col>12</xdr:col>
      <xdr:colOff>619125</xdr:colOff>
      <xdr:row>206</xdr:row>
      <xdr:rowOff>104775</xdr:rowOff>
    </xdr:to>
    <xdr:pic>
      <xdr:nvPicPr>
        <xdr:cNvPr id="5" name="Picture 5"/>
        <xdr:cNvPicPr preferRelativeResize="1">
          <a:picLocks noChangeAspect="1"/>
        </xdr:cNvPicPr>
      </xdr:nvPicPr>
      <xdr:blipFill>
        <a:blip r:link="rId2"/>
        <a:stretch>
          <a:fillRect/>
        </a:stretch>
      </xdr:blipFill>
      <xdr:spPr>
        <a:xfrm>
          <a:off x="15506700" y="41567100"/>
          <a:ext cx="800100" cy="228600"/>
        </a:xfrm>
        <a:prstGeom prst="rect">
          <a:avLst/>
        </a:prstGeom>
        <a:noFill/>
        <a:ln w="9525" cmpd="sng">
          <a:noFill/>
        </a:ln>
      </xdr:spPr>
    </xdr:pic>
    <xdr:clientData/>
  </xdr:twoCellAnchor>
  <xdr:twoCellAnchor>
    <xdr:from>
      <xdr:col>11</xdr:col>
      <xdr:colOff>1247775</xdr:colOff>
      <xdr:row>144</xdr:row>
      <xdr:rowOff>85725</xdr:rowOff>
    </xdr:from>
    <xdr:to>
      <xdr:col>12</xdr:col>
      <xdr:colOff>704850</xdr:colOff>
      <xdr:row>145</xdr:row>
      <xdr:rowOff>114300</xdr:rowOff>
    </xdr:to>
    <xdr:pic>
      <xdr:nvPicPr>
        <xdr:cNvPr id="6" name="Picture 6"/>
        <xdr:cNvPicPr preferRelativeResize="1">
          <a:picLocks noChangeAspect="1"/>
        </xdr:cNvPicPr>
      </xdr:nvPicPr>
      <xdr:blipFill>
        <a:blip r:link="rId2"/>
        <a:stretch>
          <a:fillRect/>
        </a:stretch>
      </xdr:blipFill>
      <xdr:spPr>
        <a:xfrm>
          <a:off x="15592425" y="29365575"/>
          <a:ext cx="800100" cy="228600"/>
        </a:xfrm>
        <a:prstGeom prst="rect">
          <a:avLst/>
        </a:prstGeom>
        <a:noFill/>
        <a:ln w="9525" cmpd="sng">
          <a:noFill/>
        </a:ln>
      </xdr:spPr>
    </xdr:pic>
    <xdr:clientData/>
  </xdr:twoCellAnchor>
  <xdr:twoCellAnchor>
    <xdr:from>
      <xdr:col>11</xdr:col>
      <xdr:colOff>1257300</xdr:colOff>
      <xdr:row>96</xdr:row>
      <xdr:rowOff>76200</xdr:rowOff>
    </xdr:from>
    <xdr:to>
      <xdr:col>12</xdr:col>
      <xdr:colOff>714375</xdr:colOff>
      <xdr:row>97</xdr:row>
      <xdr:rowOff>104775</xdr:rowOff>
    </xdr:to>
    <xdr:pic>
      <xdr:nvPicPr>
        <xdr:cNvPr id="7" name="Picture 7"/>
        <xdr:cNvPicPr preferRelativeResize="1">
          <a:picLocks noChangeAspect="1"/>
        </xdr:cNvPicPr>
      </xdr:nvPicPr>
      <xdr:blipFill>
        <a:blip r:link="rId2"/>
        <a:stretch>
          <a:fillRect/>
        </a:stretch>
      </xdr:blipFill>
      <xdr:spPr>
        <a:xfrm>
          <a:off x="15601950" y="19745325"/>
          <a:ext cx="800100" cy="228600"/>
        </a:xfrm>
        <a:prstGeom prst="rect">
          <a:avLst/>
        </a:prstGeom>
        <a:noFill/>
        <a:ln w="9525" cmpd="sng">
          <a:noFill/>
        </a:ln>
      </xdr:spPr>
    </xdr:pic>
    <xdr:clientData/>
  </xdr:twoCellAnchor>
  <xdr:twoCellAnchor>
    <xdr:from>
      <xdr:col>11</xdr:col>
      <xdr:colOff>1266825</xdr:colOff>
      <xdr:row>50</xdr:row>
      <xdr:rowOff>57150</xdr:rowOff>
    </xdr:from>
    <xdr:to>
      <xdr:col>12</xdr:col>
      <xdr:colOff>723900</xdr:colOff>
      <xdr:row>51</xdr:row>
      <xdr:rowOff>85725</xdr:rowOff>
    </xdr:to>
    <xdr:pic>
      <xdr:nvPicPr>
        <xdr:cNvPr id="8" name="Picture 8"/>
        <xdr:cNvPicPr preferRelativeResize="1">
          <a:picLocks noChangeAspect="1"/>
        </xdr:cNvPicPr>
      </xdr:nvPicPr>
      <xdr:blipFill>
        <a:blip r:link="rId2"/>
        <a:stretch>
          <a:fillRect/>
        </a:stretch>
      </xdr:blipFill>
      <xdr:spPr>
        <a:xfrm>
          <a:off x="15611475" y="1011555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95250</xdr:rowOff>
    </xdr:from>
    <xdr:to>
      <xdr:col>1</xdr:col>
      <xdr:colOff>0</xdr:colOff>
      <xdr:row>51</xdr:row>
      <xdr:rowOff>133350</xdr:rowOff>
    </xdr:to>
    <xdr:pic>
      <xdr:nvPicPr>
        <xdr:cNvPr id="1" name="Picture 1"/>
        <xdr:cNvPicPr preferRelativeResize="1">
          <a:picLocks noChangeAspect="1"/>
        </xdr:cNvPicPr>
      </xdr:nvPicPr>
      <xdr:blipFill>
        <a:blip r:link="rId1"/>
        <a:stretch>
          <a:fillRect/>
        </a:stretch>
      </xdr:blipFill>
      <xdr:spPr>
        <a:xfrm>
          <a:off x="0" y="10153650"/>
          <a:ext cx="314325" cy="238125"/>
        </a:xfrm>
        <a:prstGeom prst="rect">
          <a:avLst/>
        </a:prstGeom>
        <a:noFill/>
        <a:ln w="9525" cmpd="sng">
          <a:noFill/>
        </a:ln>
      </xdr:spPr>
    </xdr:pic>
    <xdr:clientData/>
  </xdr:twoCellAnchor>
  <xdr:twoCellAnchor>
    <xdr:from>
      <xdr:col>0</xdr:col>
      <xdr:colOff>0</xdr:colOff>
      <xdr:row>96</xdr:row>
      <xdr:rowOff>104775</xdr:rowOff>
    </xdr:from>
    <xdr:to>
      <xdr:col>1</xdr:col>
      <xdr:colOff>0</xdr:colOff>
      <xdr:row>97</xdr:row>
      <xdr:rowOff>142875</xdr:rowOff>
    </xdr:to>
    <xdr:pic>
      <xdr:nvPicPr>
        <xdr:cNvPr id="2" name="Picture 2"/>
        <xdr:cNvPicPr preferRelativeResize="1">
          <a:picLocks noChangeAspect="1"/>
        </xdr:cNvPicPr>
      </xdr:nvPicPr>
      <xdr:blipFill>
        <a:blip r:link="rId1"/>
        <a:stretch>
          <a:fillRect/>
        </a:stretch>
      </xdr:blipFill>
      <xdr:spPr>
        <a:xfrm>
          <a:off x="0" y="19773900"/>
          <a:ext cx="314325" cy="238125"/>
        </a:xfrm>
        <a:prstGeom prst="rect">
          <a:avLst/>
        </a:prstGeom>
        <a:noFill/>
        <a:ln w="9525" cmpd="sng">
          <a:noFill/>
        </a:ln>
      </xdr:spPr>
    </xdr:pic>
    <xdr:clientData/>
  </xdr:twoCellAnchor>
  <xdr:twoCellAnchor>
    <xdr:from>
      <xdr:col>0</xdr:col>
      <xdr:colOff>28575</xdr:colOff>
      <xdr:row>144</xdr:row>
      <xdr:rowOff>95250</xdr:rowOff>
    </xdr:from>
    <xdr:to>
      <xdr:col>1</xdr:col>
      <xdr:colOff>28575</xdr:colOff>
      <xdr:row>145</xdr:row>
      <xdr:rowOff>133350</xdr:rowOff>
    </xdr:to>
    <xdr:pic>
      <xdr:nvPicPr>
        <xdr:cNvPr id="3" name="Picture 3"/>
        <xdr:cNvPicPr preferRelativeResize="1">
          <a:picLocks noChangeAspect="1"/>
        </xdr:cNvPicPr>
      </xdr:nvPicPr>
      <xdr:blipFill>
        <a:blip r:link="rId1"/>
        <a:stretch>
          <a:fillRect/>
        </a:stretch>
      </xdr:blipFill>
      <xdr:spPr>
        <a:xfrm>
          <a:off x="28575" y="29375100"/>
          <a:ext cx="314325" cy="238125"/>
        </a:xfrm>
        <a:prstGeom prst="rect">
          <a:avLst/>
        </a:prstGeom>
        <a:noFill/>
        <a:ln w="9525" cmpd="sng">
          <a:noFill/>
        </a:ln>
      </xdr:spPr>
    </xdr:pic>
    <xdr:clientData/>
  </xdr:twoCellAnchor>
  <xdr:twoCellAnchor>
    <xdr:from>
      <xdr:col>0</xdr:col>
      <xdr:colOff>57150</xdr:colOff>
      <xdr:row>205</xdr:row>
      <xdr:rowOff>95250</xdr:rowOff>
    </xdr:from>
    <xdr:to>
      <xdr:col>1</xdr:col>
      <xdr:colOff>57150</xdr:colOff>
      <xdr:row>206</xdr:row>
      <xdr:rowOff>133350</xdr:rowOff>
    </xdr:to>
    <xdr:pic>
      <xdr:nvPicPr>
        <xdr:cNvPr id="4" name="Picture 4"/>
        <xdr:cNvPicPr preferRelativeResize="1">
          <a:picLocks noChangeAspect="1"/>
        </xdr:cNvPicPr>
      </xdr:nvPicPr>
      <xdr:blipFill>
        <a:blip r:link="rId1"/>
        <a:stretch>
          <a:fillRect/>
        </a:stretch>
      </xdr:blipFill>
      <xdr:spPr>
        <a:xfrm>
          <a:off x="57150" y="41586150"/>
          <a:ext cx="314325" cy="238125"/>
        </a:xfrm>
        <a:prstGeom prst="rect">
          <a:avLst/>
        </a:prstGeom>
        <a:noFill/>
        <a:ln w="9525" cmpd="sng">
          <a:noFill/>
        </a:ln>
      </xdr:spPr>
    </xdr:pic>
    <xdr:clientData/>
  </xdr:twoCellAnchor>
  <xdr:twoCellAnchor>
    <xdr:from>
      <xdr:col>11</xdr:col>
      <xdr:colOff>1095375</xdr:colOff>
      <xdr:row>205</xdr:row>
      <xdr:rowOff>19050</xdr:rowOff>
    </xdr:from>
    <xdr:to>
      <xdr:col>12</xdr:col>
      <xdr:colOff>552450</xdr:colOff>
      <xdr:row>206</xdr:row>
      <xdr:rowOff>47625</xdr:rowOff>
    </xdr:to>
    <xdr:pic>
      <xdr:nvPicPr>
        <xdr:cNvPr id="5" name="Picture 5"/>
        <xdr:cNvPicPr preferRelativeResize="1">
          <a:picLocks noChangeAspect="1"/>
        </xdr:cNvPicPr>
      </xdr:nvPicPr>
      <xdr:blipFill>
        <a:blip r:link="rId2"/>
        <a:stretch>
          <a:fillRect/>
        </a:stretch>
      </xdr:blipFill>
      <xdr:spPr>
        <a:xfrm>
          <a:off x="15392400" y="41509950"/>
          <a:ext cx="800100" cy="228600"/>
        </a:xfrm>
        <a:prstGeom prst="rect">
          <a:avLst/>
        </a:prstGeom>
        <a:noFill/>
        <a:ln w="9525" cmpd="sng">
          <a:noFill/>
        </a:ln>
      </xdr:spPr>
    </xdr:pic>
    <xdr:clientData/>
  </xdr:twoCellAnchor>
  <xdr:twoCellAnchor>
    <xdr:from>
      <xdr:col>11</xdr:col>
      <xdr:colOff>1143000</xdr:colOff>
      <xdr:row>144</xdr:row>
      <xdr:rowOff>66675</xdr:rowOff>
    </xdr:from>
    <xdr:to>
      <xdr:col>12</xdr:col>
      <xdr:colOff>600075</xdr:colOff>
      <xdr:row>145</xdr:row>
      <xdr:rowOff>95250</xdr:rowOff>
    </xdr:to>
    <xdr:pic>
      <xdr:nvPicPr>
        <xdr:cNvPr id="6" name="Picture 6"/>
        <xdr:cNvPicPr preferRelativeResize="1">
          <a:picLocks noChangeAspect="1"/>
        </xdr:cNvPicPr>
      </xdr:nvPicPr>
      <xdr:blipFill>
        <a:blip r:link="rId2"/>
        <a:stretch>
          <a:fillRect/>
        </a:stretch>
      </xdr:blipFill>
      <xdr:spPr>
        <a:xfrm>
          <a:off x="15440025" y="29346525"/>
          <a:ext cx="800100" cy="228600"/>
        </a:xfrm>
        <a:prstGeom prst="rect">
          <a:avLst/>
        </a:prstGeom>
        <a:noFill/>
        <a:ln w="9525" cmpd="sng">
          <a:noFill/>
        </a:ln>
      </xdr:spPr>
    </xdr:pic>
    <xdr:clientData/>
  </xdr:twoCellAnchor>
  <xdr:twoCellAnchor>
    <xdr:from>
      <xdr:col>11</xdr:col>
      <xdr:colOff>1123950</xdr:colOff>
      <xdr:row>96</xdr:row>
      <xdr:rowOff>95250</xdr:rowOff>
    </xdr:from>
    <xdr:to>
      <xdr:col>12</xdr:col>
      <xdr:colOff>581025</xdr:colOff>
      <xdr:row>97</xdr:row>
      <xdr:rowOff>123825</xdr:rowOff>
    </xdr:to>
    <xdr:pic>
      <xdr:nvPicPr>
        <xdr:cNvPr id="7" name="Picture 7"/>
        <xdr:cNvPicPr preferRelativeResize="1">
          <a:picLocks noChangeAspect="1"/>
        </xdr:cNvPicPr>
      </xdr:nvPicPr>
      <xdr:blipFill>
        <a:blip r:link="rId2"/>
        <a:stretch>
          <a:fillRect/>
        </a:stretch>
      </xdr:blipFill>
      <xdr:spPr>
        <a:xfrm>
          <a:off x="15420975" y="19764375"/>
          <a:ext cx="800100" cy="228600"/>
        </a:xfrm>
        <a:prstGeom prst="rect">
          <a:avLst/>
        </a:prstGeom>
        <a:noFill/>
        <a:ln w="9525" cmpd="sng">
          <a:noFill/>
        </a:ln>
      </xdr:spPr>
    </xdr:pic>
    <xdr:clientData/>
  </xdr:twoCellAnchor>
  <xdr:twoCellAnchor>
    <xdr:from>
      <xdr:col>11</xdr:col>
      <xdr:colOff>1057275</xdr:colOff>
      <xdr:row>50</xdr:row>
      <xdr:rowOff>28575</xdr:rowOff>
    </xdr:from>
    <xdr:to>
      <xdr:col>12</xdr:col>
      <xdr:colOff>514350</xdr:colOff>
      <xdr:row>51</xdr:row>
      <xdr:rowOff>57150</xdr:rowOff>
    </xdr:to>
    <xdr:pic>
      <xdr:nvPicPr>
        <xdr:cNvPr id="8" name="Picture 8"/>
        <xdr:cNvPicPr preferRelativeResize="1">
          <a:picLocks noChangeAspect="1"/>
        </xdr:cNvPicPr>
      </xdr:nvPicPr>
      <xdr:blipFill>
        <a:blip r:link="rId2"/>
        <a:stretch>
          <a:fillRect/>
        </a:stretch>
      </xdr:blipFill>
      <xdr:spPr>
        <a:xfrm>
          <a:off x="15354300" y="1008697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205</xdr:row>
      <xdr:rowOff>104775</xdr:rowOff>
    </xdr:from>
    <xdr:to>
      <xdr:col>1</xdr:col>
      <xdr:colOff>19050</xdr:colOff>
      <xdr:row>206</xdr:row>
      <xdr:rowOff>142875</xdr:rowOff>
    </xdr:to>
    <xdr:pic>
      <xdr:nvPicPr>
        <xdr:cNvPr id="4" name="Picture 4"/>
        <xdr:cNvPicPr preferRelativeResize="1">
          <a:picLocks noChangeAspect="1"/>
        </xdr:cNvPicPr>
      </xdr:nvPicPr>
      <xdr:blipFill>
        <a:blip r:link="rId1"/>
        <a:stretch>
          <a:fillRect/>
        </a:stretch>
      </xdr:blipFill>
      <xdr:spPr>
        <a:xfrm>
          <a:off x="19050" y="41595675"/>
          <a:ext cx="314325" cy="238125"/>
        </a:xfrm>
        <a:prstGeom prst="rect">
          <a:avLst/>
        </a:prstGeom>
        <a:noFill/>
        <a:ln w="9525" cmpd="sng">
          <a:noFill/>
        </a:ln>
      </xdr:spPr>
    </xdr:pic>
    <xdr:clientData/>
  </xdr:twoCellAnchor>
  <xdr:twoCellAnchor>
    <xdr:from>
      <xdr:col>11</xdr:col>
      <xdr:colOff>923925</xdr:colOff>
      <xdr:row>205</xdr:row>
      <xdr:rowOff>28575</xdr:rowOff>
    </xdr:from>
    <xdr:to>
      <xdr:col>12</xdr:col>
      <xdr:colOff>381000</xdr:colOff>
      <xdr:row>206</xdr:row>
      <xdr:rowOff>57150</xdr:rowOff>
    </xdr:to>
    <xdr:pic>
      <xdr:nvPicPr>
        <xdr:cNvPr id="5" name="Picture 5"/>
        <xdr:cNvPicPr preferRelativeResize="1">
          <a:picLocks noChangeAspect="1"/>
        </xdr:cNvPicPr>
      </xdr:nvPicPr>
      <xdr:blipFill>
        <a:blip r:link="rId2"/>
        <a:stretch>
          <a:fillRect/>
        </a:stretch>
      </xdr:blipFill>
      <xdr:spPr>
        <a:xfrm>
          <a:off x="15211425" y="41519475"/>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220950"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144750"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211425" y="10125075"/>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205</xdr:row>
      <xdr:rowOff>104775</xdr:rowOff>
    </xdr:from>
    <xdr:to>
      <xdr:col>1</xdr:col>
      <xdr:colOff>19050</xdr:colOff>
      <xdr:row>206</xdr:row>
      <xdr:rowOff>142875</xdr:rowOff>
    </xdr:to>
    <xdr:pic>
      <xdr:nvPicPr>
        <xdr:cNvPr id="4" name="Picture 4"/>
        <xdr:cNvPicPr preferRelativeResize="1">
          <a:picLocks noChangeAspect="1"/>
        </xdr:cNvPicPr>
      </xdr:nvPicPr>
      <xdr:blipFill>
        <a:blip r:link="rId1"/>
        <a:stretch>
          <a:fillRect/>
        </a:stretch>
      </xdr:blipFill>
      <xdr:spPr>
        <a:xfrm>
          <a:off x="19050" y="41595675"/>
          <a:ext cx="314325" cy="238125"/>
        </a:xfrm>
        <a:prstGeom prst="rect">
          <a:avLst/>
        </a:prstGeom>
        <a:noFill/>
        <a:ln w="9525" cmpd="sng">
          <a:noFill/>
        </a:ln>
      </xdr:spPr>
    </xdr:pic>
    <xdr:clientData/>
  </xdr:twoCellAnchor>
  <xdr:twoCellAnchor>
    <xdr:from>
      <xdr:col>11</xdr:col>
      <xdr:colOff>923925</xdr:colOff>
      <xdr:row>205</xdr:row>
      <xdr:rowOff>28575</xdr:rowOff>
    </xdr:from>
    <xdr:to>
      <xdr:col>12</xdr:col>
      <xdr:colOff>381000</xdr:colOff>
      <xdr:row>206</xdr:row>
      <xdr:rowOff>57150</xdr:rowOff>
    </xdr:to>
    <xdr:pic>
      <xdr:nvPicPr>
        <xdr:cNvPr id="5" name="Picture 5"/>
        <xdr:cNvPicPr preferRelativeResize="1">
          <a:picLocks noChangeAspect="1"/>
        </xdr:cNvPicPr>
      </xdr:nvPicPr>
      <xdr:blipFill>
        <a:blip r:link="rId2"/>
        <a:stretch>
          <a:fillRect/>
        </a:stretch>
      </xdr:blipFill>
      <xdr:spPr>
        <a:xfrm>
          <a:off x="15468600" y="41519475"/>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478125"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401925"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205</xdr:row>
      <xdr:rowOff>104775</xdr:rowOff>
    </xdr:from>
    <xdr:to>
      <xdr:col>1</xdr:col>
      <xdr:colOff>19050</xdr:colOff>
      <xdr:row>206</xdr:row>
      <xdr:rowOff>142875</xdr:rowOff>
    </xdr:to>
    <xdr:pic>
      <xdr:nvPicPr>
        <xdr:cNvPr id="4" name="Picture 4"/>
        <xdr:cNvPicPr preferRelativeResize="1">
          <a:picLocks noChangeAspect="1"/>
        </xdr:cNvPicPr>
      </xdr:nvPicPr>
      <xdr:blipFill>
        <a:blip r:link="rId1"/>
        <a:stretch>
          <a:fillRect/>
        </a:stretch>
      </xdr:blipFill>
      <xdr:spPr>
        <a:xfrm>
          <a:off x="19050" y="41595675"/>
          <a:ext cx="314325" cy="238125"/>
        </a:xfrm>
        <a:prstGeom prst="rect">
          <a:avLst/>
        </a:prstGeom>
        <a:noFill/>
        <a:ln w="9525" cmpd="sng">
          <a:noFill/>
        </a:ln>
      </xdr:spPr>
    </xdr:pic>
    <xdr:clientData/>
  </xdr:twoCellAnchor>
  <xdr:twoCellAnchor>
    <xdr:from>
      <xdr:col>11</xdr:col>
      <xdr:colOff>923925</xdr:colOff>
      <xdr:row>205</xdr:row>
      <xdr:rowOff>28575</xdr:rowOff>
    </xdr:from>
    <xdr:to>
      <xdr:col>12</xdr:col>
      <xdr:colOff>381000</xdr:colOff>
      <xdr:row>206</xdr:row>
      <xdr:rowOff>57150</xdr:rowOff>
    </xdr:to>
    <xdr:pic>
      <xdr:nvPicPr>
        <xdr:cNvPr id="5" name="Picture 5"/>
        <xdr:cNvPicPr preferRelativeResize="1">
          <a:picLocks noChangeAspect="1"/>
        </xdr:cNvPicPr>
      </xdr:nvPicPr>
      <xdr:blipFill>
        <a:blip r:link="rId2"/>
        <a:stretch>
          <a:fillRect/>
        </a:stretch>
      </xdr:blipFill>
      <xdr:spPr>
        <a:xfrm>
          <a:off x="15468600" y="41519475"/>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478125"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401925"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1</xdr:col>
      <xdr:colOff>0</xdr:colOff>
      <xdr:row>51</xdr:row>
      <xdr:rowOff>114300</xdr:rowOff>
    </xdr:to>
    <xdr:pic>
      <xdr:nvPicPr>
        <xdr:cNvPr id="1" name="Picture 1"/>
        <xdr:cNvPicPr preferRelativeResize="1">
          <a:picLocks noChangeAspect="1"/>
        </xdr:cNvPicPr>
      </xdr:nvPicPr>
      <xdr:blipFill>
        <a:blip r:link="rId1"/>
        <a:stretch>
          <a:fillRect/>
        </a:stretch>
      </xdr:blipFill>
      <xdr:spPr>
        <a:xfrm>
          <a:off x="0" y="10134600"/>
          <a:ext cx="314325" cy="238125"/>
        </a:xfrm>
        <a:prstGeom prst="rect">
          <a:avLst/>
        </a:prstGeom>
        <a:noFill/>
        <a:ln w="9525" cmpd="sng">
          <a:noFill/>
        </a:ln>
      </xdr:spPr>
    </xdr:pic>
    <xdr:clientData/>
  </xdr:twoCellAnchor>
  <xdr:twoCellAnchor>
    <xdr:from>
      <xdr:col>0</xdr:col>
      <xdr:colOff>0</xdr:colOff>
      <xdr:row>96</xdr:row>
      <xdr:rowOff>76200</xdr:rowOff>
    </xdr:from>
    <xdr:to>
      <xdr:col>1</xdr:col>
      <xdr:colOff>0</xdr:colOff>
      <xdr:row>97</xdr:row>
      <xdr:rowOff>114300</xdr:rowOff>
    </xdr:to>
    <xdr:pic>
      <xdr:nvPicPr>
        <xdr:cNvPr id="2" name="Picture 2"/>
        <xdr:cNvPicPr preferRelativeResize="1">
          <a:picLocks noChangeAspect="1"/>
        </xdr:cNvPicPr>
      </xdr:nvPicPr>
      <xdr:blipFill>
        <a:blip r:link="rId1"/>
        <a:stretch>
          <a:fillRect/>
        </a:stretch>
      </xdr:blipFill>
      <xdr:spPr>
        <a:xfrm>
          <a:off x="0" y="19745325"/>
          <a:ext cx="314325" cy="238125"/>
        </a:xfrm>
        <a:prstGeom prst="rect">
          <a:avLst/>
        </a:prstGeom>
        <a:noFill/>
        <a:ln w="9525" cmpd="sng">
          <a:noFill/>
        </a:ln>
      </xdr:spPr>
    </xdr:pic>
    <xdr:clientData/>
  </xdr:twoCellAnchor>
  <xdr:twoCellAnchor>
    <xdr:from>
      <xdr:col>0</xdr:col>
      <xdr:colOff>0</xdr:colOff>
      <xdr:row>144</xdr:row>
      <xdr:rowOff>66675</xdr:rowOff>
    </xdr:from>
    <xdr:to>
      <xdr:col>1</xdr:col>
      <xdr:colOff>0</xdr:colOff>
      <xdr:row>145</xdr:row>
      <xdr:rowOff>104775</xdr:rowOff>
    </xdr:to>
    <xdr:pic>
      <xdr:nvPicPr>
        <xdr:cNvPr id="3" name="Picture 3"/>
        <xdr:cNvPicPr preferRelativeResize="1">
          <a:picLocks noChangeAspect="1"/>
        </xdr:cNvPicPr>
      </xdr:nvPicPr>
      <xdr:blipFill>
        <a:blip r:link="rId1"/>
        <a:stretch>
          <a:fillRect/>
        </a:stretch>
      </xdr:blipFill>
      <xdr:spPr>
        <a:xfrm>
          <a:off x="0" y="29346525"/>
          <a:ext cx="314325" cy="238125"/>
        </a:xfrm>
        <a:prstGeom prst="rect">
          <a:avLst/>
        </a:prstGeom>
        <a:noFill/>
        <a:ln w="9525" cmpd="sng">
          <a:noFill/>
        </a:ln>
      </xdr:spPr>
    </xdr:pic>
    <xdr:clientData/>
  </xdr:twoCellAnchor>
  <xdr:twoCellAnchor>
    <xdr:from>
      <xdr:col>0</xdr:col>
      <xdr:colOff>19050</xdr:colOff>
      <xdr:row>205</xdr:row>
      <xdr:rowOff>104775</xdr:rowOff>
    </xdr:from>
    <xdr:to>
      <xdr:col>1</xdr:col>
      <xdr:colOff>19050</xdr:colOff>
      <xdr:row>206</xdr:row>
      <xdr:rowOff>142875</xdr:rowOff>
    </xdr:to>
    <xdr:pic>
      <xdr:nvPicPr>
        <xdr:cNvPr id="4" name="Picture 4"/>
        <xdr:cNvPicPr preferRelativeResize="1">
          <a:picLocks noChangeAspect="1"/>
        </xdr:cNvPicPr>
      </xdr:nvPicPr>
      <xdr:blipFill>
        <a:blip r:link="rId1"/>
        <a:stretch>
          <a:fillRect/>
        </a:stretch>
      </xdr:blipFill>
      <xdr:spPr>
        <a:xfrm>
          <a:off x="19050" y="41595675"/>
          <a:ext cx="314325" cy="238125"/>
        </a:xfrm>
        <a:prstGeom prst="rect">
          <a:avLst/>
        </a:prstGeom>
        <a:noFill/>
        <a:ln w="9525" cmpd="sng">
          <a:noFill/>
        </a:ln>
      </xdr:spPr>
    </xdr:pic>
    <xdr:clientData/>
  </xdr:twoCellAnchor>
  <xdr:twoCellAnchor>
    <xdr:from>
      <xdr:col>11</xdr:col>
      <xdr:colOff>923925</xdr:colOff>
      <xdr:row>205</xdr:row>
      <xdr:rowOff>28575</xdr:rowOff>
    </xdr:from>
    <xdr:to>
      <xdr:col>12</xdr:col>
      <xdr:colOff>381000</xdr:colOff>
      <xdr:row>206</xdr:row>
      <xdr:rowOff>57150</xdr:rowOff>
    </xdr:to>
    <xdr:pic>
      <xdr:nvPicPr>
        <xdr:cNvPr id="5" name="Picture 5"/>
        <xdr:cNvPicPr preferRelativeResize="1">
          <a:picLocks noChangeAspect="1"/>
        </xdr:cNvPicPr>
      </xdr:nvPicPr>
      <xdr:blipFill>
        <a:blip r:link="rId2"/>
        <a:stretch>
          <a:fillRect/>
        </a:stretch>
      </xdr:blipFill>
      <xdr:spPr>
        <a:xfrm>
          <a:off x="15468600" y="41519475"/>
          <a:ext cx="800100" cy="228600"/>
        </a:xfrm>
        <a:prstGeom prst="rect">
          <a:avLst/>
        </a:prstGeom>
        <a:noFill/>
        <a:ln w="9525" cmpd="sng">
          <a:noFill/>
        </a:ln>
      </xdr:spPr>
    </xdr:pic>
    <xdr:clientData/>
  </xdr:twoCellAnchor>
  <xdr:twoCellAnchor>
    <xdr:from>
      <xdr:col>11</xdr:col>
      <xdr:colOff>933450</xdr:colOff>
      <xdr:row>144</xdr:row>
      <xdr:rowOff>76200</xdr:rowOff>
    </xdr:from>
    <xdr:to>
      <xdr:col>12</xdr:col>
      <xdr:colOff>390525</xdr:colOff>
      <xdr:row>145</xdr:row>
      <xdr:rowOff>104775</xdr:rowOff>
    </xdr:to>
    <xdr:pic>
      <xdr:nvPicPr>
        <xdr:cNvPr id="6" name="Picture 6"/>
        <xdr:cNvPicPr preferRelativeResize="1">
          <a:picLocks noChangeAspect="1"/>
        </xdr:cNvPicPr>
      </xdr:nvPicPr>
      <xdr:blipFill>
        <a:blip r:link="rId2"/>
        <a:stretch>
          <a:fillRect/>
        </a:stretch>
      </xdr:blipFill>
      <xdr:spPr>
        <a:xfrm>
          <a:off x="15478125" y="29356050"/>
          <a:ext cx="800100" cy="228600"/>
        </a:xfrm>
        <a:prstGeom prst="rect">
          <a:avLst/>
        </a:prstGeom>
        <a:noFill/>
        <a:ln w="9525" cmpd="sng">
          <a:noFill/>
        </a:ln>
      </xdr:spPr>
    </xdr:pic>
    <xdr:clientData/>
  </xdr:twoCellAnchor>
  <xdr:twoCellAnchor>
    <xdr:from>
      <xdr:col>11</xdr:col>
      <xdr:colOff>857250</xdr:colOff>
      <xdr:row>96</xdr:row>
      <xdr:rowOff>76200</xdr:rowOff>
    </xdr:from>
    <xdr:to>
      <xdr:col>12</xdr:col>
      <xdr:colOff>314325</xdr:colOff>
      <xdr:row>97</xdr:row>
      <xdr:rowOff>104775</xdr:rowOff>
    </xdr:to>
    <xdr:pic>
      <xdr:nvPicPr>
        <xdr:cNvPr id="7" name="Picture 7"/>
        <xdr:cNvPicPr preferRelativeResize="1">
          <a:picLocks noChangeAspect="1"/>
        </xdr:cNvPicPr>
      </xdr:nvPicPr>
      <xdr:blipFill>
        <a:blip r:link="rId2"/>
        <a:stretch>
          <a:fillRect/>
        </a:stretch>
      </xdr:blipFill>
      <xdr:spPr>
        <a:xfrm>
          <a:off x="15401925" y="19745325"/>
          <a:ext cx="800100" cy="228600"/>
        </a:xfrm>
        <a:prstGeom prst="rect">
          <a:avLst/>
        </a:prstGeom>
        <a:noFill/>
        <a:ln w="9525" cmpd="sng">
          <a:noFill/>
        </a:ln>
      </xdr:spPr>
    </xdr:pic>
    <xdr:clientData/>
  </xdr:twoCellAnchor>
  <xdr:twoCellAnchor>
    <xdr:from>
      <xdr:col>11</xdr:col>
      <xdr:colOff>923925</xdr:colOff>
      <xdr:row>50</xdr:row>
      <xdr:rowOff>66675</xdr:rowOff>
    </xdr:from>
    <xdr:to>
      <xdr:col>12</xdr:col>
      <xdr:colOff>381000</xdr:colOff>
      <xdr:row>51</xdr:row>
      <xdr:rowOff>95250</xdr:rowOff>
    </xdr:to>
    <xdr:pic>
      <xdr:nvPicPr>
        <xdr:cNvPr id="8" name="Picture 8"/>
        <xdr:cNvPicPr preferRelativeResize="1">
          <a:picLocks noChangeAspect="1"/>
        </xdr:cNvPicPr>
      </xdr:nvPicPr>
      <xdr:blipFill>
        <a:blip r:link="rId2"/>
        <a:stretch>
          <a:fillRect/>
        </a:stretch>
      </xdr:blipFill>
      <xdr:spPr>
        <a:xfrm>
          <a:off x="15468600" y="10125075"/>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7.8867187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7.77734375" style="1" customWidth="1"/>
    <col min="10" max="10" width="13.6640625" style="1" customWidth="1"/>
    <col min="11" max="11" width="7.5546875" style="1" customWidth="1"/>
    <col min="12" max="12" width="15.6640625" style="1" customWidth="1"/>
    <col min="13" max="13" width="11.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4" ht="15.75">
      <c r="A15" s="7"/>
      <c r="B15" s="15" t="s">
        <v>7</v>
      </c>
      <c r="C15" s="15"/>
      <c r="D15" s="18" t="s">
        <v>137</v>
      </c>
      <c r="E15" s="19">
        <f>E175/($J$193+L94)</f>
        <v>0.7149433639986815</v>
      </c>
      <c r="F15" s="18" t="s">
        <v>147</v>
      </c>
      <c r="G15" s="19">
        <f>J175/($J$193+$L$94)</f>
        <v>0.022380959515747204</v>
      </c>
      <c r="H15" s="18" t="s">
        <v>153</v>
      </c>
      <c r="I15" s="19">
        <f>E185/($J$193+$L$94)</f>
        <v>0.03464460160019178</v>
      </c>
      <c r="J15" s="18" t="s">
        <v>162</v>
      </c>
      <c r="K15" s="19">
        <f>J185/($J$193+$L$94)</f>
        <v>0.11702151568727338</v>
      </c>
      <c r="L15" s="17"/>
      <c r="M15" s="16"/>
      <c r="N15" s="6"/>
    </row>
    <row r="16" spans="1:14" ht="15.75">
      <c r="A16" s="7"/>
      <c r="B16" s="15" t="s">
        <v>8</v>
      </c>
      <c r="C16" s="15"/>
      <c r="D16" s="16"/>
      <c r="E16" s="16"/>
      <c r="F16" s="16"/>
      <c r="G16" s="16"/>
      <c r="H16" s="16"/>
      <c r="I16" s="16"/>
      <c r="J16" s="16"/>
      <c r="K16" s="16"/>
      <c r="L16" s="18" t="s">
        <v>184</v>
      </c>
      <c r="M16" s="9"/>
      <c r="N16" s="6"/>
    </row>
    <row r="17" spans="1:14" ht="15.75">
      <c r="A17" s="7"/>
      <c r="B17" s="15" t="s">
        <v>9</v>
      </c>
      <c r="C17" s="15"/>
      <c r="D17" s="16"/>
      <c r="E17" s="16"/>
      <c r="F17" s="16"/>
      <c r="G17" s="16"/>
      <c r="H17" s="16"/>
      <c r="I17" s="16"/>
      <c r="J17" s="16"/>
      <c r="K17" s="16"/>
      <c r="L17" s="20">
        <v>37376</v>
      </c>
      <c r="M17" s="9"/>
      <c r="N17" s="6"/>
    </row>
    <row r="18" spans="1:14" ht="15.75">
      <c r="A18" s="7"/>
      <c r="B18" s="9"/>
      <c r="C18" s="9"/>
      <c r="D18" s="9"/>
      <c r="E18" s="9"/>
      <c r="F18" s="9"/>
      <c r="G18" s="9"/>
      <c r="H18" s="9"/>
      <c r="I18" s="9"/>
      <c r="J18" s="9"/>
      <c r="K18" s="9"/>
      <c r="L18" s="21"/>
      <c r="M18" s="9"/>
      <c r="N18" s="6"/>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24"/>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0</v>
      </c>
      <c r="E31" s="36"/>
      <c r="F31" s="35">
        <v>0</v>
      </c>
      <c r="G31" s="35"/>
      <c r="H31" s="35">
        <v>0</v>
      </c>
      <c r="I31" s="40"/>
      <c r="J31" s="35"/>
      <c r="K31" s="37"/>
      <c r="L31" s="35">
        <f>J31+H31+F31+D31</f>
        <v>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46"/>
      <c r="D33" s="34" t="s">
        <v>143</v>
      </c>
      <c r="E33" s="27"/>
      <c r="F33" s="34" t="s">
        <v>159</v>
      </c>
      <c r="G33" s="34"/>
      <c r="H33" s="34" t="s">
        <v>170</v>
      </c>
      <c r="I33" s="34"/>
      <c r="J33" s="34"/>
      <c r="K33" s="30"/>
      <c r="L33" s="30"/>
      <c r="M33" s="27"/>
      <c r="N33" s="6"/>
    </row>
    <row r="34" spans="1:14" ht="15.75">
      <c r="A34" s="26"/>
      <c r="B34" s="27" t="s">
        <v>22</v>
      </c>
      <c r="C34" s="46"/>
      <c r="D34" s="47">
        <v>0.0440911</v>
      </c>
      <c r="E34" s="48"/>
      <c r="F34" s="47">
        <v>0.0522911</v>
      </c>
      <c r="G34" s="47"/>
      <c r="H34" s="47">
        <v>0.0677911</v>
      </c>
      <c r="I34" s="49"/>
      <c r="J34" s="47"/>
      <c r="K34" s="30"/>
      <c r="L34" s="49">
        <f>SUMPRODUCT(D34:J34,D32:J32)/L32</f>
        <v>0.04907234233755619</v>
      </c>
      <c r="M34" s="27"/>
      <c r="N34" s="6"/>
    </row>
    <row r="35" spans="1:14" ht="15.75">
      <c r="A35" s="26"/>
      <c r="B35" s="27" t="s">
        <v>23</v>
      </c>
      <c r="C35" s="46"/>
      <c r="D35" s="47">
        <v>0</v>
      </c>
      <c r="E35" s="48"/>
      <c r="F35" s="47">
        <v>0</v>
      </c>
      <c r="G35" s="47"/>
      <c r="H35" s="47">
        <v>0</v>
      </c>
      <c r="I35" s="49"/>
      <c r="J35" s="47"/>
      <c r="K35" s="30"/>
      <c r="L35" s="30"/>
      <c r="M35" s="27"/>
      <c r="N35" s="6"/>
    </row>
    <row r="36" spans="1:14" ht="15.75">
      <c r="A36" s="26"/>
      <c r="B36" s="27" t="s">
        <v>24</v>
      </c>
      <c r="C36" s="46"/>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27"/>
      <c r="G39" s="51"/>
      <c r="H39" s="51"/>
      <c r="I39" s="51"/>
      <c r="J39" s="51"/>
      <c r="K39" s="51"/>
      <c r="L39" s="51"/>
      <c r="M39" s="27"/>
      <c r="N39" s="6"/>
    </row>
    <row r="40" spans="1:14" ht="15.75">
      <c r="A40" s="26"/>
      <c r="B40" s="27" t="s">
        <v>27</v>
      </c>
      <c r="C40" s="27"/>
      <c r="D40" s="27"/>
      <c r="E40" s="27"/>
      <c r="F40" s="27"/>
      <c r="G40" s="27"/>
      <c r="H40" s="27"/>
      <c r="I40" s="27"/>
      <c r="J40" s="27"/>
      <c r="K40" s="27"/>
      <c r="L40" s="49">
        <f>(H30+F30)/(D30)</f>
        <v>0.6657590197413207</v>
      </c>
      <c r="M40" s="27"/>
      <c r="N40" s="6"/>
    </row>
    <row r="41" spans="1:14" ht="15.75">
      <c r="A41" s="26"/>
      <c r="B41" s="27" t="s">
        <v>28</v>
      </c>
      <c r="C41" s="27"/>
      <c r="D41" s="27"/>
      <c r="E41" s="27"/>
      <c r="F41" s="27"/>
      <c r="G41" s="27"/>
      <c r="H41" s="27"/>
      <c r="I41" s="27"/>
      <c r="J41" s="27"/>
      <c r="K41" s="27"/>
      <c r="L41" s="49">
        <f>(H32+F32)/(D32)</f>
        <v>0.6657590197413207</v>
      </c>
      <c r="M41" s="27"/>
      <c r="N41" s="6"/>
    </row>
    <row r="42" spans="1:14" ht="15.75">
      <c r="A42" s="26"/>
      <c r="B42" s="27" t="s">
        <v>29</v>
      </c>
      <c r="C42" s="27"/>
      <c r="D42" s="27"/>
      <c r="E42" s="27"/>
      <c r="F42" s="27"/>
      <c r="G42" s="27"/>
      <c r="H42" s="27"/>
      <c r="I42" s="27"/>
      <c r="J42" s="34" t="s">
        <v>139</v>
      </c>
      <c r="K42" s="34" t="s">
        <v>182</v>
      </c>
      <c r="L42" s="35">
        <v>10956</v>
      </c>
      <c r="M42" s="27"/>
      <c r="N42" s="6"/>
    </row>
    <row r="43" spans="1:14" ht="15.75">
      <c r="A43" s="26"/>
      <c r="B43" s="27"/>
      <c r="C43" s="27"/>
      <c r="D43" s="27"/>
      <c r="E43" s="27"/>
      <c r="F43" s="27"/>
      <c r="G43" s="27"/>
      <c r="H43" s="27"/>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37361</v>
      </c>
      <c r="M45" s="31"/>
      <c r="N45" s="6"/>
    </row>
    <row r="46" spans="1:14" ht="15.75">
      <c r="A46" s="26"/>
      <c r="B46" s="27" t="s">
        <v>32</v>
      </c>
      <c r="C46" s="27"/>
      <c r="D46" s="27"/>
      <c r="E46" s="27"/>
      <c r="F46" s="27"/>
      <c r="G46" s="27"/>
      <c r="H46" s="30"/>
      <c r="I46" s="55"/>
      <c r="J46" s="56"/>
      <c r="K46" s="57"/>
      <c r="L46" s="56"/>
      <c r="M46" s="27"/>
      <c r="N46" s="6"/>
    </row>
    <row r="47" spans="1:14" ht="15.75">
      <c r="A47" s="26"/>
      <c r="B47" s="27" t="s">
        <v>33</v>
      </c>
      <c r="C47" s="27"/>
      <c r="D47" s="27"/>
      <c r="E47" s="27"/>
      <c r="F47" s="27"/>
      <c r="G47" s="27"/>
      <c r="H47" s="30"/>
      <c r="I47" s="27">
        <f>L47-J47+1</f>
        <v>124</v>
      </c>
      <c r="J47" s="56">
        <v>37237</v>
      </c>
      <c r="K47" s="57"/>
      <c r="L47" s="56">
        <v>37360</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37348</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36</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c r="E57" s="63"/>
      <c r="F57" s="63">
        <f>395+15846+1236</f>
        <v>17477</v>
      </c>
      <c r="G57" s="63"/>
      <c r="H57" s="63">
        <v>0</v>
      </c>
      <c r="I57" s="63"/>
      <c r="J57" s="63">
        <v>0</v>
      </c>
      <c r="K57" s="63"/>
      <c r="L57" s="64">
        <f>C57-F57+H57-J57</f>
        <v>307684</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c r="E60" s="63"/>
      <c r="F60" s="63">
        <v>2904</v>
      </c>
      <c r="G60" s="63"/>
      <c r="H60" s="63">
        <f>SUM(H57:H59)</f>
        <v>0</v>
      </c>
      <c r="I60" s="63"/>
      <c r="J60" s="63">
        <f>SUM(J57:J59)</f>
        <v>0</v>
      </c>
      <c r="K60" s="63"/>
      <c r="L60" s="64">
        <f>C60-F60+H60-J60</f>
        <v>5975</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c r="E63" s="63"/>
      <c r="F63" s="63">
        <f>345-5</f>
        <v>340</v>
      </c>
      <c r="G63" s="63"/>
      <c r="H63" s="63">
        <v>0</v>
      </c>
      <c r="I63" s="63"/>
      <c r="J63" s="63">
        <v>0</v>
      </c>
      <c r="K63" s="63"/>
      <c r="L63" s="64">
        <f>C63-F63+H63-J63</f>
        <v>9249</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c r="E66" s="63"/>
      <c r="F66" s="63">
        <f>6811+137</f>
        <v>6948</v>
      </c>
      <c r="G66" s="63"/>
      <c r="H66" s="63">
        <v>0</v>
      </c>
      <c r="I66" s="63"/>
      <c r="J66" s="63">
        <v>0</v>
      </c>
      <c r="K66" s="63"/>
      <c r="L66" s="64">
        <f>C66-F66+H66-J66</f>
        <v>31740</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4" ht="15.75">
      <c r="A69" s="26"/>
      <c r="B69" s="27" t="s">
        <v>43</v>
      </c>
      <c r="C69" s="63">
        <f>SUM(C57:C67)</f>
        <v>382317</v>
      </c>
      <c r="D69" s="63"/>
      <c r="E69" s="63"/>
      <c r="F69" s="63">
        <f>SUM(F57:F67)</f>
        <v>27669</v>
      </c>
      <c r="G69" s="63"/>
      <c r="H69" s="63">
        <f>SUM(H57:H67)</f>
        <v>0</v>
      </c>
      <c r="I69" s="63"/>
      <c r="J69" s="63">
        <f>SUM(J64:J68)</f>
        <v>0</v>
      </c>
      <c r="K69" s="63"/>
      <c r="L69" s="63">
        <f>SUM(L57:L68)</f>
        <v>354648</v>
      </c>
      <c r="M69" s="27"/>
      <c r="N69" s="6"/>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c r="E71" s="63"/>
      <c r="F71" s="63">
        <f>2129-134-28</f>
        <v>1967</v>
      </c>
      <c r="G71" s="63"/>
      <c r="H71" s="63"/>
      <c r="I71" s="63"/>
      <c r="J71" s="63"/>
      <c r="K71" s="63"/>
      <c r="L71" s="63">
        <f>C71-F71</f>
        <v>-139584</v>
      </c>
      <c r="M71" s="27"/>
      <c r="N71" s="6"/>
    </row>
    <row r="72" spans="1:14" ht="15.75">
      <c r="A72" s="26"/>
      <c r="B72" s="27" t="s">
        <v>45</v>
      </c>
      <c r="C72" s="63">
        <v>0</v>
      </c>
      <c r="D72" s="65"/>
      <c r="E72" s="63"/>
      <c r="F72" s="63">
        <f>SUM(F69:F71)</f>
        <v>29636</v>
      </c>
      <c r="G72" s="63"/>
      <c r="H72" s="63">
        <f>-H69</f>
        <v>0</v>
      </c>
      <c r="I72" s="63"/>
      <c r="J72" s="63"/>
      <c r="K72" s="63"/>
      <c r="L72" s="65">
        <f>F72+C72</f>
        <v>29636</v>
      </c>
      <c r="M72" s="27"/>
      <c r="N72" s="6"/>
    </row>
    <row r="73" spans="1:14" ht="15.75">
      <c r="A73" s="26"/>
      <c r="B73" s="27" t="s">
        <v>46</v>
      </c>
      <c r="C73" s="63">
        <v>0</v>
      </c>
      <c r="D73" s="65"/>
      <c r="E73" s="63"/>
      <c r="F73" s="63"/>
      <c r="G73" s="63"/>
      <c r="H73" s="63">
        <v>0</v>
      </c>
      <c r="I73" s="63"/>
      <c r="J73" s="63"/>
      <c r="K73" s="63"/>
      <c r="L73" s="65">
        <f>H73+D73</f>
        <v>0</v>
      </c>
      <c r="M73" s="27"/>
      <c r="N73" s="6"/>
    </row>
    <row r="74" spans="1:14" ht="15.75">
      <c r="A74" s="26"/>
      <c r="B74" s="27" t="s">
        <v>47</v>
      </c>
      <c r="C74" s="63">
        <v>0</v>
      </c>
      <c r="D74" s="65"/>
      <c r="E74" s="63"/>
      <c r="F74" s="63">
        <v>0</v>
      </c>
      <c r="G74" s="63"/>
      <c r="H74" s="63"/>
      <c r="I74" s="63"/>
      <c r="J74" s="63"/>
      <c r="K74" s="63"/>
      <c r="L74" s="65">
        <f>D74+F74+H74</f>
        <v>0</v>
      </c>
      <c r="M74" s="27"/>
      <c r="N74" s="6"/>
    </row>
    <row r="75" spans="1:14" ht="15.75">
      <c r="A75" s="26"/>
      <c r="B75" s="27" t="s">
        <v>48</v>
      </c>
      <c r="C75" s="63">
        <v>0</v>
      </c>
      <c r="D75" s="65"/>
      <c r="E75" s="63"/>
      <c r="F75" s="63"/>
      <c r="G75" s="63"/>
      <c r="H75" s="68"/>
      <c r="I75" s="63"/>
      <c r="J75" s="63"/>
      <c r="K75" s="63"/>
      <c r="L75" s="65">
        <v>0</v>
      </c>
      <c r="M75" s="27"/>
      <c r="N75" s="6"/>
    </row>
    <row r="76" spans="1:14" ht="15.75">
      <c r="A76" s="26"/>
      <c r="B76" s="27" t="s">
        <v>20</v>
      </c>
      <c r="C76" s="65">
        <f>SUM(C69:C75)</f>
        <v>244700</v>
      </c>
      <c r="D76" s="65"/>
      <c r="E76" s="63"/>
      <c r="F76" s="63">
        <f>F72-F75-F74</f>
        <v>29636</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47170-642</f>
        <v>46528</v>
      </c>
      <c r="M79" s="27"/>
      <c r="N79" s="6"/>
    </row>
    <row r="80" spans="1:14" ht="15.75">
      <c r="A80" s="26"/>
      <c r="B80" s="27" t="s">
        <v>51</v>
      </c>
      <c r="C80" s="51"/>
      <c r="D80" s="55"/>
      <c r="E80" s="27"/>
      <c r="F80" s="27"/>
      <c r="G80" s="27"/>
      <c r="H80" s="27"/>
      <c r="I80" s="27"/>
      <c r="J80" s="63"/>
      <c r="K80" s="27"/>
      <c r="L80" s="64">
        <f>784+85+91+1</f>
        <v>961</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40364</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-1104-221</f>
        <v>-1325</v>
      </c>
      <c r="M87" s="27"/>
      <c r="N87" s="6"/>
      <c r="O87" s="69"/>
    </row>
    <row r="88" spans="1:15" ht="15.75">
      <c r="A88" s="26">
        <f t="shared" si="0"/>
        <v>3</v>
      </c>
      <c r="B88" s="27" t="s">
        <v>58</v>
      </c>
      <c r="C88" s="27"/>
      <c r="D88" s="27"/>
      <c r="E88" s="27"/>
      <c r="F88" s="27"/>
      <c r="G88" s="27"/>
      <c r="H88" s="27"/>
      <c r="I88" s="27"/>
      <c r="J88" s="27"/>
      <c r="K88" s="27"/>
      <c r="L88" s="64">
        <v>-1982</v>
      </c>
      <c r="M88" s="27"/>
      <c r="N88" s="6"/>
      <c r="O88" s="69"/>
    </row>
    <row r="89" spans="1:15" ht="15.75">
      <c r="A89" s="26">
        <f t="shared" si="0"/>
        <v>4</v>
      </c>
      <c r="B89" s="27" t="s">
        <v>59</v>
      </c>
      <c r="C89" s="27"/>
      <c r="D89" s="27"/>
      <c r="E89" s="27"/>
      <c r="F89" s="27"/>
      <c r="G89" s="27"/>
      <c r="H89" s="27"/>
      <c r="I89" s="27"/>
      <c r="J89" s="27"/>
      <c r="K89" s="27"/>
      <c r="L89" s="64">
        <v>-2200</v>
      </c>
      <c r="M89" s="27"/>
      <c r="N89" s="6"/>
      <c r="O89" s="69"/>
    </row>
    <row r="90" spans="1:14" ht="15.75">
      <c r="A90" s="26">
        <f t="shared" si="0"/>
        <v>5</v>
      </c>
      <c r="B90" s="27" t="s">
        <v>60</v>
      </c>
      <c r="C90" s="27"/>
      <c r="D90" s="27"/>
      <c r="E90" s="27"/>
      <c r="F90" s="27"/>
      <c r="G90" s="27"/>
      <c r="H90" s="27"/>
      <c r="I90" s="27"/>
      <c r="J90" s="27"/>
      <c r="K90" s="27"/>
      <c r="L90" s="64">
        <v>-3</v>
      </c>
      <c r="M90" s="27"/>
      <c r="N90" s="6"/>
    </row>
    <row r="91" spans="1:15" ht="15.75">
      <c r="A91" s="26">
        <f t="shared" si="0"/>
        <v>6</v>
      </c>
      <c r="B91" s="27" t="s">
        <v>61</v>
      </c>
      <c r="C91" s="27"/>
      <c r="D91" s="27"/>
      <c r="E91" s="27"/>
      <c r="F91" s="27"/>
      <c r="G91" s="27"/>
      <c r="H91" s="27"/>
      <c r="I91" s="27"/>
      <c r="J91" s="27"/>
      <c r="K91" s="27"/>
      <c r="L91" s="64">
        <v>-1260</v>
      </c>
      <c r="M91" s="27"/>
      <c r="N91" s="6"/>
      <c r="O91" s="69"/>
    </row>
    <row r="92" spans="1:15" ht="15.75">
      <c r="A92" s="26">
        <f t="shared" si="0"/>
        <v>7</v>
      </c>
      <c r="B92" s="27" t="s">
        <v>62</v>
      </c>
      <c r="C92" s="27"/>
      <c r="D92" s="27"/>
      <c r="E92" s="27"/>
      <c r="F92" s="27"/>
      <c r="G92" s="27"/>
      <c r="H92" s="27"/>
      <c r="I92" s="27"/>
      <c r="J92" s="27"/>
      <c r="K92" s="27"/>
      <c r="L92" s="64">
        <v>-620</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29636</v>
      </c>
      <c r="M94" s="27"/>
      <c r="N94" s="6"/>
      <c r="O94" s="69"/>
    </row>
    <row r="95" spans="1:14" ht="15.75">
      <c r="A95" s="26">
        <f t="shared" si="0"/>
        <v>10</v>
      </c>
      <c r="B95" s="27" t="s">
        <v>64</v>
      </c>
      <c r="C95" s="27"/>
      <c r="D95" s="27"/>
      <c r="E95" s="27"/>
      <c r="F95" s="27"/>
      <c r="G95" s="27"/>
      <c r="H95" s="27"/>
      <c r="I95" s="27"/>
      <c r="J95" s="27"/>
      <c r="K95" s="27"/>
      <c r="L95" s="64">
        <f>J193+SUM(L83:L92)+J195-J198</f>
        <v>3334</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
        <v>36</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79"/>
      <c r="H111" s="9"/>
      <c r="I111" s="9"/>
      <c r="J111" s="9"/>
      <c r="K111" s="9"/>
      <c r="L111" s="80"/>
      <c r="M111" s="9"/>
      <c r="N111" s="6"/>
    </row>
    <row r="112" spans="1:14" ht="15.75">
      <c r="A112" s="7"/>
      <c r="B112" s="14"/>
      <c r="C112" s="18" t="s">
        <v>137</v>
      </c>
      <c r="D112" s="18" t="s">
        <v>147</v>
      </c>
      <c r="E112" s="18" t="s">
        <v>153</v>
      </c>
      <c r="F112" s="18" t="s">
        <v>162</v>
      </c>
      <c r="G112" s="79"/>
      <c r="H112" s="79"/>
      <c r="I112" s="9"/>
      <c r="J112" s="9"/>
      <c r="K112" s="9"/>
      <c r="L112" s="80"/>
      <c r="M112" s="9"/>
      <c r="N112" s="6"/>
    </row>
    <row r="113" spans="1:14" ht="15.75">
      <c r="A113" s="26"/>
      <c r="B113" s="27" t="s">
        <v>199</v>
      </c>
      <c r="C113" s="27">
        <v>2057</v>
      </c>
      <c r="D113" s="27">
        <v>0</v>
      </c>
      <c r="E113" s="27">
        <v>0</v>
      </c>
      <c r="F113" s="27">
        <v>-90</v>
      </c>
      <c r="G113" s="81"/>
      <c r="H113" s="81"/>
      <c r="I113" s="27"/>
      <c r="J113" s="27"/>
      <c r="K113" s="27"/>
      <c r="L113" s="64">
        <f>SUM(C113:F113)</f>
        <v>1967</v>
      </c>
      <c r="M113" s="27"/>
      <c r="N113" s="6"/>
    </row>
    <row r="114" spans="1:14" ht="15.75">
      <c r="A114" s="26"/>
      <c r="B114" s="27" t="s">
        <v>72</v>
      </c>
      <c r="C114" s="27">
        <v>1236</v>
      </c>
      <c r="D114" s="27">
        <v>0</v>
      </c>
      <c r="E114" s="27">
        <v>0</v>
      </c>
      <c r="F114" s="27">
        <v>137</v>
      </c>
      <c r="G114" s="81"/>
      <c r="H114" s="81"/>
      <c r="I114" s="27"/>
      <c r="J114" s="27"/>
      <c r="K114" s="27"/>
      <c r="L114" s="64">
        <f>SUM(C114:F114)</f>
        <v>1373</v>
      </c>
      <c r="M114" s="27"/>
      <c r="N114" s="6"/>
    </row>
    <row r="115" spans="1:14" ht="15.75">
      <c r="A115" s="26"/>
      <c r="B115" s="27" t="s">
        <v>73</v>
      </c>
      <c r="C115" s="27"/>
      <c r="D115" s="27"/>
      <c r="E115" s="27"/>
      <c r="F115" s="27"/>
      <c r="G115" s="27"/>
      <c r="H115" s="27"/>
      <c r="I115" s="27"/>
      <c r="J115" s="27"/>
      <c r="K115" s="27"/>
      <c r="L115" s="64">
        <f>SUM(L113:L114)</f>
        <v>3340</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354648</v>
      </c>
      <c r="M117" s="27"/>
      <c r="N117" s="6"/>
    </row>
    <row r="118" spans="1:14" ht="15.75">
      <c r="A118" s="26"/>
      <c r="B118" s="27" t="s">
        <v>76</v>
      </c>
      <c r="C118" s="82"/>
      <c r="D118" s="27"/>
      <c r="E118" s="27"/>
      <c r="F118" s="27"/>
      <c r="G118" s="27"/>
      <c r="H118" s="27"/>
      <c r="I118" s="27"/>
      <c r="J118" s="27"/>
      <c r="K118" s="27"/>
      <c r="L118" s="64">
        <f>L72</f>
        <v>29636</v>
      </c>
      <c r="M118" s="27"/>
      <c r="N118" s="6"/>
    </row>
    <row r="119" spans="1:14" ht="15.75">
      <c r="A119" s="26"/>
      <c r="B119" s="27" t="s">
        <v>77</v>
      </c>
      <c r="C119" s="82"/>
      <c r="D119" s="27"/>
      <c r="E119" s="27"/>
      <c r="F119" s="27"/>
      <c r="G119" s="27"/>
      <c r="H119" s="27"/>
      <c r="I119" s="27"/>
      <c r="J119" s="27"/>
      <c r="K119" s="27"/>
      <c r="L119" s="64">
        <f>L118+L117+L74+L75</f>
        <v>384284</v>
      </c>
      <c r="M119" s="27"/>
      <c r="N119" s="6"/>
    </row>
    <row r="120" spans="1:15" ht="15.75">
      <c r="A120" s="26"/>
      <c r="B120" s="27" t="s">
        <v>78</v>
      </c>
      <c r="C120" s="82"/>
      <c r="D120" s="27"/>
      <c r="E120" s="27"/>
      <c r="F120" s="27"/>
      <c r="G120" s="27"/>
      <c r="H120" s="27"/>
      <c r="I120" s="27"/>
      <c r="J120" s="27"/>
      <c r="K120" s="27"/>
      <c r="L120" s="64">
        <f>L76</f>
        <v>244700</v>
      </c>
      <c r="M120" s="27"/>
      <c r="N120" s="6"/>
      <c r="O120" s="69"/>
    </row>
    <row r="121" spans="1:14" ht="15.75">
      <c r="A121" s="26"/>
      <c r="B121" s="27"/>
      <c r="C121" s="27"/>
      <c r="D121" s="27"/>
      <c r="E121" s="27"/>
      <c r="F121" s="27"/>
      <c r="G121" s="27"/>
      <c r="H121" s="27"/>
      <c r="I121" s="27"/>
      <c r="J121" s="27"/>
      <c r="K121" s="27"/>
      <c r="L121" s="83"/>
      <c r="M121" s="27"/>
      <c r="N121" s="6"/>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v>0</v>
      </c>
      <c r="I124" s="27"/>
      <c r="J124" s="84" t="s">
        <v>177</v>
      </c>
      <c r="K124" s="27"/>
      <c r="L124" s="64">
        <f>H124</f>
        <v>0</v>
      </c>
      <c r="M124" s="27"/>
      <c r="N124" s="6"/>
    </row>
    <row r="125" spans="1:14" ht="15.75">
      <c r="A125" s="26"/>
      <c r="B125" s="27" t="s">
        <v>82</v>
      </c>
      <c r="C125" s="27"/>
      <c r="D125" s="27"/>
      <c r="E125" s="27"/>
      <c r="F125" s="27"/>
      <c r="G125" s="27"/>
      <c r="H125" s="64">
        <v>0</v>
      </c>
      <c r="I125" s="27"/>
      <c r="J125" s="84" t="s">
        <v>177</v>
      </c>
      <c r="K125" s="27"/>
      <c r="L125" s="64">
        <f>H125</f>
        <v>0</v>
      </c>
      <c r="M125" s="27"/>
      <c r="N125" s="6"/>
    </row>
    <row r="126" spans="1:14" ht="15.75">
      <c r="A126" s="26"/>
      <c r="B126" s="27" t="s">
        <v>83</v>
      </c>
      <c r="C126" s="27"/>
      <c r="D126" s="27"/>
      <c r="E126" s="27"/>
      <c r="F126" s="27"/>
      <c r="G126" s="27"/>
      <c r="H126" s="64">
        <f>SUM(H124:H125)</f>
        <v>0</v>
      </c>
      <c r="I126" s="27"/>
      <c r="J126" s="84" t="s">
        <v>177</v>
      </c>
      <c r="K126" s="27"/>
      <c r="L126" s="64">
        <f>H126</f>
        <v>0</v>
      </c>
      <c r="M126" s="27"/>
      <c r="N126" s="6"/>
    </row>
    <row r="127" spans="1:14" ht="15.75">
      <c r="A127" s="26"/>
      <c r="B127" s="27" t="s">
        <v>84</v>
      </c>
      <c r="C127" s="27"/>
      <c r="D127" s="27"/>
      <c r="E127" s="27"/>
      <c r="F127" s="27"/>
      <c r="G127" s="27"/>
      <c r="H127" s="64">
        <f>H123-H126</f>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37346</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f>L34</f>
        <v>0.04907234233755619</v>
      </c>
      <c r="K132" s="91"/>
      <c r="L132" s="27"/>
      <c r="M132" s="27"/>
      <c r="N132" s="6"/>
    </row>
    <row r="133" spans="1:14" ht="15.75">
      <c r="A133" s="87"/>
      <c r="B133" s="88" t="s">
        <v>88</v>
      </c>
      <c r="C133" s="89"/>
      <c r="D133" s="89"/>
      <c r="E133" s="89"/>
      <c r="F133" s="89"/>
      <c r="G133" s="90"/>
      <c r="H133" s="90"/>
      <c r="I133" s="90"/>
      <c r="J133" s="91">
        <f>J131-J132</f>
        <v>0.11792765766244381</v>
      </c>
      <c r="K133" s="27"/>
      <c r="L133" s="27"/>
      <c r="M133" s="27"/>
      <c r="N133" s="6"/>
    </row>
    <row r="134" spans="1:14" ht="15.75">
      <c r="A134" s="87"/>
      <c r="B134" s="88" t="s">
        <v>89</v>
      </c>
      <c r="C134" s="89"/>
      <c r="D134" s="89"/>
      <c r="E134" s="89"/>
      <c r="F134" s="89"/>
      <c r="G134" s="90"/>
      <c r="H134" s="90"/>
      <c r="I134" s="90"/>
      <c r="J134" s="91">
        <v>0.1682</v>
      </c>
      <c r="K134" s="27"/>
      <c r="L134" s="27"/>
      <c r="M134" s="27"/>
      <c r="N134" s="6"/>
    </row>
    <row r="135" spans="1:14" ht="15.75">
      <c r="A135" s="87"/>
      <c r="B135" s="88" t="s">
        <v>90</v>
      </c>
      <c r="C135" s="89"/>
      <c r="D135" s="89"/>
      <c r="E135" s="89"/>
      <c r="F135" s="89"/>
      <c r="G135" s="90"/>
      <c r="H135" s="90"/>
      <c r="I135" s="90"/>
      <c r="J135" s="91">
        <f>L34</f>
        <v>0.04907234233755619</v>
      </c>
      <c r="K135" s="27"/>
      <c r="L135" s="27"/>
      <c r="M135" s="27"/>
      <c r="N135" s="6"/>
    </row>
    <row r="136" spans="1:14" ht="15.75">
      <c r="A136" s="87"/>
      <c r="B136" s="88" t="s">
        <v>91</v>
      </c>
      <c r="C136" s="89"/>
      <c r="D136" s="89"/>
      <c r="E136" s="89"/>
      <c r="F136" s="89"/>
      <c r="G136" s="90"/>
      <c r="H136" s="90"/>
      <c r="I136" s="90"/>
      <c r="J136" s="91">
        <f>J134-J135</f>
        <v>0.11912765766244379</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11.77</v>
      </c>
      <c r="K141" s="27"/>
      <c r="L141" s="27"/>
      <c r="M141" s="27"/>
      <c r="N141" s="6"/>
    </row>
    <row r="142" spans="1:14" ht="15.75">
      <c r="A142" s="87"/>
      <c r="B142" s="88" t="s">
        <v>97</v>
      </c>
      <c r="C142" s="89"/>
      <c r="D142" s="89"/>
      <c r="E142" s="89"/>
      <c r="F142" s="89"/>
      <c r="G142" s="90"/>
      <c r="H142" s="90"/>
      <c r="I142" s="90"/>
      <c r="J142" s="91">
        <v>0.0688</v>
      </c>
      <c r="K142" s="27"/>
      <c r="L142" s="27"/>
      <c r="M142" s="27"/>
      <c r="N142" s="6"/>
    </row>
    <row r="143" spans="1:14" ht="15.75">
      <c r="A143" s="87"/>
      <c r="B143" s="88" t="s">
        <v>98</v>
      </c>
      <c r="C143" s="89"/>
      <c r="D143" s="89"/>
      <c r="E143" s="89"/>
      <c r="F143" s="89"/>
      <c r="G143" s="90"/>
      <c r="H143" s="90"/>
      <c r="I143" s="90"/>
      <c r="J143" s="91">
        <v>0.2481</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
        <v>36</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5356</v>
      </c>
      <c r="J148" s="64">
        <v>45632</v>
      </c>
      <c r="K148" s="64"/>
      <c r="L148" s="94"/>
      <c r="M148" s="104"/>
      <c r="N148" s="6"/>
    </row>
    <row r="149" spans="1:14" ht="15.75">
      <c r="A149" s="103"/>
      <c r="B149" s="88" t="s">
        <v>101</v>
      </c>
      <c r="C149" s="65"/>
      <c r="D149" s="65"/>
      <c r="E149" s="65"/>
      <c r="F149" s="27"/>
      <c r="G149" s="27"/>
      <c r="H149" s="27"/>
      <c r="I149" s="27">
        <v>21</v>
      </c>
      <c r="J149" s="64">
        <v>108</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0</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3340</v>
      </c>
      <c r="K153" s="27"/>
      <c r="L153" s="94"/>
      <c r="M153" s="108"/>
      <c r="N153" s="6"/>
    </row>
    <row r="154" spans="1:14" ht="15.75">
      <c r="A154" s="103"/>
      <c r="B154" s="88" t="s">
        <v>106</v>
      </c>
      <c r="C154" s="65"/>
      <c r="D154" s="65"/>
      <c r="E154" s="65"/>
      <c r="F154" s="65"/>
      <c r="G154" s="27"/>
      <c r="H154" s="27"/>
      <c r="I154" s="27"/>
      <c r="J154" s="64">
        <f>L115</f>
        <v>3340</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144</v>
      </c>
      <c r="K164" s="113"/>
      <c r="L164" s="34"/>
      <c r="M164" s="94"/>
      <c r="N164" s="6"/>
    </row>
    <row r="165" spans="1:14" ht="15.75">
      <c r="A165" s="103"/>
      <c r="B165" s="88" t="s">
        <v>110</v>
      </c>
      <c r="C165" s="65"/>
      <c r="D165" s="65"/>
      <c r="E165" s="111"/>
      <c r="F165" s="109"/>
      <c r="G165" s="110"/>
      <c r="H165" s="27"/>
      <c r="I165" s="34"/>
      <c r="J165" s="113">
        <v>5</v>
      </c>
      <c r="K165" s="113"/>
      <c r="L165" s="34"/>
      <c r="M165" s="94"/>
      <c r="N165" s="6"/>
    </row>
    <row r="166" spans="1:14" ht="15.75">
      <c r="A166" s="103"/>
      <c r="B166" s="88" t="s">
        <v>115</v>
      </c>
      <c r="C166" s="65"/>
      <c r="D166" s="65"/>
      <c r="E166" s="111"/>
      <c r="F166" s="109"/>
      <c r="G166" s="110"/>
      <c r="H166" s="27"/>
      <c r="I166" s="34"/>
      <c r="J166" s="113">
        <v>42</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81"/>
      <c r="D169" s="114" t="s">
        <v>148</v>
      </c>
      <c r="E169" s="115"/>
      <c r="F169" s="116"/>
      <c r="G169" s="115"/>
      <c r="H169" s="114" t="s">
        <v>40</v>
      </c>
      <c r="I169" s="115"/>
      <c r="J169" s="116"/>
      <c r="K169" s="115"/>
      <c r="L169" s="117"/>
      <c r="M169" s="108"/>
      <c r="N169" s="6"/>
    </row>
    <row r="170" spans="1:14" ht="15.75">
      <c r="A170" s="26"/>
      <c r="B170" s="81"/>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f>304+26501-153</f>
        <v>26652</v>
      </c>
      <c r="D171" s="91">
        <f>C171/C175</f>
        <v>0.8577497425334707</v>
      </c>
      <c r="E171" s="118">
        <f>1251+161043-1659</f>
        <v>160635</v>
      </c>
      <c r="F171" s="91">
        <f>E171/E175</f>
        <v>0.8416069828728906</v>
      </c>
      <c r="G171" s="115"/>
      <c r="H171" s="118">
        <v>6684</v>
      </c>
      <c r="I171" s="91">
        <f>H171/$H$175</f>
        <v>0.9671538127622631</v>
      </c>
      <c r="J171" s="118">
        <v>5657</v>
      </c>
      <c r="K171" s="91">
        <f>J171/J175</f>
        <v>0.9467782426778243</v>
      </c>
      <c r="L171" s="117"/>
      <c r="M171" s="108"/>
      <c r="N171" s="6"/>
    </row>
    <row r="172" spans="1:14" ht="15.75">
      <c r="A172" s="26"/>
      <c r="B172" s="65" t="s">
        <v>118</v>
      </c>
      <c r="C172" s="118">
        <f>14+600-4</f>
        <v>610</v>
      </c>
      <c r="D172" s="91">
        <f>C172/$C$175</f>
        <v>0.019631822863027806</v>
      </c>
      <c r="E172" s="118">
        <f>43+4541-23</f>
        <v>4561</v>
      </c>
      <c r="F172" s="91">
        <f>E172/$E$175</f>
        <v>0.023896220928709522</v>
      </c>
      <c r="G172" s="115"/>
      <c r="H172" s="118">
        <v>50</v>
      </c>
      <c r="I172" s="91">
        <f>H172/$H$175</f>
        <v>0.007234843003906815</v>
      </c>
      <c r="J172" s="118">
        <v>67</v>
      </c>
      <c r="K172" s="91">
        <f>J172/$J$175</f>
        <v>0.011213389121338912</v>
      </c>
      <c r="L172" s="117"/>
      <c r="M172" s="108"/>
      <c r="N172" s="6"/>
    </row>
    <row r="173" spans="1:14" ht="15.75">
      <c r="A173" s="26"/>
      <c r="B173" s="65" t="s">
        <v>119</v>
      </c>
      <c r="C173" s="118">
        <f>12+411-7</f>
        <v>416</v>
      </c>
      <c r="D173" s="91">
        <f>C173/$C$175</f>
        <v>0.013388259526261586</v>
      </c>
      <c r="E173" s="118">
        <f>44+3207-116</f>
        <v>3135</v>
      </c>
      <c r="F173" s="91">
        <f>E173/$E$175</f>
        <v>0.016425049903859755</v>
      </c>
      <c r="G173" s="115"/>
      <c r="H173" s="118">
        <v>34</v>
      </c>
      <c r="I173" s="91">
        <f>H173/$H$175</f>
        <v>0.0049196932426566345</v>
      </c>
      <c r="J173" s="118">
        <v>42</v>
      </c>
      <c r="K173" s="91">
        <f>J173/$J$175</f>
        <v>0.00702928870292887</v>
      </c>
      <c r="L173" s="117"/>
      <c r="M173" s="108"/>
      <c r="N173" s="6"/>
    </row>
    <row r="174" spans="1:14" ht="15.75">
      <c r="A174" s="26"/>
      <c r="B174" s="65" t="s">
        <v>120</v>
      </c>
      <c r="C174" s="118">
        <f>10+364+9+391+10+339+10+315+17+297+7+360+9+301+12+333+17+334+43+244-28</f>
        <v>3394</v>
      </c>
      <c r="D174" s="91">
        <f>C174/$C$175</f>
        <v>0.10923017507723996</v>
      </c>
      <c r="E174" s="118">
        <f>5655+302027-116815-E173-E172-E171</f>
        <v>22536</v>
      </c>
      <c r="F174" s="91">
        <f>E174/$E$175</f>
        <v>0.11807174629454018</v>
      </c>
      <c r="G174" s="115"/>
      <c r="H174" s="118">
        <f>34+51+11+15+10+13+9</f>
        <v>143</v>
      </c>
      <c r="I174" s="91">
        <f>H174/$H$175</f>
        <v>0.020691650991173493</v>
      </c>
      <c r="J174" s="118">
        <f>5975-J173-J172-J171</f>
        <v>209</v>
      </c>
      <c r="K174" s="91">
        <f>J174/$J$175</f>
        <v>0.03497907949790795</v>
      </c>
      <c r="L174" s="117"/>
      <c r="M174" s="108"/>
      <c r="N174" s="6"/>
    </row>
    <row r="175" spans="1:15" ht="15.75">
      <c r="A175" s="26"/>
      <c r="B175" s="65" t="s">
        <v>121</v>
      </c>
      <c r="C175" s="118">
        <f>SUM(C171:C174)</f>
        <v>31072</v>
      </c>
      <c r="D175" s="91">
        <f>SUM(D171:D174)</f>
        <v>1</v>
      </c>
      <c r="E175" s="118">
        <f>SUM(E171:E174)</f>
        <v>190867</v>
      </c>
      <c r="F175" s="91">
        <f>SUM(F171:F174)</f>
        <v>1</v>
      </c>
      <c r="G175" s="115"/>
      <c r="H175" s="118">
        <f>SUM(H171:H174)</f>
        <v>6911</v>
      </c>
      <c r="I175" s="91">
        <f>SUM(I171:I174)</f>
        <v>1</v>
      </c>
      <c r="J175" s="118">
        <f>SUM(J171:J174)</f>
        <v>5975</v>
      </c>
      <c r="K175" s="91">
        <f>SUM(K171:K174)</f>
        <v>1</v>
      </c>
      <c r="L175" s="117"/>
      <c r="M175" s="108"/>
      <c r="N175" s="6"/>
      <c r="O175" s="69"/>
    </row>
    <row r="176" spans="1:15" ht="15.75">
      <c r="A176" s="26"/>
      <c r="B176" s="65" t="s">
        <v>122</v>
      </c>
      <c r="C176" s="118">
        <f>600+13870+199-7</f>
        <v>14662</v>
      </c>
      <c r="D176" s="119"/>
      <c r="E176" s="118">
        <f>3725+110960+2130</f>
        <v>116815</v>
      </c>
      <c r="F176" s="119"/>
      <c r="G176" s="115"/>
      <c r="H176" s="118">
        <v>0</v>
      </c>
      <c r="I176" s="119"/>
      <c r="J176" s="118">
        <v>0</v>
      </c>
      <c r="K176" s="119"/>
      <c r="L176" s="117"/>
      <c r="M176" s="108"/>
      <c r="N176" s="6"/>
      <c r="O176" s="69"/>
    </row>
    <row r="177" spans="1:15" ht="15.75">
      <c r="A177" s="26"/>
      <c r="B177" s="65" t="s">
        <v>123</v>
      </c>
      <c r="C177" s="118">
        <f>SUM(C175:C176)</f>
        <v>45734</v>
      </c>
      <c r="D177" s="81"/>
      <c r="E177" s="118">
        <f>SUM(E175:E176)</f>
        <v>307682</v>
      </c>
      <c r="F177" s="120"/>
      <c r="G177" s="81"/>
      <c r="H177" s="118">
        <f>SUM(H175:H176)</f>
        <v>6911</v>
      </c>
      <c r="I177" s="81"/>
      <c r="J177" s="118">
        <f>SUM(J175:J176)</f>
        <v>5975</v>
      </c>
      <c r="K177" s="81"/>
      <c r="L177" s="81"/>
      <c r="M177" s="108"/>
      <c r="N177" s="6"/>
      <c r="O177" s="69"/>
    </row>
    <row r="178" spans="1:14" ht="15.75">
      <c r="A178" s="26"/>
      <c r="B178" s="65"/>
      <c r="C178" s="118"/>
      <c r="D178" s="120"/>
      <c r="E178" s="118"/>
      <c r="F178" s="120"/>
      <c r="G178" s="115"/>
      <c r="H178" s="118"/>
      <c r="I178" s="120"/>
      <c r="J178" s="118"/>
      <c r="K178" s="120"/>
      <c r="L178" s="117"/>
      <c r="M178" s="108"/>
      <c r="N178" s="6"/>
    </row>
    <row r="179" spans="1:14" ht="15.75">
      <c r="A179" s="26"/>
      <c r="B179" s="65"/>
      <c r="C179" s="115"/>
      <c r="D179" s="114" t="s">
        <v>41</v>
      </c>
      <c r="E179" s="115"/>
      <c r="F179" s="116"/>
      <c r="G179" s="115"/>
      <c r="H179" s="114" t="s">
        <v>42</v>
      </c>
      <c r="I179" s="115"/>
      <c r="J179" s="116"/>
      <c r="K179" s="115"/>
      <c r="L179" s="117"/>
      <c r="M179" s="108"/>
      <c r="N179" s="6"/>
    </row>
    <row r="180" spans="1:14" ht="15.75">
      <c r="A180" s="26"/>
      <c r="B180" s="81"/>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531</v>
      </c>
      <c r="D181" s="91">
        <f>C181/$C$185</f>
        <v>0.9672131147540983</v>
      </c>
      <c r="E181" s="118">
        <v>9075</v>
      </c>
      <c r="F181" s="91">
        <f>E181/E185</f>
        <v>0.9811871553681479</v>
      </c>
      <c r="G181" s="115"/>
      <c r="H181" s="118">
        <v>6811</v>
      </c>
      <c r="I181" s="91">
        <f>H181/$H$185</f>
        <v>0.9036752023351466</v>
      </c>
      <c r="J181" s="118">
        <v>29676</v>
      </c>
      <c r="K181" s="91">
        <f>J181/J185</f>
        <v>0.9499055728049678</v>
      </c>
      <c r="L181" s="117"/>
      <c r="M181" s="108"/>
      <c r="N181" s="6"/>
    </row>
    <row r="182" spans="1:14" ht="15.75">
      <c r="A182" s="26"/>
      <c r="B182" s="65" t="s">
        <v>118</v>
      </c>
      <c r="C182" s="118">
        <v>5</v>
      </c>
      <c r="D182" s="91">
        <f>C182/$C$185</f>
        <v>0.009107468123861567</v>
      </c>
      <c r="E182" s="118">
        <v>75</v>
      </c>
      <c r="F182" s="91">
        <f>E182/$E$185</f>
        <v>0.008108984755108661</v>
      </c>
      <c r="G182" s="115"/>
      <c r="H182" s="118">
        <v>118</v>
      </c>
      <c r="I182" s="91">
        <f>H182/$H$185</f>
        <v>0.015656096590155235</v>
      </c>
      <c r="J182" s="118">
        <v>456</v>
      </c>
      <c r="K182" s="91">
        <f>J182/$J$185</f>
        <v>0.01459620370666752</v>
      </c>
      <c r="L182" s="117"/>
      <c r="M182" s="108"/>
      <c r="N182" s="6"/>
    </row>
    <row r="183" spans="1:14" ht="15.75">
      <c r="A183" s="26"/>
      <c r="B183" s="65" t="s">
        <v>119</v>
      </c>
      <c r="C183" s="118">
        <v>1</v>
      </c>
      <c r="D183" s="91">
        <f>C183/$C$185</f>
        <v>0.0018214936247723133</v>
      </c>
      <c r="E183" s="118">
        <v>7</v>
      </c>
      <c r="F183" s="91">
        <f>E183/$E$185</f>
        <v>0.000756838577143475</v>
      </c>
      <c r="G183" s="115"/>
      <c r="H183" s="118">
        <v>44</v>
      </c>
      <c r="I183" s="91">
        <f>H183/$H$185</f>
        <v>0.00583786652514263</v>
      </c>
      <c r="J183" s="118">
        <v>187</v>
      </c>
      <c r="K183" s="91">
        <f>J183/$J$185</f>
        <v>0.005985723888479883</v>
      </c>
      <c r="L183" s="117"/>
      <c r="M183" s="108"/>
      <c r="N183" s="6"/>
    </row>
    <row r="184" spans="1:14" ht="15.75">
      <c r="A184" s="26"/>
      <c r="B184" s="65" t="s">
        <v>120</v>
      </c>
      <c r="C184" s="118">
        <f>2+1+9</f>
        <v>12</v>
      </c>
      <c r="D184" s="91">
        <f>C184/$C$185</f>
        <v>0.02185792349726776</v>
      </c>
      <c r="E184" s="118">
        <f>9248-E183-E182-E181</f>
        <v>91</v>
      </c>
      <c r="F184" s="91">
        <f>E184/$E$185</f>
        <v>0.009838901502865175</v>
      </c>
      <c r="G184" s="115"/>
      <c r="H184" s="118">
        <f>23+20+22+8+11+5+4+10+4+457</f>
        <v>564</v>
      </c>
      <c r="I184" s="91">
        <f>H184/$H$185</f>
        <v>0.07483083454955552</v>
      </c>
      <c r="J184" s="118">
        <f>31241-J183-J182-J181</f>
        <v>922</v>
      </c>
      <c r="K184" s="91">
        <f>J184/$J$185</f>
        <v>0.029512499599884768</v>
      </c>
      <c r="L184" s="117"/>
      <c r="M184" s="108"/>
      <c r="N184" s="6"/>
    </row>
    <row r="185" spans="1:14" ht="15.75">
      <c r="A185" s="26"/>
      <c r="B185" s="65" t="str">
        <f>B175</f>
        <v>Total Performing  Assets</v>
      </c>
      <c r="C185" s="118">
        <f>SUM(C181:C184)</f>
        <v>549</v>
      </c>
      <c r="D185" s="91">
        <f>SUM(D181:D184)</f>
        <v>1</v>
      </c>
      <c r="E185" s="118">
        <f>SUM(E181:E184)+1</f>
        <v>9249</v>
      </c>
      <c r="F185" s="91">
        <f>SUM(F181:F184)</f>
        <v>0.9998918802032652</v>
      </c>
      <c r="G185" s="115"/>
      <c r="H185" s="118">
        <f>SUM(H181:H184)</f>
        <v>7537</v>
      </c>
      <c r="I185" s="91">
        <f>SUM(I181:I184)</f>
        <v>1</v>
      </c>
      <c r="J185" s="118">
        <f>SUM(J181:J184)</f>
        <v>31241</v>
      </c>
      <c r="K185" s="91">
        <f>SUM(K181:K184)</f>
        <v>0.9999999999999999</v>
      </c>
      <c r="L185" s="117"/>
      <c r="M185" s="108"/>
      <c r="N185" s="6"/>
    </row>
    <row r="186" spans="1:14" ht="15.75">
      <c r="A186" s="26"/>
      <c r="B186" s="65" t="s">
        <v>122</v>
      </c>
      <c r="C186" s="118">
        <v>0</v>
      </c>
      <c r="D186" s="121"/>
      <c r="E186" s="118">
        <v>0</v>
      </c>
      <c r="F186" s="119"/>
      <c r="G186" s="115"/>
      <c r="H186" s="118">
        <v>87</v>
      </c>
      <c r="I186" s="121"/>
      <c r="J186" s="118">
        <v>499</v>
      </c>
      <c r="K186" s="121"/>
      <c r="L186" s="117"/>
      <c r="M186" s="108"/>
      <c r="N186" s="6"/>
    </row>
    <row r="187" spans="1:13" ht="15.75">
      <c r="A187" s="26"/>
      <c r="B187" s="65" t="s">
        <v>123</v>
      </c>
      <c r="C187" s="118">
        <f>SUM(C185:C186)</f>
        <v>549</v>
      </c>
      <c r="D187" s="81"/>
      <c r="E187" s="118">
        <f>SUM(E185:E186)</f>
        <v>9249</v>
      </c>
      <c r="F187" s="91"/>
      <c r="G187" s="81"/>
      <c r="H187" s="118">
        <f>SUM(H185:H186)</f>
        <v>7624</v>
      </c>
      <c r="I187" s="81"/>
      <c r="J187" s="118">
        <f>SUM(J185:J186)</f>
        <v>31740</v>
      </c>
      <c r="K187" s="81"/>
      <c r="L187" s="81"/>
      <c r="M187" s="140"/>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5"/>
      <c r="F189" s="116"/>
      <c r="G189" s="115"/>
      <c r="H189" s="122"/>
      <c r="I189" s="121"/>
      <c r="J189" s="118">
        <f>E177+J177+E187+J187</f>
        <v>354646</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5"/>
      <c r="J193" s="118">
        <f>J185+E185+J175+E175</f>
        <v>237332</v>
      </c>
      <c r="K193" s="115"/>
      <c r="L193" s="117"/>
      <c r="M193" s="108"/>
      <c r="N193" s="6"/>
    </row>
    <row r="194" spans="1:14" ht="15.75">
      <c r="A194" s="26"/>
      <c r="B194" s="65" t="s">
        <v>126</v>
      </c>
      <c r="C194" s="115"/>
      <c r="D194" s="116"/>
      <c r="E194" s="115"/>
      <c r="F194" s="116"/>
      <c r="G194" s="115"/>
      <c r="H194" s="116"/>
      <c r="I194" s="115"/>
      <c r="J194" s="118">
        <f>L94</f>
        <v>29636</v>
      </c>
      <c r="K194" s="115"/>
      <c r="L194" s="117"/>
      <c r="M194" s="108"/>
      <c r="N194" s="124"/>
    </row>
    <row r="195" spans="1:14" ht="15.75">
      <c r="A195" s="26"/>
      <c r="B195" s="65" t="s">
        <v>127</v>
      </c>
      <c r="C195" s="115"/>
      <c r="D195" s="116"/>
      <c r="E195" s="115"/>
      <c r="F195" s="116"/>
      <c r="G195" s="115"/>
      <c r="H195" s="116"/>
      <c r="I195" s="115"/>
      <c r="J195" s="118">
        <v>-22268</v>
      </c>
      <c r="K195" s="115"/>
      <c r="L195" s="117"/>
      <c r="M195" s="108"/>
      <c r="N195" s="125"/>
    </row>
    <row r="196" spans="1:14" ht="15.75">
      <c r="A196" s="26"/>
      <c r="B196" s="65" t="s">
        <v>128</v>
      </c>
      <c r="C196" s="115"/>
      <c r="D196" s="116"/>
      <c r="E196" s="115"/>
      <c r="F196" s="116"/>
      <c r="G196" s="115"/>
      <c r="H196" s="116"/>
      <c r="I196" s="115"/>
      <c r="J196" s="118">
        <f>SUM(J193:J195)</f>
        <v>244700</v>
      </c>
      <c r="K196" s="115"/>
      <c r="L196" s="117"/>
      <c r="M196" s="108"/>
      <c r="N196" s="6"/>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
        <v>36</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13" man="1"/>
    <brk id="213" max="0" man="1"/>
  </rowBreaks>
  <colBreaks count="1" manualBreakCount="1">
    <brk id="14" max="65535" man="1"/>
  </colBreaks>
  <drawing r:id="rId1"/>
</worksheet>
</file>

<file path=xl/worksheets/sheet10.xml><?xml version="1.0" encoding="utf-8"?>
<worksheet xmlns="http://schemas.openxmlformats.org/spreadsheetml/2006/main" xmlns:r="http://schemas.openxmlformats.org/officeDocument/2006/relationships">
  <dimension ref="A1:Q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E175/(J193+L94)</f>
        <v>0.2638331185760091</v>
      </c>
      <c r="F15" s="18" t="s">
        <v>147</v>
      </c>
      <c r="G15" s="19">
        <f>J175/(J193+L94)</f>
        <v>0.017312936381888466</v>
      </c>
      <c r="H15" s="18" t="s">
        <v>153</v>
      </c>
      <c r="I15" s="19">
        <f>E185/(J193+L94)</f>
        <v>0.4010742860567559</v>
      </c>
      <c r="J15" s="18" t="s">
        <v>162</v>
      </c>
      <c r="K15" s="19">
        <f>J185/(J193+L94)</f>
        <v>0.13550313146144857</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38187</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0.0475</v>
      </c>
      <c r="E34" s="48"/>
      <c r="F34" s="47">
        <v>0.0557</v>
      </c>
      <c r="G34" s="47"/>
      <c r="H34" s="47">
        <v>0.0712</v>
      </c>
      <c r="I34" s="49"/>
      <c r="J34" s="47"/>
      <c r="K34" s="30"/>
      <c r="L34" s="49">
        <f>SUMPRODUCT(D34:J34,D32:J32)/L32</f>
        <v>0.052481242337556196</v>
      </c>
      <c r="M34" s="27"/>
      <c r="N34" s="6"/>
    </row>
    <row r="35" spans="1:14" ht="15.75">
      <c r="A35" s="26"/>
      <c r="B35" s="27" t="s">
        <v>23</v>
      </c>
      <c r="C35" s="152"/>
      <c r="D35" s="47">
        <v>0.0439625</v>
      </c>
      <c r="E35" s="48"/>
      <c r="F35" s="47">
        <v>0.0521625</v>
      </c>
      <c r="G35" s="47"/>
      <c r="H35" s="47">
        <v>0.0676625</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38183</v>
      </c>
      <c r="M45" s="31"/>
      <c r="N45" s="6"/>
    </row>
    <row r="46" spans="1:14" ht="15.75">
      <c r="A46" s="26"/>
      <c r="B46" s="27" t="s">
        <v>32</v>
      </c>
      <c r="C46" s="27"/>
      <c r="D46" s="27"/>
      <c r="E46" s="27"/>
      <c r="F46" s="27"/>
      <c r="G46" s="27"/>
      <c r="H46" s="30"/>
      <c r="I46" s="27">
        <f>L46-J46+1</f>
        <v>91</v>
      </c>
      <c r="J46" s="56">
        <v>38001</v>
      </c>
      <c r="K46" s="57"/>
      <c r="L46" s="56">
        <v>38091</v>
      </c>
      <c r="M46" s="27"/>
      <c r="N46" s="6"/>
    </row>
    <row r="47" spans="1:14" ht="15.75">
      <c r="A47" s="26"/>
      <c r="B47" s="27" t="s">
        <v>33</v>
      </c>
      <c r="C47" s="27"/>
      <c r="D47" s="27"/>
      <c r="E47" s="27"/>
      <c r="F47" s="27"/>
      <c r="G47" s="27"/>
      <c r="H47" s="30"/>
      <c r="I47" s="27">
        <f>L47-J47+1</f>
        <v>91</v>
      </c>
      <c r="J47" s="56">
        <v>38092</v>
      </c>
      <c r="K47" s="57"/>
      <c r="L47" s="56">
        <v>38182</v>
      </c>
      <c r="M47" s="27"/>
      <c r="N47" s="6"/>
    </row>
    <row r="48" spans="1:14" ht="15.75">
      <c r="A48" s="26"/>
      <c r="B48" s="27" t="s">
        <v>34</v>
      </c>
      <c r="C48" s="27"/>
      <c r="D48" s="27"/>
      <c r="E48" s="27"/>
      <c r="F48" s="27"/>
      <c r="G48" s="27"/>
      <c r="H48" s="27"/>
      <c r="I48" s="27"/>
      <c r="J48" s="56"/>
      <c r="K48" s="57"/>
      <c r="L48" s="56" t="s">
        <v>196</v>
      </c>
      <c r="M48" s="27"/>
      <c r="N48" s="6"/>
    </row>
    <row r="49" spans="1:14" ht="15.75">
      <c r="A49" s="26"/>
      <c r="B49" s="27" t="s">
        <v>35</v>
      </c>
      <c r="C49" s="27"/>
      <c r="D49" s="27"/>
      <c r="E49" s="27"/>
      <c r="F49" s="27"/>
      <c r="G49" s="27"/>
      <c r="H49" s="27"/>
      <c r="I49" s="27"/>
      <c r="J49" s="56"/>
      <c r="K49" s="57"/>
      <c r="L49" s="56">
        <v>38170</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200</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188880</v>
      </c>
      <c r="E57" s="63"/>
      <c r="F57" s="63">
        <f>71+7134+174+1276-10</f>
        <v>8645</v>
      </c>
      <c r="G57" s="63"/>
      <c r="H57" s="63">
        <v>0</v>
      </c>
      <c r="I57" s="63"/>
      <c r="J57" s="63">
        <v>0</v>
      </c>
      <c r="K57" s="63"/>
      <c r="L57" s="64">
        <f>D57-F57+H57-J57</f>
        <v>180235</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6860</v>
      </c>
      <c r="E60" s="63"/>
      <c r="F60" s="63">
        <f>1875+9</f>
        <v>1884</v>
      </c>
      <c r="G60" s="63"/>
      <c r="H60" s="63">
        <v>0</v>
      </c>
      <c r="I60" s="63"/>
      <c r="J60" s="63">
        <f>SUM(J57:J59)</f>
        <v>0</v>
      </c>
      <c r="K60" s="63"/>
      <c r="L60" s="64">
        <f>D60-F60+H60-J60</f>
        <v>4976</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102770</v>
      </c>
      <c r="E63" s="63"/>
      <c r="F63" s="63">
        <f>17298+37+4</f>
        <v>17339</v>
      </c>
      <c r="G63" s="63"/>
      <c r="H63" s="63">
        <f>21476+275</f>
        <v>21751</v>
      </c>
      <c r="I63" s="63"/>
      <c r="J63" s="63">
        <v>0</v>
      </c>
      <c r="K63" s="63"/>
      <c r="L63" s="64">
        <f>D63-F63+H63-J63</f>
        <v>107182</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41410</v>
      </c>
      <c r="E66" s="63"/>
      <c r="F66" s="63">
        <f>6961+41+149</f>
        <v>7151</v>
      </c>
      <c r="G66" s="63"/>
      <c r="H66" s="63">
        <v>2204</v>
      </c>
      <c r="I66" s="63"/>
      <c r="J66" s="63">
        <v>0</v>
      </c>
      <c r="K66" s="63"/>
      <c r="L66" s="64">
        <f>D66-F66+H66-J66</f>
        <v>36463</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339920</v>
      </c>
      <c r="E69" s="63"/>
      <c r="F69" s="63">
        <f>SUM(F57:F67)</f>
        <v>35019</v>
      </c>
      <c r="G69" s="63"/>
      <c r="H69" s="63">
        <f>SUM(H57:H67)</f>
        <v>23955</v>
      </c>
      <c r="I69" s="63"/>
      <c r="J69" s="63">
        <f>SUM(J64:J68)</f>
        <v>0</v>
      </c>
      <c r="K69" s="63"/>
      <c r="L69" s="63">
        <f>SUM(L57:L68)</f>
        <v>328856</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-132694</v>
      </c>
      <c r="E71" s="63"/>
      <c r="F71" s="63">
        <v>121</v>
      </c>
      <c r="G71" s="63"/>
      <c r="H71" s="63"/>
      <c r="I71" s="63"/>
      <c r="J71" s="63"/>
      <c r="K71" s="63"/>
      <c r="L71" s="63">
        <f>D71-F71</f>
        <v>-132815</v>
      </c>
      <c r="M71" s="27"/>
      <c r="N71" s="6"/>
    </row>
    <row r="72" spans="1:14" ht="15.75">
      <c r="A72" s="26"/>
      <c r="B72" s="27" t="s">
        <v>45</v>
      </c>
      <c r="C72" s="63">
        <v>0</v>
      </c>
      <c r="D72" s="65">
        <v>37474</v>
      </c>
      <c r="E72" s="63"/>
      <c r="F72" s="63">
        <f>SUM(F69:F71)</f>
        <v>35140</v>
      </c>
      <c r="G72" s="63"/>
      <c r="H72" s="63">
        <f>-H69</f>
        <v>-23955</v>
      </c>
      <c r="I72" s="63"/>
      <c r="J72" s="63"/>
      <c r="K72" s="63"/>
      <c r="L72" s="65">
        <f>D72+F72+H72</f>
        <v>48659</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153"/>
      <c r="I75" s="63"/>
      <c r="J75" s="63"/>
      <c r="K75" s="63"/>
      <c r="L75" s="65">
        <v>0</v>
      </c>
      <c r="M75" s="27"/>
      <c r="N75" s="6"/>
    </row>
    <row r="76" spans="1:14" ht="15.75">
      <c r="A76" s="26"/>
      <c r="B76" s="27" t="s">
        <v>20</v>
      </c>
      <c r="C76" s="65">
        <f>SUM(C69:C75)</f>
        <v>244700</v>
      </c>
      <c r="D76" s="65">
        <f>SUM(D69:D75)</f>
        <v>244700</v>
      </c>
      <c r="E76" s="63"/>
      <c r="F76" s="63">
        <f>F72-F75-F74</f>
        <v>35140</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64607-246</f>
        <v>64361</v>
      </c>
      <c r="M79" s="27"/>
      <c r="N79" s="6"/>
    </row>
    <row r="80" spans="1:14" ht="15.75">
      <c r="A80" s="26"/>
      <c r="B80" s="27" t="s">
        <v>51</v>
      </c>
      <c r="C80" s="51"/>
      <c r="D80" s="55"/>
      <c r="E80" s="27"/>
      <c r="F80" s="27"/>
      <c r="G80" s="27"/>
      <c r="H80" s="27"/>
      <c r="I80" s="27"/>
      <c r="J80" s="63"/>
      <c r="K80" s="27"/>
      <c r="L80" s="64">
        <f>920+230+65+1-19</f>
        <v>1197</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198</v>
      </c>
      <c r="C82" s="27"/>
      <c r="D82" s="27"/>
      <c r="E82" s="27"/>
      <c r="F82" s="27"/>
      <c r="G82" s="27"/>
      <c r="H82" s="27"/>
      <c r="I82" s="27"/>
      <c r="J82" s="63"/>
      <c r="K82" s="27"/>
      <c r="L82" s="64">
        <v>48</v>
      </c>
      <c r="M82" s="27"/>
      <c r="N82" s="6"/>
      <c r="O82" s="69"/>
    </row>
    <row r="83" spans="1:15" ht="15.75">
      <c r="A83" s="26"/>
      <c r="B83" s="27" t="s">
        <v>54</v>
      </c>
      <c r="C83" s="27"/>
      <c r="D83" s="27"/>
      <c r="E83" s="27"/>
      <c r="F83" s="27"/>
      <c r="G83" s="27"/>
      <c r="H83" s="27"/>
      <c r="I83" s="27"/>
      <c r="J83" s="63"/>
      <c r="K83" s="27"/>
      <c r="L83" s="64">
        <f>SUM(L79:L82)</f>
        <v>58481</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-720-307</f>
        <v>-1027</v>
      </c>
      <c r="M87" s="27"/>
      <c r="N87" s="6"/>
      <c r="O87" s="69"/>
    </row>
    <row r="88" spans="1:15" ht="15.75">
      <c r="A88" s="26">
        <f t="shared" si="0"/>
        <v>3</v>
      </c>
      <c r="B88" s="27" t="s">
        <v>58</v>
      </c>
      <c r="C88" s="27"/>
      <c r="D88" s="27"/>
      <c r="E88" s="27"/>
      <c r="F88" s="27"/>
      <c r="G88" s="27"/>
      <c r="H88" s="27"/>
      <c r="I88" s="27"/>
      <c r="J88" s="27"/>
      <c r="K88" s="27"/>
      <c r="L88" s="64">
        <v>-407</v>
      </c>
      <c r="M88" s="27"/>
      <c r="N88" s="6"/>
      <c r="O88" s="69"/>
    </row>
    <row r="89" spans="1:15" ht="15.75">
      <c r="A89" s="26">
        <f t="shared" si="0"/>
        <v>4</v>
      </c>
      <c r="B89" s="27" t="s">
        <v>59</v>
      </c>
      <c r="C89" s="27"/>
      <c r="D89" s="27"/>
      <c r="E89" s="27"/>
      <c r="F89" s="27"/>
      <c r="G89" s="27"/>
      <c r="H89" s="27"/>
      <c r="I89" s="27"/>
      <c r="J89" s="27"/>
      <c r="K89" s="27"/>
      <c r="L89" s="64">
        <v>-1735</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-982</v>
      </c>
      <c r="M91" s="27"/>
      <c r="N91" s="6"/>
      <c r="O91" s="69"/>
    </row>
    <row r="92" spans="1:15" ht="15.75">
      <c r="A92" s="26">
        <f t="shared" si="0"/>
        <v>7</v>
      </c>
      <c r="B92" s="27" t="s">
        <v>62</v>
      </c>
      <c r="C92" s="27"/>
      <c r="D92" s="27"/>
      <c r="E92" s="27"/>
      <c r="F92" s="27"/>
      <c r="G92" s="27"/>
      <c r="H92" s="27"/>
      <c r="I92" s="27"/>
      <c r="J92" s="27"/>
      <c r="K92" s="27"/>
      <c r="L92" s="64">
        <v>-476</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48662</v>
      </c>
      <c r="M94" s="27"/>
      <c r="N94" s="6"/>
      <c r="O94" s="69"/>
    </row>
    <row r="95" spans="1:14" ht="15.75">
      <c r="A95" s="26">
        <f t="shared" si="0"/>
        <v>10</v>
      </c>
      <c r="B95" s="27" t="s">
        <v>64</v>
      </c>
      <c r="C95" s="27"/>
      <c r="D95" s="27"/>
      <c r="E95" s="27"/>
      <c r="F95" s="27"/>
      <c r="G95" s="27"/>
      <c r="H95" s="27"/>
      <c r="I95" s="27"/>
      <c r="J95" s="27"/>
      <c r="K95" s="27"/>
      <c r="L95" s="64">
        <f>J193+SUM(L83:L92)+J195-J198</f>
        <v>5183</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JUNE 2004</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154"/>
      <c r="H111" s="9"/>
      <c r="I111" s="9"/>
      <c r="J111" s="9"/>
      <c r="K111" s="9"/>
      <c r="L111" s="80"/>
      <c r="M111" s="9"/>
      <c r="N111" s="6"/>
    </row>
    <row r="112" spans="1:14" ht="15.75">
      <c r="A112" s="7"/>
      <c r="B112" s="14"/>
      <c r="C112" s="18" t="s">
        <v>137</v>
      </c>
      <c r="D112" s="18" t="s">
        <v>147</v>
      </c>
      <c r="E112" s="18" t="s">
        <v>153</v>
      </c>
      <c r="F112" s="18" t="s">
        <v>162</v>
      </c>
      <c r="G112" s="154"/>
      <c r="H112" s="154"/>
      <c r="I112" s="9"/>
      <c r="J112" s="9"/>
      <c r="K112" s="9"/>
      <c r="L112" s="80"/>
      <c r="M112" s="9"/>
      <c r="N112" s="6"/>
    </row>
    <row r="113" spans="1:14" ht="15.75">
      <c r="A113" s="26"/>
      <c r="B113" s="27" t="s">
        <v>199</v>
      </c>
      <c r="C113" s="63">
        <f>E176-'Mar 04'!E176</f>
        <v>25</v>
      </c>
      <c r="D113" s="63">
        <f>J176-'Mar 04'!J176</f>
        <v>60</v>
      </c>
      <c r="E113" s="63">
        <f>E186-'Mar 04'!E186</f>
        <v>23</v>
      </c>
      <c r="F113" s="63">
        <f>J186-'Mar 04'!J186</f>
        <v>13</v>
      </c>
      <c r="G113" s="153"/>
      <c r="H113" s="153"/>
      <c r="I113" s="27"/>
      <c r="J113" s="27"/>
      <c r="K113" s="27"/>
      <c r="L113" s="64">
        <f>SUM(C113:F113)</f>
        <v>121</v>
      </c>
      <c r="M113" s="27"/>
      <c r="N113" s="6"/>
    </row>
    <row r="114" spans="1:14" ht="15.75">
      <c r="A114" s="26"/>
      <c r="B114" s="27" t="s">
        <v>72</v>
      </c>
      <c r="C114" s="27">
        <f>174+1275-10</f>
        <v>1439</v>
      </c>
      <c r="D114" s="27">
        <v>9</v>
      </c>
      <c r="E114" s="27">
        <f>37+4</f>
        <v>41</v>
      </c>
      <c r="F114" s="27">
        <f>41+149</f>
        <v>190</v>
      </c>
      <c r="G114" s="153"/>
      <c r="H114" s="153"/>
      <c r="I114" s="27"/>
      <c r="J114" s="27"/>
      <c r="K114" s="27"/>
      <c r="L114" s="64">
        <f>SUM(C114:F114)</f>
        <v>1679</v>
      </c>
      <c r="M114" s="27"/>
      <c r="N114" s="6"/>
    </row>
    <row r="115" spans="1:14" ht="15.75">
      <c r="A115" s="26"/>
      <c r="B115" s="27" t="s">
        <v>73</v>
      </c>
      <c r="C115" s="27"/>
      <c r="D115" s="27"/>
      <c r="E115" s="27"/>
      <c r="F115" s="27"/>
      <c r="G115" s="27"/>
      <c r="H115" s="27"/>
      <c r="I115" s="27"/>
      <c r="J115" s="27"/>
      <c r="K115" s="27"/>
      <c r="L115" s="64">
        <f>SUM(L113:L114)</f>
        <v>1800</v>
      </c>
      <c r="M115" s="27"/>
      <c r="N115" s="6"/>
    </row>
    <row r="116" spans="1:14" ht="15.75">
      <c r="A116" s="7"/>
      <c r="B116" s="168" t="s">
        <v>74</v>
      </c>
      <c r="C116" s="14"/>
      <c r="D116" s="9"/>
      <c r="E116" s="9"/>
      <c r="F116" s="9"/>
      <c r="G116" s="9"/>
      <c r="H116" s="9"/>
      <c r="I116" s="9"/>
      <c r="J116" s="9"/>
      <c r="K116" s="9"/>
      <c r="L116" s="62"/>
      <c r="M116" s="9"/>
      <c r="N116" s="6"/>
    </row>
    <row r="117" spans="1:15" ht="15.75">
      <c r="A117" s="26"/>
      <c r="B117" s="27" t="s">
        <v>75</v>
      </c>
      <c r="C117" s="82"/>
      <c r="D117" s="27"/>
      <c r="E117" s="27"/>
      <c r="F117" s="27"/>
      <c r="G117" s="27"/>
      <c r="H117" s="27"/>
      <c r="I117" s="27"/>
      <c r="J117" s="27"/>
      <c r="K117" s="27"/>
      <c r="L117" s="64">
        <f>L69</f>
        <v>328856</v>
      </c>
      <c r="M117" s="27"/>
      <c r="N117" s="6"/>
      <c r="O117" s="172"/>
    </row>
    <row r="118" spans="1:15" ht="15.75">
      <c r="A118" s="26"/>
      <c r="B118" s="27" t="s">
        <v>76</v>
      </c>
      <c r="C118" s="82"/>
      <c r="D118" s="27"/>
      <c r="E118" s="27"/>
      <c r="F118" s="27"/>
      <c r="G118" s="27"/>
      <c r="H118" s="27"/>
      <c r="I118" s="27"/>
      <c r="J118" s="27"/>
      <c r="K118" s="27"/>
      <c r="L118" s="64">
        <f>L72</f>
        <v>48659</v>
      </c>
      <c r="M118" s="27"/>
      <c r="N118" s="6"/>
      <c r="O118" s="172"/>
    </row>
    <row r="119" spans="1:15" ht="15.75">
      <c r="A119" s="26"/>
      <c r="B119" s="27" t="s">
        <v>77</v>
      </c>
      <c r="C119" s="82"/>
      <c r="D119" s="27"/>
      <c r="E119" s="27"/>
      <c r="F119" s="27"/>
      <c r="G119" s="27"/>
      <c r="H119" s="27"/>
      <c r="I119" s="27"/>
      <c r="J119" s="27"/>
      <c r="K119" s="27"/>
      <c r="L119" s="64">
        <f>L118+L117+L74+L75</f>
        <v>377515</v>
      </c>
      <c r="M119" s="27"/>
      <c r="N119" s="6"/>
      <c r="O119" s="69"/>
    </row>
    <row r="120" spans="1:15" ht="15.75">
      <c r="A120" s="26"/>
      <c r="B120" s="27" t="s">
        <v>78</v>
      </c>
      <c r="C120" s="82"/>
      <c r="D120" s="27"/>
      <c r="E120" s="27"/>
      <c r="F120" s="27"/>
      <c r="G120" s="27"/>
      <c r="H120" s="27"/>
      <c r="I120" s="27"/>
      <c r="J120" s="27"/>
      <c r="K120" s="27"/>
      <c r="L120" s="64">
        <f>L76</f>
        <v>244700</v>
      </c>
      <c r="M120" s="27"/>
      <c r="N120" s="6"/>
      <c r="O120" s="172"/>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f>+'Mar 04'!H126</f>
        <v>257</v>
      </c>
      <c r="I124" s="27"/>
      <c r="J124" s="84" t="s">
        <v>177</v>
      </c>
      <c r="K124" s="27"/>
      <c r="L124" s="64">
        <f>H124</f>
        <v>257</v>
      </c>
      <c r="M124" s="27"/>
      <c r="N124" s="6"/>
    </row>
    <row r="125" spans="1:14" ht="15.75">
      <c r="A125" s="26"/>
      <c r="B125" s="27" t="s">
        <v>82</v>
      </c>
      <c r="C125" s="27"/>
      <c r="D125" s="27"/>
      <c r="E125" s="27"/>
      <c r="F125" s="27"/>
      <c r="G125" s="27"/>
      <c r="H125" s="64">
        <v>275</v>
      </c>
      <c r="I125" s="27"/>
      <c r="J125" s="84" t="s">
        <v>177</v>
      </c>
      <c r="K125" s="27"/>
      <c r="L125" s="64">
        <f>H125</f>
        <v>275</v>
      </c>
      <c r="M125" s="27"/>
      <c r="N125" s="6"/>
    </row>
    <row r="126" spans="1:14" ht="15.75">
      <c r="A126" s="26"/>
      <c r="B126" s="27" t="s">
        <v>83</v>
      </c>
      <c r="C126" s="27"/>
      <c r="D126" s="27"/>
      <c r="E126" s="27"/>
      <c r="F126" s="27"/>
      <c r="G126" s="27"/>
      <c r="H126" s="64">
        <f>SUM(H124:H125)</f>
        <v>532</v>
      </c>
      <c r="I126" s="27"/>
      <c r="J126" s="84" t="s">
        <v>177</v>
      </c>
      <c r="K126" s="27"/>
      <c r="L126" s="64">
        <f>H126</f>
        <v>532</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38168</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0.1406</v>
      </c>
      <c r="K134" s="27"/>
      <c r="L134" s="27"/>
      <c r="M134" s="27"/>
      <c r="N134" s="6"/>
    </row>
    <row r="135" spans="1:14" ht="15.75">
      <c r="A135" s="87"/>
      <c r="B135" s="88" t="s">
        <v>90</v>
      </c>
      <c r="C135" s="89"/>
      <c r="D135" s="89"/>
      <c r="E135" s="89"/>
      <c r="F135" s="89"/>
      <c r="G135" s="90"/>
      <c r="H135" s="90"/>
      <c r="I135" s="90"/>
      <c r="J135" s="91">
        <f>L34</f>
        <v>0.052481242337556196</v>
      </c>
      <c r="K135" s="27"/>
      <c r="L135" s="27"/>
      <c r="M135" s="27"/>
      <c r="N135" s="6"/>
    </row>
    <row r="136" spans="1:14" ht="15.75">
      <c r="A136" s="87"/>
      <c r="B136" s="88" t="s">
        <v>91</v>
      </c>
      <c r="C136" s="89"/>
      <c r="D136" s="89"/>
      <c r="E136" s="89"/>
      <c r="F136" s="89"/>
      <c r="G136" s="90"/>
      <c r="H136" s="90"/>
      <c r="I136" s="90"/>
      <c r="J136" s="91">
        <f>J134-J135</f>
        <v>0.08811875766244381</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13.468</v>
      </c>
      <c r="K141" s="27"/>
      <c r="L141" s="27"/>
      <c r="M141" s="27"/>
      <c r="N141" s="6"/>
    </row>
    <row r="142" spans="1:14" ht="15.75">
      <c r="A142" s="87"/>
      <c r="B142" s="88" t="s">
        <v>97</v>
      </c>
      <c r="C142" s="89"/>
      <c r="D142" s="89"/>
      <c r="E142" s="89"/>
      <c r="F142" s="89"/>
      <c r="G142" s="90"/>
      <c r="H142" s="90"/>
      <c r="I142" s="90"/>
      <c r="J142" s="91">
        <v>0.0916</v>
      </c>
      <c r="K142" s="27"/>
      <c r="L142" s="27"/>
      <c r="M142" s="27"/>
      <c r="N142" s="6"/>
    </row>
    <row r="143" spans="1:14" ht="15.75">
      <c r="A143" s="87"/>
      <c r="B143" s="88" t="s">
        <v>98</v>
      </c>
      <c r="C143" s="89"/>
      <c r="D143" s="89"/>
      <c r="E143" s="89"/>
      <c r="F143" s="89"/>
      <c r="G143" s="90"/>
      <c r="H143" s="90"/>
      <c r="I143" s="90"/>
      <c r="J143" s="91">
        <v>0.2782</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JUNE 2004</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4891</v>
      </c>
      <c r="J148" s="64">
        <v>40553</v>
      </c>
      <c r="K148" s="64"/>
      <c r="L148" s="94"/>
      <c r="M148" s="104"/>
      <c r="N148" s="6"/>
    </row>
    <row r="149" spans="1:14" ht="15.75">
      <c r="A149" s="103"/>
      <c r="B149" s="88" t="s">
        <v>101</v>
      </c>
      <c r="C149" s="65"/>
      <c r="D149" s="65"/>
      <c r="E149" s="65"/>
      <c r="F149" s="27"/>
      <c r="G149" s="27"/>
      <c r="H149" s="27"/>
      <c r="I149" s="27">
        <v>1</v>
      </c>
      <c r="J149" s="64">
        <v>7</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23955</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1800</v>
      </c>
      <c r="K153" s="27"/>
      <c r="L153" s="94"/>
      <c r="M153" s="108"/>
      <c r="N153" s="6"/>
    </row>
    <row r="154" spans="1:14" ht="15.75">
      <c r="A154" s="103"/>
      <c r="B154" s="88" t="s">
        <v>106</v>
      </c>
      <c r="C154" s="65"/>
      <c r="D154" s="65"/>
      <c r="E154" s="65"/>
      <c r="F154" s="65"/>
      <c r="G154" s="27"/>
      <c r="H154" s="27"/>
      <c r="I154" s="27"/>
      <c r="J154" s="64">
        <f>'Mar 04'!J154+J153</f>
        <v>28667</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72</v>
      </c>
      <c r="K164" s="113"/>
      <c r="L164" s="34"/>
      <c r="M164" s="94"/>
      <c r="N164" s="6"/>
    </row>
    <row r="165" spans="1:14" ht="15.75">
      <c r="A165" s="103"/>
      <c r="B165" s="88" t="s">
        <v>110</v>
      </c>
      <c r="C165" s="65"/>
      <c r="D165" s="65"/>
      <c r="E165" s="111"/>
      <c r="F165" s="109"/>
      <c r="G165" s="110"/>
      <c r="H165" s="27"/>
      <c r="I165" s="34"/>
      <c r="J165" s="113">
        <v>2.87</v>
      </c>
      <c r="K165" s="113"/>
      <c r="L165" s="34"/>
      <c r="M165" s="94"/>
      <c r="N165" s="6"/>
    </row>
    <row r="166" spans="1:14" ht="15.75">
      <c r="A166" s="103"/>
      <c r="B166" s="88" t="s">
        <v>115</v>
      </c>
      <c r="C166" s="65"/>
      <c r="D166" s="65"/>
      <c r="E166" s="111"/>
      <c r="F166" s="109"/>
      <c r="G166" s="110"/>
      <c r="H166" s="27"/>
      <c r="I166" s="34"/>
      <c r="J166" s="113">
        <v>36.64</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153"/>
      <c r="D169" s="114" t="s">
        <v>148</v>
      </c>
      <c r="E169" s="115"/>
      <c r="F169" s="116"/>
      <c r="G169" s="115"/>
      <c r="H169" s="114" t="s">
        <v>40</v>
      </c>
      <c r="I169" s="115"/>
      <c r="J169" s="116"/>
      <c r="K169" s="115"/>
      <c r="L169" s="117"/>
      <c r="M169" s="108"/>
      <c r="N169" s="6"/>
    </row>
    <row r="170" spans="1:14" ht="15.75">
      <c r="A170" s="26"/>
      <c r="B170" s="153"/>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v>11902</v>
      </c>
      <c r="D171" s="91">
        <f>C171/$C$175</f>
        <v>0.8788952887313543</v>
      </c>
      <c r="E171" s="118">
        <v>58665</v>
      </c>
      <c r="F171" s="91">
        <f>E171/$E$175</f>
        <v>0.8328955774827855</v>
      </c>
      <c r="G171" s="115"/>
      <c r="H171" s="118">
        <v>5612</v>
      </c>
      <c r="I171" s="91">
        <f>H171/$H$175</f>
        <v>0.9435104236718225</v>
      </c>
      <c r="J171" s="118">
        <v>4233</v>
      </c>
      <c r="K171" s="91">
        <f>J171/$J$175</f>
        <v>0.915837299870186</v>
      </c>
      <c r="L171" s="117"/>
      <c r="M171" s="108"/>
      <c r="N171" s="6"/>
    </row>
    <row r="172" spans="1:17" ht="15.75">
      <c r="A172" s="26"/>
      <c r="B172" s="65" t="s">
        <v>118</v>
      </c>
      <c r="C172" s="118">
        <v>176</v>
      </c>
      <c r="D172" s="91">
        <f>C172/$C$175</f>
        <v>0.012996603160537587</v>
      </c>
      <c r="E172" s="118">
        <v>1221</v>
      </c>
      <c r="F172" s="91">
        <f>E172/$E$175</f>
        <v>0.01733513168169234</v>
      </c>
      <c r="G172" s="115"/>
      <c r="H172" s="118">
        <v>49</v>
      </c>
      <c r="I172" s="91">
        <f>H172/$H$175</f>
        <v>0.00823806321452589</v>
      </c>
      <c r="J172" s="118">
        <v>34</v>
      </c>
      <c r="K172" s="91">
        <f>J172/$J$175</f>
        <v>0.0073561228905235825</v>
      </c>
      <c r="L172" s="117"/>
      <c r="M172" s="108"/>
      <c r="N172" s="6"/>
      <c r="Q172" s="69"/>
    </row>
    <row r="173" spans="1:17" ht="15.75">
      <c r="A173" s="26"/>
      <c r="B173" s="65" t="s">
        <v>119</v>
      </c>
      <c r="C173" s="118">
        <v>173</v>
      </c>
      <c r="D173" s="91">
        <f>C173/$C$175</f>
        <v>0.012775070152119332</v>
      </c>
      <c r="E173" s="118">
        <v>1110</v>
      </c>
      <c r="F173" s="91">
        <f>E173/$E$175</f>
        <v>0.01575921061972031</v>
      </c>
      <c r="G173" s="115"/>
      <c r="H173" s="118">
        <v>48</v>
      </c>
      <c r="I173" s="91">
        <f>H173/$H$175</f>
        <v>0.008069939475453935</v>
      </c>
      <c r="J173" s="118">
        <v>51</v>
      </c>
      <c r="K173" s="91">
        <f>J173/$J$175</f>
        <v>0.011034184335785374</v>
      </c>
      <c r="L173" s="117"/>
      <c r="M173" s="108"/>
      <c r="N173" s="6"/>
      <c r="Q173" s="69"/>
    </row>
    <row r="174" spans="1:17" ht="15.75">
      <c r="A174" s="26"/>
      <c r="B174" s="65" t="s">
        <v>120</v>
      </c>
      <c r="C174" s="118">
        <v>1291</v>
      </c>
      <c r="D174" s="91">
        <f>C174/$C$175</f>
        <v>0.09533303795598877</v>
      </c>
      <c r="E174" s="118">
        <v>9439</v>
      </c>
      <c r="F174" s="91">
        <f>E174/$E$175</f>
        <v>0.1340100802158018</v>
      </c>
      <c r="G174" s="115"/>
      <c r="H174" s="118">
        <v>239</v>
      </c>
      <c r="I174" s="91">
        <f>H174/$H$175</f>
        <v>0.040181573638197715</v>
      </c>
      <c r="J174" s="118">
        <v>304</v>
      </c>
      <c r="K174" s="91">
        <f>J174/$J$175</f>
        <v>0.06577239290350498</v>
      </c>
      <c r="L174" s="117"/>
      <c r="M174" s="108"/>
      <c r="N174" s="6"/>
      <c r="Q174" s="69"/>
    </row>
    <row r="175" spans="1:17" ht="15.75">
      <c r="A175" s="26"/>
      <c r="B175" s="65" t="s">
        <v>121</v>
      </c>
      <c r="C175" s="118">
        <f>SUM(C171:C174)</f>
        <v>13542</v>
      </c>
      <c r="D175" s="91">
        <f>SUM(D171:D174)</f>
        <v>1</v>
      </c>
      <c r="E175" s="118">
        <f>SUM(E171:E174)</f>
        <v>70435</v>
      </c>
      <c r="F175" s="91">
        <f>SUM(F171:F174)</f>
        <v>1</v>
      </c>
      <c r="G175" s="115"/>
      <c r="H175" s="118">
        <f>SUM(H171:H174)</f>
        <v>5948</v>
      </c>
      <c r="I175" s="91">
        <f>SUM(I171:I174)</f>
        <v>1</v>
      </c>
      <c r="J175" s="118">
        <f>SUM(J171:J174)</f>
        <v>4622</v>
      </c>
      <c r="K175" s="91">
        <f>SUM(K171:K174)</f>
        <v>1</v>
      </c>
      <c r="L175" s="117"/>
      <c r="M175" s="108"/>
      <c r="N175" s="6"/>
      <c r="Q175" s="69"/>
    </row>
    <row r="176" spans="1:17" ht="15.75">
      <c r="A176" s="26"/>
      <c r="B176" s="65" t="s">
        <v>122</v>
      </c>
      <c r="C176" s="118">
        <v>13516</v>
      </c>
      <c r="D176" s="119"/>
      <c r="E176" s="118">
        <v>109801</v>
      </c>
      <c r="F176" s="119"/>
      <c r="G176" s="115"/>
      <c r="H176" s="118">
        <v>217</v>
      </c>
      <c r="I176" s="119"/>
      <c r="J176" s="118">
        <v>353</v>
      </c>
      <c r="K176" s="119"/>
      <c r="L176" s="117"/>
      <c r="M176" s="108"/>
      <c r="N176" s="6"/>
      <c r="O176" s="69"/>
      <c r="Q176" s="69"/>
    </row>
    <row r="177" spans="1:15" ht="15.75">
      <c r="A177" s="26"/>
      <c r="B177" s="65" t="s">
        <v>123</v>
      </c>
      <c r="C177" s="118">
        <f>SUM(C175:C176)</f>
        <v>27058</v>
      </c>
      <c r="D177" s="153"/>
      <c r="E177" s="118">
        <f>SUM(E175:E176)</f>
        <v>180236</v>
      </c>
      <c r="F177" s="91"/>
      <c r="G177" s="153"/>
      <c r="H177" s="118">
        <f>SUM(H175:H176)</f>
        <v>6165</v>
      </c>
      <c r="I177" s="153"/>
      <c r="J177" s="118">
        <f>SUM(J175:J176)</f>
        <v>4975</v>
      </c>
      <c r="K177" s="153"/>
      <c r="L177" s="153"/>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153"/>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4296</v>
      </c>
      <c r="D181" s="91">
        <f>C181/$C$185</f>
        <v>0.9557285873192436</v>
      </c>
      <c r="E181" s="118">
        <v>102381</v>
      </c>
      <c r="F181" s="91">
        <f>E181/$E$185</f>
        <v>0.9561704989072978</v>
      </c>
      <c r="G181" s="115"/>
      <c r="H181" s="118">
        <v>7552</v>
      </c>
      <c r="I181" s="91">
        <f>H181/$H$185</f>
        <v>0.9812889812889813</v>
      </c>
      <c r="J181" s="118">
        <v>35255</v>
      </c>
      <c r="K181" s="91">
        <f>J181/$J$185</f>
        <v>0.9745680718728403</v>
      </c>
      <c r="L181" s="117"/>
      <c r="M181" s="108"/>
      <c r="N181" s="6"/>
    </row>
    <row r="182" spans="1:14" ht="15.75">
      <c r="A182" s="26"/>
      <c r="B182" s="65" t="s">
        <v>118</v>
      </c>
      <c r="C182" s="118">
        <v>76</v>
      </c>
      <c r="D182" s="91">
        <f>C182/$C$185</f>
        <v>0.016907675194660732</v>
      </c>
      <c r="E182" s="118">
        <v>1730</v>
      </c>
      <c r="F182" s="91">
        <f>E182/$E$185</f>
        <v>0.016157050264303193</v>
      </c>
      <c r="G182" s="115"/>
      <c r="H182" s="118">
        <v>49</v>
      </c>
      <c r="I182" s="91">
        <f>H182/$H$185</f>
        <v>0.006366943866943867</v>
      </c>
      <c r="J182" s="118">
        <v>330</v>
      </c>
      <c r="K182" s="91">
        <f>J182/$J$185</f>
        <v>0.00912232204561161</v>
      </c>
      <c r="L182" s="117"/>
      <c r="M182" s="108"/>
      <c r="N182" s="6"/>
    </row>
    <row r="183" spans="1:14" ht="15.75">
      <c r="A183" s="26"/>
      <c r="B183" s="65" t="s">
        <v>119</v>
      </c>
      <c r="C183" s="118">
        <v>45</v>
      </c>
      <c r="D183" s="91">
        <f>C183/$C$185</f>
        <v>0.010011123470522803</v>
      </c>
      <c r="E183" s="118">
        <v>978</v>
      </c>
      <c r="F183" s="91">
        <f>E183/$E$185</f>
        <v>0.009133870033808394</v>
      </c>
      <c r="G183" s="115"/>
      <c r="H183" s="118">
        <v>20</v>
      </c>
      <c r="I183" s="91">
        <f>H183/$H$185</f>
        <v>0.002598752598752599</v>
      </c>
      <c r="J183" s="118">
        <v>114</v>
      </c>
      <c r="K183" s="91">
        <f>J183/$J$185</f>
        <v>0.0031513476157567382</v>
      </c>
      <c r="L183" s="117"/>
      <c r="M183" s="108"/>
      <c r="N183" s="6"/>
    </row>
    <row r="184" spans="1:14" ht="15.75">
      <c r="A184" s="26"/>
      <c r="B184" s="65" t="s">
        <v>120</v>
      </c>
      <c r="C184" s="118">
        <v>78</v>
      </c>
      <c r="D184" s="91">
        <f>C184/$C$185</f>
        <v>0.017352614015572858</v>
      </c>
      <c r="E184" s="118">
        <v>1985</v>
      </c>
      <c r="F184" s="91">
        <f>E184/$E$185</f>
        <v>0.018538580794590656</v>
      </c>
      <c r="G184" s="115"/>
      <c r="H184" s="118">
        <v>75</v>
      </c>
      <c r="I184" s="91">
        <f>H184/$H$185</f>
        <v>0.009745322245322246</v>
      </c>
      <c r="J184" s="118">
        <v>476</v>
      </c>
      <c r="K184" s="91">
        <f>J184/$J$185</f>
        <v>0.013158258465791292</v>
      </c>
      <c r="L184" s="117"/>
      <c r="M184" s="108"/>
      <c r="N184" s="6"/>
    </row>
    <row r="185" spans="1:14" ht="15.75">
      <c r="A185" s="26"/>
      <c r="B185" s="65" t="str">
        <f>B175</f>
        <v>Total Performing  Assets</v>
      </c>
      <c r="C185" s="118">
        <f>SUM(C181:C184)</f>
        <v>4495</v>
      </c>
      <c r="D185" s="91">
        <f>SUM(D181:D184)</f>
        <v>1</v>
      </c>
      <c r="E185" s="118">
        <f>SUM(E181:E184)</f>
        <v>107074</v>
      </c>
      <c r="F185" s="91">
        <f>SUM(F181:F184)</f>
        <v>1</v>
      </c>
      <c r="G185" s="115"/>
      <c r="H185" s="118">
        <f>SUM(H181:H184)</f>
        <v>7696</v>
      </c>
      <c r="I185" s="91">
        <f>SUM(I181:I184)</f>
        <v>1.0000000000000002</v>
      </c>
      <c r="J185" s="118">
        <f>SUM(J181:J184)</f>
        <v>36175</v>
      </c>
      <c r="K185" s="91">
        <f>SUM(K181:K184)</f>
        <v>1</v>
      </c>
      <c r="L185" s="117"/>
      <c r="M185" s="108"/>
      <c r="N185" s="6"/>
    </row>
    <row r="186" spans="1:14" ht="15.75">
      <c r="A186" s="26"/>
      <c r="B186" s="65" t="s">
        <v>122</v>
      </c>
      <c r="C186" s="118">
        <v>5</v>
      </c>
      <c r="D186" s="121"/>
      <c r="E186" s="118">
        <v>107</v>
      </c>
      <c r="F186" s="119"/>
      <c r="G186" s="115"/>
      <c r="H186" s="118">
        <v>31</v>
      </c>
      <c r="I186" s="121"/>
      <c r="J186" s="118">
        <v>287</v>
      </c>
      <c r="K186" s="121"/>
      <c r="L186" s="117"/>
      <c r="M186" s="108"/>
      <c r="N186" s="6"/>
    </row>
    <row r="187" spans="1:15" ht="15.75">
      <c r="A187" s="26"/>
      <c r="B187" s="65" t="s">
        <v>123</v>
      </c>
      <c r="C187" s="118">
        <f>SUM(C185:C186)</f>
        <v>4500</v>
      </c>
      <c r="D187" s="153"/>
      <c r="E187" s="118">
        <f>SUM(E185:E186)</f>
        <v>107181</v>
      </c>
      <c r="F187" s="120"/>
      <c r="G187" s="153"/>
      <c r="H187" s="118">
        <f>SUM(H185:H186)</f>
        <v>7727</v>
      </c>
      <c r="I187" s="153"/>
      <c r="J187" s="118">
        <f>SUM(J185:J186)</f>
        <v>36462</v>
      </c>
      <c r="K187" s="153"/>
      <c r="L187" s="153"/>
      <c r="M187" s="155"/>
      <c r="N187" s="139"/>
      <c r="O187" s="172"/>
    </row>
    <row r="188" spans="1:15" ht="15.75">
      <c r="A188" s="26"/>
      <c r="B188" s="65"/>
      <c r="C188" s="115"/>
      <c r="D188" s="116"/>
      <c r="E188" s="115"/>
      <c r="F188" s="116"/>
      <c r="G188" s="115"/>
      <c r="H188" s="122"/>
      <c r="I188" s="115"/>
      <c r="J188" s="118"/>
      <c r="K188" s="115"/>
      <c r="L188" s="117"/>
      <c r="M188" s="108"/>
      <c r="N188" s="6"/>
      <c r="O188" s="172"/>
    </row>
    <row r="189" spans="1:14" ht="15.75">
      <c r="A189" s="26"/>
      <c r="B189" s="65" t="s">
        <v>123</v>
      </c>
      <c r="C189" s="115"/>
      <c r="D189" s="116"/>
      <c r="E189" s="116"/>
      <c r="F189" s="116"/>
      <c r="G189" s="115"/>
      <c r="H189" s="122"/>
      <c r="I189" s="121"/>
      <c r="J189" s="118">
        <f>E177+J177+E187+J187</f>
        <v>328854</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5" ht="15.75">
      <c r="A192" s="26"/>
      <c r="B192" s="65"/>
      <c r="C192" s="115"/>
      <c r="D192" s="116"/>
      <c r="E192" s="115"/>
      <c r="F192" s="116"/>
      <c r="G192" s="115"/>
      <c r="H192" s="116"/>
      <c r="I192" s="115"/>
      <c r="J192" s="118"/>
      <c r="K192" s="115"/>
      <c r="L192" s="117"/>
      <c r="M192" s="108"/>
      <c r="N192" s="6"/>
      <c r="O192" s="172"/>
    </row>
    <row r="193" spans="1:15" ht="15.75">
      <c r="A193" s="26"/>
      <c r="B193" s="65" t="s">
        <v>125</v>
      </c>
      <c r="C193" s="115"/>
      <c r="D193" s="116"/>
      <c r="E193" s="115"/>
      <c r="F193" s="116"/>
      <c r="G193" s="115"/>
      <c r="H193" s="116"/>
      <c r="I193" s="116"/>
      <c r="J193" s="118">
        <f>+E175+J175+E185+J185</f>
        <v>218306</v>
      </c>
      <c r="K193" s="115"/>
      <c r="L193" s="117"/>
      <c r="M193" s="108"/>
      <c r="N193" s="6"/>
      <c r="O193" s="172"/>
    </row>
    <row r="194" spans="1:15" ht="15.75">
      <c r="A194" s="26"/>
      <c r="B194" s="65" t="s">
        <v>126</v>
      </c>
      <c r="C194" s="115"/>
      <c r="D194" s="116"/>
      <c r="E194" s="115"/>
      <c r="F194" s="116"/>
      <c r="G194" s="115"/>
      <c r="H194" s="116"/>
      <c r="I194" s="115"/>
      <c r="J194" s="118">
        <f>L94</f>
        <v>48662</v>
      </c>
      <c r="K194" s="115"/>
      <c r="L194" s="117"/>
      <c r="M194" s="108"/>
      <c r="N194" s="124"/>
      <c r="O194" s="69"/>
    </row>
    <row r="195" spans="1:15" ht="15.75">
      <c r="A195" s="26"/>
      <c r="B195" s="65" t="s">
        <v>127</v>
      </c>
      <c r="C195" s="115"/>
      <c r="D195" s="116"/>
      <c r="E195" s="115"/>
      <c r="F195" s="116"/>
      <c r="G195" s="115"/>
      <c r="H195" s="116"/>
      <c r="I195" s="115"/>
      <c r="J195" s="118">
        <v>-22268</v>
      </c>
      <c r="K195" s="115"/>
      <c r="L195" s="117"/>
      <c r="M195" s="108"/>
      <c r="N195" s="125"/>
      <c r="O195" s="172"/>
    </row>
    <row r="196" spans="1:15" ht="15.75">
      <c r="A196" s="26"/>
      <c r="B196" s="65" t="s">
        <v>128</v>
      </c>
      <c r="C196" s="115"/>
      <c r="D196" s="116"/>
      <c r="E196" s="115"/>
      <c r="F196" s="116"/>
      <c r="G196" s="115"/>
      <c r="H196" s="116"/>
      <c r="I196" s="115"/>
      <c r="J196" s="118">
        <f>SUM(J193:J195)</f>
        <v>244700</v>
      </c>
      <c r="K196" s="115"/>
      <c r="L196" s="117"/>
      <c r="M196" s="108"/>
      <c r="N196" s="6"/>
      <c r="O196" s="138"/>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JUNE 2004</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3" max="0" man="1"/>
  </rowBreaks>
  <drawing r:id="rId1"/>
</worksheet>
</file>

<file path=xl/worksheets/sheet11.xml><?xml version="1.0" encoding="utf-8"?>
<worksheet xmlns="http://schemas.openxmlformats.org/spreadsheetml/2006/main" xmlns:r="http://schemas.openxmlformats.org/officeDocument/2006/relationships">
  <dimension ref="A1:Q209"/>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E176/(J194+L94)</f>
        <v>0.23235369032992717</v>
      </c>
      <c r="F15" s="18" t="s">
        <v>147</v>
      </c>
      <c r="G15" s="19">
        <f>J176/(J194+L94)</f>
        <v>0.06285022924095772</v>
      </c>
      <c r="H15" s="18" t="s">
        <v>153</v>
      </c>
      <c r="I15" s="19">
        <f>E186/(J194+L94)</f>
        <v>0.42994291450660754</v>
      </c>
      <c r="J15" s="18" t="s">
        <v>162</v>
      </c>
      <c r="K15" s="19">
        <f>J186/(J194+L94)</f>
        <v>0.11728746516436427</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38278</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0.0520875</v>
      </c>
      <c r="E34" s="48"/>
      <c r="F34" s="47">
        <v>0.0602875</v>
      </c>
      <c r="G34" s="47"/>
      <c r="H34" s="47">
        <v>0.0757875</v>
      </c>
      <c r="I34" s="49"/>
      <c r="J34" s="47"/>
      <c r="K34" s="30"/>
      <c r="L34" s="49">
        <f>SUMPRODUCT(D34:J34,D32:J32)/L32</f>
        <v>0.05706874233755619</v>
      </c>
      <c r="M34" s="27"/>
      <c r="N34" s="6"/>
    </row>
    <row r="35" spans="1:14" ht="15.75">
      <c r="A35" s="26"/>
      <c r="B35" s="27" t="s">
        <v>23</v>
      </c>
      <c r="C35" s="152"/>
      <c r="D35" s="47">
        <v>0.0475</v>
      </c>
      <c r="E35" s="48"/>
      <c r="F35" s="47">
        <v>0.0557</v>
      </c>
      <c r="G35" s="47"/>
      <c r="H35" s="47">
        <v>0.0712</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38275</v>
      </c>
      <c r="M45" s="31"/>
      <c r="N45" s="6"/>
    </row>
    <row r="46" spans="1:14" ht="15.75">
      <c r="A46" s="26"/>
      <c r="B46" s="27" t="s">
        <v>32</v>
      </c>
      <c r="C46" s="27"/>
      <c r="D46" s="27"/>
      <c r="E46" s="27"/>
      <c r="F46" s="27"/>
      <c r="G46" s="27"/>
      <c r="H46" s="30"/>
      <c r="I46" s="27">
        <f>L46-J46+1</f>
        <v>91</v>
      </c>
      <c r="J46" s="56">
        <v>38092</v>
      </c>
      <c r="K46" s="57"/>
      <c r="L46" s="56">
        <v>38182</v>
      </c>
      <c r="M46" s="27"/>
      <c r="N46" s="6"/>
    </row>
    <row r="47" spans="1:14" ht="15.75">
      <c r="A47" s="26"/>
      <c r="B47" s="27" t="s">
        <v>33</v>
      </c>
      <c r="C47" s="27"/>
      <c r="D47" s="27"/>
      <c r="E47" s="27"/>
      <c r="F47" s="27"/>
      <c r="G47" s="27"/>
      <c r="H47" s="30"/>
      <c r="I47" s="27">
        <f>L47-J47+1</f>
        <v>92</v>
      </c>
      <c r="J47" s="56">
        <v>38183</v>
      </c>
      <c r="K47" s="57"/>
      <c r="L47" s="56">
        <v>38274</v>
      </c>
      <c r="M47" s="27"/>
      <c r="N47" s="6"/>
    </row>
    <row r="48" spans="1:14" ht="15.75">
      <c r="A48" s="26"/>
      <c r="B48" s="27" t="s">
        <v>34</v>
      </c>
      <c r="C48" s="27"/>
      <c r="D48" s="27"/>
      <c r="E48" s="27"/>
      <c r="F48" s="27"/>
      <c r="G48" s="27"/>
      <c r="H48" s="27"/>
      <c r="I48" s="27"/>
      <c r="J48" s="56"/>
      <c r="K48" s="57"/>
      <c r="L48" s="56" t="s">
        <v>196</v>
      </c>
      <c r="M48" s="27"/>
      <c r="N48" s="6"/>
    </row>
    <row r="49" spans="1:14" ht="15.75">
      <c r="A49" s="26"/>
      <c r="B49" s="27" t="s">
        <v>35</v>
      </c>
      <c r="C49" s="27"/>
      <c r="D49" s="27"/>
      <c r="E49" s="27"/>
      <c r="F49" s="27"/>
      <c r="G49" s="27"/>
      <c r="H49" s="27"/>
      <c r="I49" s="27"/>
      <c r="J49" s="56"/>
      <c r="K49" s="57"/>
      <c r="L49" s="56">
        <v>38264</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201</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180235</v>
      </c>
      <c r="E57" s="63"/>
      <c r="F57" s="63">
        <f>77+7038+110+5493-1</f>
        <v>12717</v>
      </c>
      <c r="G57" s="63"/>
      <c r="H57" s="63">
        <v>0</v>
      </c>
      <c r="I57" s="63"/>
      <c r="J57" s="63">
        <v>0</v>
      </c>
      <c r="K57" s="63"/>
      <c r="L57" s="64">
        <f>D57-F57+H57-J57</f>
        <v>167518</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4976</v>
      </c>
      <c r="E60" s="63"/>
      <c r="F60" s="63">
        <f>6096-86+17</f>
        <v>6027</v>
      </c>
      <c r="G60" s="63"/>
      <c r="H60" s="63">
        <v>18249</v>
      </c>
      <c r="I60" s="63"/>
      <c r="J60" s="63">
        <f>SUM(J57:J59)</f>
        <v>0</v>
      </c>
      <c r="K60" s="63"/>
      <c r="L60" s="64">
        <f>D60-F60+H60-J60</f>
        <v>17198</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107182</v>
      </c>
      <c r="E63" s="63"/>
      <c r="F63" s="63">
        <f>18841+125</f>
        <v>18966</v>
      </c>
      <c r="G63" s="63"/>
      <c r="H63" s="63">
        <f>26454+280</f>
        <v>26734</v>
      </c>
      <c r="I63" s="63"/>
      <c r="J63" s="63">
        <v>0</v>
      </c>
      <c r="K63" s="63"/>
      <c r="L63" s="64">
        <f>D63-F63+H63-J63</f>
        <v>114950</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36463</v>
      </c>
      <c r="E66" s="63"/>
      <c r="F66" s="63">
        <f>6172+114+160</f>
        <v>6446</v>
      </c>
      <c r="G66" s="63"/>
      <c r="H66" s="63">
        <v>1604</v>
      </c>
      <c r="I66" s="63"/>
      <c r="J66" s="63">
        <v>0</v>
      </c>
      <c r="K66" s="63"/>
      <c r="L66" s="64">
        <f>D66-F66+H66-J66</f>
        <v>31621</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328856</v>
      </c>
      <c r="E69" s="63"/>
      <c r="F69" s="63">
        <f>SUM(F57:F67)</f>
        <v>44156</v>
      </c>
      <c r="G69" s="63"/>
      <c r="H69" s="63">
        <f>SUM(H57:H67)</f>
        <v>46587</v>
      </c>
      <c r="I69" s="63"/>
      <c r="J69" s="63">
        <f>SUM(J64:J68)</f>
        <v>0</v>
      </c>
      <c r="K69" s="63"/>
      <c r="L69" s="63">
        <f>SUM(L57:L68)</f>
        <v>331287</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-132815</v>
      </c>
      <c r="E71" s="63"/>
      <c r="F71" s="63">
        <v>-4165</v>
      </c>
      <c r="G71" s="63"/>
      <c r="H71" s="63"/>
      <c r="I71" s="63"/>
      <c r="J71" s="63"/>
      <c r="K71" s="63"/>
      <c r="L71" s="63">
        <f>D71-F71</f>
        <v>-128650</v>
      </c>
      <c r="M71" s="27"/>
      <c r="N71" s="6"/>
    </row>
    <row r="72" spans="1:14" ht="15.75">
      <c r="A72" s="26"/>
      <c r="B72" s="27" t="s">
        <v>45</v>
      </c>
      <c r="C72" s="63">
        <v>0</v>
      </c>
      <c r="D72" s="65">
        <v>48659</v>
      </c>
      <c r="E72" s="63"/>
      <c r="F72" s="63">
        <f>SUM(F69:F71)</f>
        <v>39991</v>
      </c>
      <c r="G72" s="63"/>
      <c r="H72" s="63">
        <f>-H69</f>
        <v>-46587</v>
      </c>
      <c r="I72" s="63"/>
      <c r="J72" s="63"/>
      <c r="K72" s="63"/>
      <c r="L72" s="65">
        <f>D72+F72+H72</f>
        <v>42063</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153"/>
      <c r="I75" s="63"/>
      <c r="J75" s="63"/>
      <c r="K75" s="63"/>
      <c r="L75" s="65">
        <v>0</v>
      </c>
      <c r="M75" s="27"/>
      <c r="N75" s="6"/>
    </row>
    <row r="76" spans="1:14" ht="15.75">
      <c r="A76" s="26"/>
      <c r="B76" s="27" t="s">
        <v>20</v>
      </c>
      <c r="C76" s="65">
        <f>SUM(C69:C75)</f>
        <v>244700</v>
      </c>
      <c r="D76" s="65">
        <f>SUM(D69:D75)</f>
        <v>244700</v>
      </c>
      <c r="E76" s="63"/>
      <c r="F76" s="63">
        <f>F72-F75-F74</f>
        <v>39991</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57897-224</f>
        <v>57673</v>
      </c>
      <c r="M79" s="27"/>
      <c r="N79" s="6"/>
    </row>
    <row r="80" spans="1:14" ht="15.75">
      <c r="A80" s="26"/>
      <c r="B80" s="27" t="s">
        <v>51</v>
      </c>
      <c r="C80" s="51"/>
      <c r="D80" s="55"/>
      <c r="E80" s="27"/>
      <c r="F80" s="27"/>
      <c r="G80" s="27"/>
      <c r="H80" s="27"/>
      <c r="I80" s="27"/>
      <c r="J80" s="63"/>
      <c r="K80" s="27"/>
      <c r="L80" s="64">
        <f>1006+200+52+2-11-5</f>
        <v>1244</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198</v>
      </c>
      <c r="C82" s="27"/>
      <c r="D82" s="27"/>
      <c r="E82" s="27"/>
      <c r="F82" s="27"/>
      <c r="G82" s="27"/>
      <c r="H82" s="27"/>
      <c r="I82" s="27"/>
      <c r="J82" s="63"/>
      <c r="K82" s="27"/>
      <c r="L82" s="64">
        <v>118</v>
      </c>
      <c r="M82" s="27"/>
      <c r="N82" s="6"/>
      <c r="O82" s="69"/>
    </row>
    <row r="83" spans="1:15" ht="15.75">
      <c r="A83" s="26"/>
      <c r="B83" s="27" t="s">
        <v>54</v>
      </c>
      <c r="C83" s="27"/>
      <c r="D83" s="27"/>
      <c r="E83" s="27"/>
      <c r="F83" s="27"/>
      <c r="G83" s="27"/>
      <c r="H83" s="27"/>
      <c r="I83" s="27"/>
      <c r="J83" s="63"/>
      <c r="K83" s="27"/>
      <c r="L83" s="64">
        <f>SUM(L79:L82)</f>
        <v>51910</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-705-281</f>
        <v>-986</v>
      </c>
      <c r="M87" s="27"/>
      <c r="N87" s="6"/>
      <c r="O87" s="69"/>
    </row>
    <row r="88" spans="1:15" ht="15.75">
      <c r="A88" s="26">
        <f t="shared" si="0"/>
        <v>3</v>
      </c>
      <c r="B88" s="27" t="s">
        <v>58</v>
      </c>
      <c r="C88" s="27"/>
      <c r="D88" s="27"/>
      <c r="E88" s="27"/>
      <c r="F88" s="27"/>
      <c r="G88" s="27"/>
      <c r="H88" s="27"/>
      <c r="I88" s="27"/>
      <c r="J88" s="27"/>
      <c r="K88" s="27"/>
      <c r="L88" s="64">
        <v>-281</v>
      </c>
      <c r="M88" s="27"/>
      <c r="N88" s="6"/>
      <c r="O88" s="69"/>
    </row>
    <row r="89" spans="1:15" ht="15.75">
      <c r="A89" s="26">
        <f t="shared" si="0"/>
        <v>4</v>
      </c>
      <c r="B89" s="27" t="s">
        <v>59</v>
      </c>
      <c r="C89" s="27"/>
      <c r="D89" s="27"/>
      <c r="E89" s="27"/>
      <c r="F89" s="27"/>
      <c r="G89" s="27"/>
      <c r="H89" s="27"/>
      <c r="I89" s="27"/>
      <c r="J89" s="27"/>
      <c r="K89" s="27"/>
      <c r="L89" s="64">
        <v>-1923</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-1074</v>
      </c>
      <c r="M91" s="27"/>
      <c r="N91" s="6"/>
      <c r="O91" s="69"/>
    </row>
    <row r="92" spans="1:15" ht="15.75">
      <c r="A92" s="26">
        <f t="shared" si="0"/>
        <v>7</v>
      </c>
      <c r="B92" s="27" t="s">
        <v>62</v>
      </c>
      <c r="C92" s="27"/>
      <c r="D92" s="27"/>
      <c r="E92" s="27"/>
      <c r="F92" s="27"/>
      <c r="G92" s="27"/>
      <c r="H92" s="27"/>
      <c r="I92" s="27"/>
      <c r="J92" s="27"/>
      <c r="K92" s="27"/>
      <c r="L92" s="64">
        <v>-512</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42065</v>
      </c>
      <c r="M94" s="27"/>
      <c r="N94" s="6"/>
      <c r="O94" s="69"/>
    </row>
    <row r="95" spans="1:14" ht="15.75">
      <c r="A95" s="26">
        <f t="shared" si="0"/>
        <v>10</v>
      </c>
      <c r="B95" s="27" t="s">
        <v>64</v>
      </c>
      <c r="C95" s="27"/>
      <c r="D95" s="27"/>
      <c r="E95" s="27"/>
      <c r="F95" s="27"/>
      <c r="G95" s="27"/>
      <c r="H95" s="27"/>
      <c r="I95" s="27"/>
      <c r="J95" s="27"/>
      <c r="K95" s="27"/>
      <c r="L95" s="64">
        <f>J194+SUM(L83:L92)+J196-J199</f>
        <v>5060</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SEPTEMBER 2004</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154"/>
      <c r="H111" s="9"/>
      <c r="I111" s="9"/>
      <c r="J111" s="9"/>
      <c r="K111" s="9"/>
      <c r="L111" s="80"/>
      <c r="M111" s="9"/>
      <c r="N111" s="6"/>
    </row>
    <row r="112" spans="1:14" ht="15.75">
      <c r="A112" s="7"/>
      <c r="B112" s="14"/>
      <c r="C112" s="18" t="s">
        <v>137</v>
      </c>
      <c r="D112" s="18" t="s">
        <v>147</v>
      </c>
      <c r="E112" s="18" t="s">
        <v>153</v>
      </c>
      <c r="F112" s="18" t="s">
        <v>162</v>
      </c>
      <c r="G112" s="154"/>
      <c r="H112" s="154"/>
      <c r="I112" s="9"/>
      <c r="J112" s="9"/>
      <c r="K112" s="9"/>
      <c r="L112" s="80"/>
      <c r="M112" s="9"/>
      <c r="N112" s="6"/>
    </row>
    <row r="113" spans="1:14" ht="15.75">
      <c r="A113" s="26"/>
      <c r="B113" s="27" t="s">
        <v>199</v>
      </c>
      <c r="C113" s="63">
        <f>E177-'June 04'!E176</f>
        <v>-4315</v>
      </c>
      <c r="D113" s="63">
        <f>J177-'June 04'!J176</f>
        <v>67</v>
      </c>
      <c r="E113" s="63">
        <f>E187-'June 04'!E186</f>
        <v>62</v>
      </c>
      <c r="F113" s="63">
        <f>J187-'June 04'!J186</f>
        <v>21</v>
      </c>
      <c r="G113" s="153"/>
      <c r="H113" s="153"/>
      <c r="I113" s="27"/>
      <c r="J113" s="27"/>
      <c r="K113" s="27"/>
      <c r="L113" s="64">
        <f>SUM(C113:F113)</f>
        <v>-4165</v>
      </c>
      <c r="M113" s="27"/>
      <c r="N113" s="6"/>
    </row>
    <row r="114" spans="1:14" ht="15.75">
      <c r="A114" s="26"/>
      <c r="B114" s="27" t="s">
        <v>72</v>
      </c>
      <c r="C114" s="27">
        <f>110+5493-1</f>
        <v>5602</v>
      </c>
      <c r="D114" s="27">
        <v>17</v>
      </c>
      <c r="E114" s="27">
        <v>125</v>
      </c>
      <c r="F114" s="27">
        <f>113+161</f>
        <v>274</v>
      </c>
      <c r="G114" s="153"/>
      <c r="H114" s="153"/>
      <c r="I114" s="27"/>
      <c r="J114" s="27"/>
      <c r="K114" s="27"/>
      <c r="L114" s="64">
        <f>SUM(C114:F114)</f>
        <v>6018</v>
      </c>
      <c r="M114" s="27"/>
      <c r="N114" s="6"/>
    </row>
    <row r="115" spans="1:14" ht="15.75">
      <c r="A115" s="26"/>
      <c r="B115" s="27" t="s">
        <v>73</v>
      </c>
      <c r="C115" s="27"/>
      <c r="D115" s="27"/>
      <c r="E115" s="27"/>
      <c r="F115" s="27"/>
      <c r="G115" s="27"/>
      <c r="H115" s="27"/>
      <c r="I115" s="27"/>
      <c r="J115" s="27"/>
      <c r="K115" s="27"/>
      <c r="L115" s="64">
        <f>SUM(L113:L114)</f>
        <v>1853</v>
      </c>
      <c r="M115" s="27"/>
      <c r="N115" s="6"/>
    </row>
    <row r="116" spans="1:14" ht="15.75">
      <c r="A116" s="7"/>
      <c r="B116" s="168" t="s">
        <v>74</v>
      </c>
      <c r="C116" s="14"/>
      <c r="D116" s="9"/>
      <c r="E116" s="9"/>
      <c r="F116" s="9"/>
      <c r="G116" s="9"/>
      <c r="H116" s="9"/>
      <c r="I116" s="9"/>
      <c r="J116" s="9"/>
      <c r="K116" s="9"/>
      <c r="L116" s="62"/>
      <c r="M116" s="9"/>
      <c r="N116" s="6"/>
    </row>
    <row r="117" spans="1:15" ht="15.75">
      <c r="A117" s="26"/>
      <c r="B117" s="27" t="s">
        <v>75</v>
      </c>
      <c r="C117" s="82"/>
      <c r="D117" s="27"/>
      <c r="E117" s="27"/>
      <c r="F117" s="27"/>
      <c r="G117" s="27"/>
      <c r="H117" s="27"/>
      <c r="I117" s="27"/>
      <c r="J117" s="27"/>
      <c r="K117" s="27"/>
      <c r="L117" s="64">
        <f>L69</f>
        <v>331287</v>
      </c>
      <c r="M117" s="27"/>
      <c r="N117" s="6"/>
      <c r="O117" s="172"/>
    </row>
    <row r="118" spans="1:15" ht="15.75">
      <c r="A118" s="26"/>
      <c r="B118" s="27" t="s">
        <v>76</v>
      </c>
      <c r="C118" s="82"/>
      <c r="D118" s="27"/>
      <c r="E118" s="27"/>
      <c r="F118" s="27"/>
      <c r="G118" s="27"/>
      <c r="H118" s="27"/>
      <c r="I118" s="27"/>
      <c r="J118" s="27"/>
      <c r="K118" s="27"/>
      <c r="L118" s="64">
        <f>L72</f>
        <v>42063</v>
      </c>
      <c r="M118" s="27"/>
      <c r="N118" s="6"/>
      <c r="O118" s="172"/>
    </row>
    <row r="119" spans="1:15" ht="15.75">
      <c r="A119" s="26"/>
      <c r="B119" s="27" t="s">
        <v>77</v>
      </c>
      <c r="C119" s="82"/>
      <c r="D119" s="27"/>
      <c r="E119" s="27"/>
      <c r="F119" s="27"/>
      <c r="G119" s="27"/>
      <c r="H119" s="27"/>
      <c r="I119" s="27"/>
      <c r="J119" s="27"/>
      <c r="K119" s="27"/>
      <c r="L119" s="64">
        <f>L118+L117+L74+L75</f>
        <v>373350</v>
      </c>
      <c r="M119" s="27"/>
      <c r="N119" s="6"/>
      <c r="O119" s="69"/>
    </row>
    <row r="120" spans="1:15" ht="15.75">
      <c r="A120" s="26"/>
      <c r="B120" s="27" t="s">
        <v>78</v>
      </c>
      <c r="C120" s="82"/>
      <c r="D120" s="27"/>
      <c r="E120" s="27"/>
      <c r="F120" s="27"/>
      <c r="G120" s="27"/>
      <c r="H120" s="27"/>
      <c r="I120" s="27"/>
      <c r="J120" s="27"/>
      <c r="K120" s="27"/>
      <c r="L120" s="64">
        <f>L76</f>
        <v>244700</v>
      </c>
      <c r="M120" s="27"/>
      <c r="N120" s="6"/>
      <c r="O120" s="172"/>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f>+'June 04'!H126</f>
        <v>532</v>
      </c>
      <c r="I124" s="27"/>
      <c r="J124" s="84" t="s">
        <v>177</v>
      </c>
      <c r="K124" s="27"/>
      <c r="L124" s="64">
        <f>H124</f>
        <v>532</v>
      </c>
      <c r="M124" s="27"/>
      <c r="N124" s="6"/>
    </row>
    <row r="125" spans="1:14" ht="15.75">
      <c r="A125" s="26"/>
      <c r="B125" s="27" t="s">
        <v>82</v>
      </c>
      <c r="C125" s="27"/>
      <c r="D125" s="27"/>
      <c r="E125" s="27"/>
      <c r="F125" s="27"/>
      <c r="G125" s="27"/>
      <c r="H125" s="64">
        <v>280</v>
      </c>
      <c r="I125" s="27"/>
      <c r="J125" s="84" t="s">
        <v>177</v>
      </c>
      <c r="K125" s="27"/>
      <c r="L125" s="64">
        <f>H125</f>
        <v>280</v>
      </c>
      <c r="M125" s="27"/>
      <c r="N125" s="6"/>
    </row>
    <row r="126" spans="1:14" ht="15.75">
      <c r="A126" s="26"/>
      <c r="B126" s="27" t="s">
        <v>83</v>
      </c>
      <c r="C126" s="27"/>
      <c r="D126" s="27"/>
      <c r="E126" s="27"/>
      <c r="F126" s="27"/>
      <c r="G126" s="27"/>
      <c r="H126" s="64">
        <f>SUM(H124:H125)</f>
        <v>812</v>
      </c>
      <c r="I126" s="27"/>
      <c r="J126" s="84" t="s">
        <v>177</v>
      </c>
      <c r="K126" s="27"/>
      <c r="L126" s="64">
        <f>H126</f>
        <v>812</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38260</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0.1375</v>
      </c>
      <c r="K134" s="27"/>
      <c r="L134" s="27"/>
      <c r="M134" s="27"/>
      <c r="N134" s="6"/>
    </row>
    <row r="135" spans="1:14" ht="15.75">
      <c r="A135" s="87"/>
      <c r="B135" s="88" t="s">
        <v>90</v>
      </c>
      <c r="C135" s="89"/>
      <c r="D135" s="89"/>
      <c r="E135" s="89"/>
      <c r="F135" s="89"/>
      <c r="G135" s="90"/>
      <c r="H135" s="90"/>
      <c r="I135" s="90"/>
      <c r="J135" s="91">
        <f>L34</f>
        <v>0.05706874233755619</v>
      </c>
      <c r="K135" s="27"/>
      <c r="L135" s="27"/>
      <c r="M135" s="27"/>
      <c r="N135" s="6"/>
    </row>
    <row r="136" spans="1:14" ht="15.75">
      <c r="A136" s="87"/>
      <c r="B136" s="88" t="s">
        <v>91</v>
      </c>
      <c r="C136" s="89"/>
      <c r="D136" s="89"/>
      <c r="E136" s="89"/>
      <c r="F136" s="89"/>
      <c r="G136" s="90"/>
      <c r="H136" s="90"/>
      <c r="I136" s="90"/>
      <c r="J136" s="91">
        <f>J134-J135</f>
        <v>0.08043125766244383</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12.78</v>
      </c>
      <c r="K141" s="27"/>
      <c r="L141" s="27"/>
      <c r="M141" s="27"/>
      <c r="N141" s="6"/>
    </row>
    <row r="142" spans="1:14" ht="15.75">
      <c r="A142" s="87"/>
      <c r="B142" s="88" t="s">
        <v>97</v>
      </c>
      <c r="C142" s="89"/>
      <c r="D142" s="89"/>
      <c r="E142" s="89"/>
      <c r="F142" s="89"/>
      <c r="G142" s="90"/>
      <c r="H142" s="90"/>
      <c r="I142" s="90"/>
      <c r="J142" s="91">
        <v>0.1018</v>
      </c>
      <c r="K142" s="27"/>
      <c r="L142" s="27"/>
      <c r="M142" s="27"/>
      <c r="N142" s="6"/>
    </row>
    <row r="143" spans="1:14" ht="15.75">
      <c r="A143" s="87"/>
      <c r="B143" s="88" t="s">
        <v>98</v>
      </c>
      <c r="C143" s="89"/>
      <c r="D143" s="89"/>
      <c r="E143" s="89"/>
      <c r="F143" s="89"/>
      <c r="G143" s="90"/>
      <c r="H143" s="90"/>
      <c r="I143" s="90"/>
      <c r="J143" s="91">
        <v>0.2849</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SEPTEMBER 2004</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4516</v>
      </c>
      <c r="J148" s="64">
        <v>36987</v>
      </c>
      <c r="K148" s="64"/>
      <c r="L148" s="94"/>
      <c r="M148" s="104"/>
      <c r="N148" s="6"/>
    </row>
    <row r="149" spans="1:14" ht="15.75">
      <c r="A149" s="103"/>
      <c r="B149" s="88" t="s">
        <v>101</v>
      </c>
      <c r="C149" s="65"/>
      <c r="D149" s="65"/>
      <c r="E149" s="65"/>
      <c r="F149" s="27"/>
      <c r="G149" s="27"/>
      <c r="H149" s="27"/>
      <c r="I149" s="27">
        <v>4</v>
      </c>
      <c r="J149" s="64">
        <v>44</v>
      </c>
      <c r="K149" s="64"/>
      <c r="L149" s="94"/>
      <c r="M149" s="104"/>
      <c r="N149" s="6"/>
    </row>
    <row r="150" spans="1:14" ht="15.75">
      <c r="A150" s="103"/>
      <c r="B150" s="88" t="s">
        <v>202</v>
      </c>
      <c r="C150" s="65"/>
      <c r="D150" s="65"/>
      <c r="E150" s="65"/>
      <c r="F150" s="27"/>
      <c r="G150" s="27"/>
      <c r="H150" s="27"/>
      <c r="I150" s="27">
        <v>7</v>
      </c>
      <c r="J150" s="64">
        <v>220</v>
      </c>
      <c r="K150" s="64"/>
      <c r="L150" s="94"/>
      <c r="M150" s="104"/>
      <c r="N150" s="6"/>
    </row>
    <row r="151" spans="1:14" ht="15.75">
      <c r="A151" s="103"/>
      <c r="B151" s="171" t="s">
        <v>102</v>
      </c>
      <c r="C151" s="65"/>
      <c r="D151" s="65"/>
      <c r="E151" s="65"/>
      <c r="F151" s="27"/>
      <c r="G151" s="27"/>
      <c r="H151" s="27"/>
      <c r="I151" s="27"/>
      <c r="J151" s="105">
        <v>0</v>
      </c>
      <c r="K151" s="27"/>
      <c r="L151" s="94"/>
      <c r="M151" s="104"/>
      <c r="N151" s="6"/>
    </row>
    <row r="152" spans="1:14" ht="15.75">
      <c r="A152" s="103"/>
      <c r="B152" s="171" t="s">
        <v>103</v>
      </c>
      <c r="C152" s="65"/>
      <c r="D152" s="65"/>
      <c r="E152" s="65"/>
      <c r="F152" s="27"/>
      <c r="G152" s="27"/>
      <c r="H152" s="27"/>
      <c r="I152" s="27"/>
      <c r="J152" s="64">
        <f>H69</f>
        <v>46587</v>
      </c>
      <c r="K152" s="27"/>
      <c r="L152" s="94"/>
      <c r="M152" s="104"/>
      <c r="N152" s="6"/>
    </row>
    <row r="153" spans="1:14" ht="15.75">
      <c r="A153" s="106"/>
      <c r="B153" s="171" t="s">
        <v>104</v>
      </c>
      <c r="C153" s="65"/>
      <c r="D153" s="88"/>
      <c r="E153" s="88"/>
      <c r="F153" s="88"/>
      <c r="G153" s="27"/>
      <c r="H153" s="27"/>
      <c r="I153" s="27"/>
      <c r="J153" s="107"/>
      <c r="K153" s="27"/>
      <c r="L153" s="94"/>
      <c r="M153" s="108"/>
      <c r="N153" s="6"/>
    </row>
    <row r="154" spans="1:14" ht="15.75">
      <c r="A154" s="103"/>
      <c r="B154" s="88" t="s">
        <v>105</v>
      </c>
      <c r="C154" s="65"/>
      <c r="D154" s="65"/>
      <c r="E154" s="65"/>
      <c r="F154" s="65"/>
      <c r="G154" s="27"/>
      <c r="H154" s="27"/>
      <c r="I154" s="27"/>
      <c r="J154" s="64">
        <f>L115</f>
        <v>1853</v>
      </c>
      <c r="K154" s="27"/>
      <c r="L154" s="94"/>
      <c r="M154" s="108"/>
      <c r="N154" s="6"/>
    </row>
    <row r="155" spans="1:14" ht="15.75">
      <c r="A155" s="103"/>
      <c r="B155" s="88" t="s">
        <v>106</v>
      </c>
      <c r="C155" s="65"/>
      <c r="D155" s="65"/>
      <c r="E155" s="65"/>
      <c r="F155" s="65"/>
      <c r="G155" s="27"/>
      <c r="H155" s="27"/>
      <c r="I155" s="27"/>
      <c r="J155" s="64">
        <f>'June 04'!J154+J154</f>
        <v>30520</v>
      </c>
      <c r="K155" s="27"/>
      <c r="L155" s="94"/>
      <c r="M155" s="108"/>
      <c r="N155" s="6"/>
    </row>
    <row r="156" spans="1:14" ht="15.75">
      <c r="A156" s="103"/>
      <c r="B156" s="88" t="s">
        <v>107</v>
      </c>
      <c r="C156" s="65"/>
      <c r="D156" s="65"/>
      <c r="E156" s="65"/>
      <c r="F156" s="65"/>
      <c r="G156" s="27"/>
      <c r="H156" s="27"/>
      <c r="I156" s="27"/>
      <c r="J156" s="64"/>
      <c r="K156" s="27"/>
      <c r="L156" s="94"/>
      <c r="M156" s="108"/>
      <c r="N156" s="6"/>
    </row>
    <row r="157" spans="1:14" ht="15.75">
      <c r="A157" s="103"/>
      <c r="B157" s="88"/>
      <c r="C157" s="65"/>
      <c r="D157" s="65"/>
      <c r="E157" s="65"/>
      <c r="F157" s="65"/>
      <c r="G157" s="27"/>
      <c r="H157" s="27"/>
      <c r="I157" s="27"/>
      <c r="J157" s="64"/>
      <c r="K157" s="27"/>
      <c r="L157" s="94"/>
      <c r="M157" s="108"/>
      <c r="N157" s="6"/>
    </row>
    <row r="158" spans="1:14" ht="15.75">
      <c r="A158" s="106"/>
      <c r="B158" s="171" t="s">
        <v>108</v>
      </c>
      <c r="C158" s="65"/>
      <c r="D158" s="88"/>
      <c r="E158" s="88"/>
      <c r="F158" s="88"/>
      <c r="G158" s="27"/>
      <c r="H158" s="27"/>
      <c r="I158" s="27"/>
      <c r="J158" s="84"/>
      <c r="K158" s="27"/>
      <c r="L158" s="94"/>
      <c r="M158" s="108"/>
      <c r="N158" s="6"/>
    </row>
    <row r="159" spans="1:14" ht="15.75">
      <c r="A159" s="106"/>
      <c r="B159" s="88" t="s">
        <v>109</v>
      </c>
      <c r="C159" s="65"/>
      <c r="D159" s="88"/>
      <c r="E159" s="88"/>
      <c r="F159" s="88"/>
      <c r="G159" s="27"/>
      <c r="H159" s="27"/>
      <c r="I159" s="27"/>
      <c r="J159" s="84">
        <v>0</v>
      </c>
      <c r="K159" s="27"/>
      <c r="L159" s="94"/>
      <c r="M159" s="108"/>
      <c r="N159" s="6"/>
    </row>
    <row r="160" spans="1:14" ht="15.75">
      <c r="A160" s="103"/>
      <c r="B160" s="88" t="s">
        <v>110</v>
      </c>
      <c r="C160" s="65"/>
      <c r="D160" s="109"/>
      <c r="E160" s="109"/>
      <c r="F160" s="110"/>
      <c r="G160" s="27"/>
      <c r="H160" s="27"/>
      <c r="I160" s="27"/>
      <c r="J160" s="84">
        <v>0</v>
      </c>
      <c r="K160" s="27"/>
      <c r="L160" s="94"/>
      <c r="M160" s="108"/>
      <c r="N160" s="6"/>
    </row>
    <row r="161" spans="1:14" ht="15.75">
      <c r="A161" s="103"/>
      <c r="B161" s="88" t="s">
        <v>111</v>
      </c>
      <c r="C161" s="65"/>
      <c r="D161" s="109"/>
      <c r="E161" s="109"/>
      <c r="F161" s="110"/>
      <c r="G161" s="27"/>
      <c r="H161" s="27"/>
      <c r="I161" s="27"/>
      <c r="J161" s="84">
        <v>0</v>
      </c>
      <c r="K161" s="27"/>
      <c r="L161" s="94"/>
      <c r="M161" s="108"/>
      <c r="N161" s="6"/>
    </row>
    <row r="162" spans="1:14" ht="15.75">
      <c r="A162" s="103"/>
      <c r="B162" s="88" t="s">
        <v>112</v>
      </c>
      <c r="C162" s="65"/>
      <c r="D162" s="111"/>
      <c r="E162" s="109"/>
      <c r="F162" s="110"/>
      <c r="G162" s="27"/>
      <c r="H162" s="27"/>
      <c r="I162" s="27"/>
      <c r="J162" s="84">
        <v>0</v>
      </c>
      <c r="K162" s="27"/>
      <c r="L162" s="94"/>
      <c r="M162" s="108"/>
      <c r="N162" s="6"/>
    </row>
    <row r="163" spans="1:14" ht="15.75">
      <c r="A163" s="103"/>
      <c r="B163" s="88"/>
      <c r="C163" s="65"/>
      <c r="D163" s="111"/>
      <c r="E163" s="109"/>
      <c r="F163" s="110"/>
      <c r="G163" s="27"/>
      <c r="H163" s="27"/>
      <c r="I163" s="27"/>
      <c r="J163" s="84"/>
      <c r="K163" s="27"/>
      <c r="L163" s="94"/>
      <c r="M163" s="108"/>
      <c r="N163" s="6"/>
    </row>
    <row r="164" spans="1:14" ht="15.75">
      <c r="A164" s="103"/>
      <c r="B164" s="171" t="s">
        <v>113</v>
      </c>
      <c r="C164" s="65"/>
      <c r="D164" s="65"/>
      <c r="E164" s="111"/>
      <c r="F164" s="109"/>
      <c r="G164" s="110"/>
      <c r="H164" s="27"/>
      <c r="I164" s="34"/>
      <c r="J164" s="34"/>
      <c r="K164" s="112"/>
      <c r="L164" s="34"/>
      <c r="M164" s="94"/>
      <c r="N164" s="6"/>
    </row>
    <row r="165" spans="1:14" ht="15.75">
      <c r="A165" s="103"/>
      <c r="B165" s="88" t="s">
        <v>114</v>
      </c>
      <c r="C165" s="65"/>
      <c r="D165" s="65"/>
      <c r="E165" s="111"/>
      <c r="F165" s="109"/>
      <c r="G165" s="110"/>
      <c r="H165" s="27"/>
      <c r="I165" s="34"/>
      <c r="J165" s="113">
        <v>71</v>
      </c>
      <c r="K165" s="113"/>
      <c r="L165" s="34"/>
      <c r="M165" s="94"/>
      <c r="N165" s="6"/>
    </row>
    <row r="166" spans="1:14" ht="15.75">
      <c r="A166" s="103"/>
      <c r="B166" s="88" t="s">
        <v>110</v>
      </c>
      <c r="C166" s="65"/>
      <c r="D166" s="65"/>
      <c r="E166" s="111"/>
      <c r="F166" s="109"/>
      <c r="G166" s="110"/>
      <c r="H166" s="27"/>
      <c r="I166" s="34"/>
      <c r="J166" s="113">
        <v>2.58</v>
      </c>
      <c r="K166" s="113"/>
      <c r="L166" s="34"/>
      <c r="M166" s="94"/>
      <c r="N166" s="6"/>
    </row>
    <row r="167" spans="1:14" ht="15.75">
      <c r="A167" s="103"/>
      <c r="B167" s="88" t="s">
        <v>115</v>
      </c>
      <c r="C167" s="65"/>
      <c r="D167" s="65"/>
      <c r="E167" s="111"/>
      <c r="F167" s="109"/>
      <c r="G167" s="110"/>
      <c r="H167" s="27"/>
      <c r="I167" s="34"/>
      <c r="J167" s="113">
        <v>38.3</v>
      </c>
      <c r="K167" s="113"/>
      <c r="L167" s="34"/>
      <c r="M167" s="94"/>
      <c r="N167" s="6"/>
    </row>
    <row r="168" spans="1:14" ht="15.75">
      <c r="A168" s="103"/>
      <c r="B168" s="88"/>
      <c r="C168" s="65"/>
      <c r="D168" s="111"/>
      <c r="E168" s="109"/>
      <c r="F168" s="110"/>
      <c r="G168" s="27"/>
      <c r="H168" s="27"/>
      <c r="I168" s="27"/>
      <c r="J168" s="84"/>
      <c r="K168" s="27"/>
      <c r="L168" s="94"/>
      <c r="M168" s="108"/>
      <c r="N168" s="6"/>
    </row>
    <row r="169" spans="1:14" ht="15.75">
      <c r="A169" s="26"/>
      <c r="B169" s="114" t="s">
        <v>116</v>
      </c>
      <c r="C169" s="115"/>
      <c r="D169" s="116"/>
      <c r="E169" s="115"/>
      <c r="F169" s="116"/>
      <c r="G169" s="115"/>
      <c r="H169" s="116"/>
      <c r="I169" s="115"/>
      <c r="J169" s="116"/>
      <c r="K169" s="115"/>
      <c r="L169" s="117"/>
      <c r="M169" s="108"/>
      <c r="N169" s="6"/>
    </row>
    <row r="170" spans="1:14" ht="15.75">
      <c r="A170" s="26"/>
      <c r="B170" s="31"/>
      <c r="C170" s="153"/>
      <c r="D170" s="114" t="s">
        <v>148</v>
      </c>
      <c r="E170" s="115"/>
      <c r="F170" s="116"/>
      <c r="G170" s="115"/>
      <c r="H170" s="114" t="s">
        <v>40</v>
      </c>
      <c r="I170" s="115"/>
      <c r="J170" s="116"/>
      <c r="K170" s="115"/>
      <c r="L170" s="117"/>
      <c r="M170" s="108"/>
      <c r="N170" s="6"/>
    </row>
    <row r="171" spans="1:14" ht="15.75">
      <c r="A171" s="26"/>
      <c r="B171" s="153"/>
      <c r="C171" s="116" t="s">
        <v>138</v>
      </c>
      <c r="D171" s="115" t="s">
        <v>149</v>
      </c>
      <c r="E171" s="116" t="s">
        <v>154</v>
      </c>
      <c r="F171" s="115" t="s">
        <v>149</v>
      </c>
      <c r="G171" s="115"/>
      <c r="H171" s="116" t="s">
        <v>138</v>
      </c>
      <c r="I171" s="115" t="s">
        <v>149</v>
      </c>
      <c r="J171" s="116" t="s">
        <v>154</v>
      </c>
      <c r="K171" s="115" t="s">
        <v>149</v>
      </c>
      <c r="L171" s="117"/>
      <c r="M171" s="108"/>
      <c r="N171" s="6"/>
    </row>
    <row r="172" spans="1:14" ht="15.75">
      <c r="A172" s="26"/>
      <c r="B172" s="65" t="s">
        <v>117</v>
      </c>
      <c r="C172" s="118">
        <v>10819</v>
      </c>
      <c r="D172" s="91">
        <f>C172/$C$176</f>
        <v>0.882895381100049</v>
      </c>
      <c r="E172" s="118">
        <v>52002</v>
      </c>
      <c r="F172" s="91">
        <f>E172/$E$176</f>
        <v>0.8383227740968225</v>
      </c>
      <c r="G172" s="115"/>
      <c r="H172" s="118">
        <v>18388</v>
      </c>
      <c r="I172" s="91">
        <f>H172/$H$176</f>
        <v>0.9818977946280771</v>
      </c>
      <c r="J172" s="118">
        <v>16399</v>
      </c>
      <c r="K172" s="91">
        <f>J172/$J$176</f>
        <v>0.9773526431849335</v>
      </c>
      <c r="L172" s="117"/>
      <c r="M172" s="108"/>
      <c r="N172" s="6"/>
    </row>
    <row r="173" spans="1:17" ht="15.75">
      <c r="A173" s="26"/>
      <c r="B173" s="65" t="s">
        <v>118</v>
      </c>
      <c r="C173" s="118">
        <v>181</v>
      </c>
      <c r="D173" s="91">
        <f>C173/$C$176</f>
        <v>0.01477068712257222</v>
      </c>
      <c r="E173" s="118">
        <v>1222</v>
      </c>
      <c r="F173" s="91">
        <f>E173/$E$176</f>
        <v>0.01969982750560204</v>
      </c>
      <c r="G173" s="115"/>
      <c r="H173" s="118">
        <v>60</v>
      </c>
      <c r="I173" s="91">
        <f>H173/$H$176</f>
        <v>0.0032039301543226356</v>
      </c>
      <c r="J173" s="118">
        <v>62</v>
      </c>
      <c r="K173" s="91">
        <f>J173/$J$176</f>
        <v>0.0036950950593003158</v>
      </c>
      <c r="L173" s="117"/>
      <c r="M173" s="108"/>
      <c r="N173" s="6"/>
      <c r="Q173" s="69"/>
    </row>
    <row r="174" spans="1:17" ht="15.75">
      <c r="A174" s="26"/>
      <c r="B174" s="65" t="s">
        <v>119</v>
      </c>
      <c r="C174" s="118">
        <v>144</v>
      </c>
      <c r="D174" s="91">
        <f>C174/$C$176</f>
        <v>0.011751264893096133</v>
      </c>
      <c r="E174" s="118">
        <v>916</v>
      </c>
      <c r="F174" s="91">
        <f>E174/$E$176</f>
        <v>0.01476681014331544</v>
      </c>
      <c r="G174" s="115"/>
      <c r="H174" s="118">
        <v>42</v>
      </c>
      <c r="I174" s="91">
        <f>H174/$H$176</f>
        <v>0.002242751108025845</v>
      </c>
      <c r="J174" s="118">
        <v>43</v>
      </c>
      <c r="K174" s="91">
        <f>J174/$J$176</f>
        <v>0.0025627272185469933</v>
      </c>
      <c r="L174" s="117"/>
      <c r="M174" s="108"/>
      <c r="N174" s="6"/>
      <c r="Q174" s="69"/>
    </row>
    <row r="175" spans="1:17" ht="15.75">
      <c r="A175" s="26"/>
      <c r="B175" s="65" t="s">
        <v>120</v>
      </c>
      <c r="C175" s="118">
        <v>1110</v>
      </c>
      <c r="D175" s="91">
        <f>C175/$C$176</f>
        <v>0.09058266688428268</v>
      </c>
      <c r="E175" s="118">
        <v>7891</v>
      </c>
      <c r="F175" s="91">
        <f>E175/$E$176</f>
        <v>0.12721058825425996</v>
      </c>
      <c r="G175" s="115"/>
      <c r="H175" s="118">
        <v>237</v>
      </c>
      <c r="I175" s="91">
        <f>H175/$H$176</f>
        <v>0.012655524109574412</v>
      </c>
      <c r="J175" s="118">
        <f>19+21+32+50+51+17+24+31+30</f>
        <v>275</v>
      </c>
      <c r="K175" s="91">
        <f>J175/$J$176</f>
        <v>0.01638953453721914</v>
      </c>
      <c r="L175" s="117"/>
      <c r="M175" s="108"/>
      <c r="N175" s="6"/>
      <c r="Q175" s="69"/>
    </row>
    <row r="176" spans="1:17" ht="15.75">
      <c r="A176" s="26"/>
      <c r="B176" s="65" t="s">
        <v>121</v>
      </c>
      <c r="C176" s="118">
        <f>SUM(C172:C175)</f>
        <v>12254</v>
      </c>
      <c r="D176" s="91">
        <f>SUM(D172:D175)</f>
        <v>1</v>
      </c>
      <c r="E176" s="118">
        <f>SUM(E172:E175)</f>
        <v>62031</v>
      </c>
      <c r="F176" s="91">
        <f>SUM(F172:F175)</f>
        <v>1</v>
      </c>
      <c r="G176" s="115"/>
      <c r="H176" s="118">
        <f>SUM(H172:H175)</f>
        <v>18727</v>
      </c>
      <c r="I176" s="91">
        <f>SUM(I172:I175)</f>
        <v>1</v>
      </c>
      <c r="J176" s="118">
        <f>SUM(J172:J175)</f>
        <v>16779</v>
      </c>
      <c r="K176" s="91">
        <f>SUM(K172:K175)</f>
        <v>1</v>
      </c>
      <c r="L176" s="117"/>
      <c r="M176" s="108"/>
      <c r="N176" s="6"/>
      <c r="Q176" s="69"/>
    </row>
    <row r="177" spans="1:17" ht="15.75">
      <c r="A177" s="26"/>
      <c r="B177" s="65" t="s">
        <v>122</v>
      </c>
      <c r="C177" s="118">
        <v>13210</v>
      </c>
      <c r="D177" s="119"/>
      <c r="E177" s="118">
        <v>105486</v>
      </c>
      <c r="F177" s="119"/>
      <c r="G177" s="115"/>
      <c r="H177" s="118">
        <v>253</v>
      </c>
      <c r="I177" s="119"/>
      <c r="J177" s="118">
        <v>420</v>
      </c>
      <c r="K177" s="119"/>
      <c r="L177" s="117"/>
      <c r="M177" s="108"/>
      <c r="N177" s="6"/>
      <c r="O177" s="69"/>
      <c r="Q177" s="69"/>
    </row>
    <row r="178" spans="1:15" ht="15.75">
      <c r="A178" s="26"/>
      <c r="B178" s="65" t="s">
        <v>123</v>
      </c>
      <c r="C178" s="118">
        <f>SUM(C176:C177)</f>
        <v>25464</v>
      </c>
      <c r="D178" s="153"/>
      <c r="E178" s="118">
        <f>SUM(E176:E177)</f>
        <v>167517</v>
      </c>
      <c r="F178" s="91"/>
      <c r="G178" s="153"/>
      <c r="H178" s="118">
        <f>SUM(H176:H177)</f>
        <v>18980</v>
      </c>
      <c r="I178" s="153"/>
      <c r="J178" s="118">
        <f>SUM(J176:J177)</f>
        <v>17199</v>
      </c>
      <c r="K178" s="153"/>
      <c r="L178" s="153"/>
      <c r="M178" s="108"/>
      <c r="N178" s="6"/>
      <c r="O178" s="69"/>
    </row>
    <row r="179" spans="1:14" ht="15.75">
      <c r="A179" s="26"/>
      <c r="B179" s="65"/>
      <c r="C179" s="118"/>
      <c r="D179" s="91"/>
      <c r="E179" s="118"/>
      <c r="F179" s="91"/>
      <c r="G179" s="115"/>
      <c r="H179" s="118"/>
      <c r="I179" s="91"/>
      <c r="J179" s="118"/>
      <c r="K179" s="91"/>
      <c r="L179" s="117"/>
      <c r="M179" s="108"/>
      <c r="N179" s="6"/>
    </row>
    <row r="180" spans="1:15" ht="15.75">
      <c r="A180" s="26"/>
      <c r="B180" s="65"/>
      <c r="C180" s="115"/>
      <c r="D180" s="114" t="s">
        <v>41</v>
      </c>
      <c r="E180" s="115"/>
      <c r="F180" s="136"/>
      <c r="G180" s="115"/>
      <c r="H180" s="114" t="s">
        <v>42</v>
      </c>
      <c r="I180" s="115"/>
      <c r="J180" s="116"/>
      <c r="K180" s="115"/>
      <c r="L180" s="117"/>
      <c r="M180" s="108"/>
      <c r="N180" s="6"/>
      <c r="O180" s="69"/>
    </row>
    <row r="181" spans="1:14" ht="15.75">
      <c r="A181" s="26"/>
      <c r="B181" s="153"/>
      <c r="C181" s="116" t="s">
        <v>138</v>
      </c>
      <c r="D181" s="115" t="s">
        <v>149</v>
      </c>
      <c r="E181" s="116" t="s">
        <v>154</v>
      </c>
      <c r="F181" s="115" t="s">
        <v>149</v>
      </c>
      <c r="G181" s="115"/>
      <c r="H181" s="116" t="s">
        <v>138</v>
      </c>
      <c r="I181" s="115" t="s">
        <v>149</v>
      </c>
      <c r="J181" s="116" t="s">
        <v>154</v>
      </c>
      <c r="K181" s="115" t="s">
        <v>149</v>
      </c>
      <c r="L181" s="117"/>
      <c r="M181" s="108"/>
      <c r="N181" s="6"/>
    </row>
    <row r="182" spans="1:14" ht="15.75">
      <c r="A182" s="26"/>
      <c r="B182" s="65" t="s">
        <v>117</v>
      </c>
      <c r="C182" s="118">
        <v>4467</v>
      </c>
      <c r="D182" s="91">
        <f>C182/$C$186</f>
        <v>0.9585836909871245</v>
      </c>
      <c r="E182" s="118">
        <v>110073</v>
      </c>
      <c r="F182" s="91">
        <f>E182/$E$186</f>
        <v>0.9589827584704785</v>
      </c>
      <c r="G182" s="115"/>
      <c r="H182" s="118">
        <v>6723</v>
      </c>
      <c r="I182" s="91">
        <f>H182/$H$186</f>
        <v>0.9818898787790273</v>
      </c>
      <c r="J182" s="118">
        <v>30603</v>
      </c>
      <c r="K182" s="91">
        <f>J182/$J$186</f>
        <v>0.9773569238630557</v>
      </c>
      <c r="L182" s="117"/>
      <c r="M182" s="108"/>
      <c r="N182" s="6"/>
    </row>
    <row r="183" spans="1:14" ht="15.75">
      <c r="A183" s="26"/>
      <c r="B183" s="65" t="s">
        <v>118</v>
      </c>
      <c r="C183" s="118">
        <v>78</v>
      </c>
      <c r="D183" s="91">
        <f>C183/$C$186</f>
        <v>0.016738197424892704</v>
      </c>
      <c r="E183" s="118">
        <v>1815</v>
      </c>
      <c r="F183" s="91">
        <f>E183/$E$186</f>
        <v>0.01581272161768934</v>
      </c>
      <c r="G183" s="115"/>
      <c r="H183" s="118">
        <v>38</v>
      </c>
      <c r="I183" s="91">
        <f>H183/$H$186</f>
        <v>0.005549875858040018</v>
      </c>
      <c r="J183" s="118">
        <v>190</v>
      </c>
      <c r="K183" s="91">
        <f>J183/$J$186</f>
        <v>0.006067961165048544</v>
      </c>
      <c r="L183" s="117"/>
      <c r="M183" s="108"/>
      <c r="N183" s="6"/>
    </row>
    <row r="184" spans="1:14" ht="15.75">
      <c r="A184" s="26"/>
      <c r="B184" s="65" t="s">
        <v>119</v>
      </c>
      <c r="C184" s="118">
        <v>40</v>
      </c>
      <c r="D184" s="91">
        <f>C184/$C$186</f>
        <v>0.008583690987124463</v>
      </c>
      <c r="E184" s="118">
        <v>963</v>
      </c>
      <c r="F184" s="91">
        <f>E184/$E$186</f>
        <v>0.008389890312856658</v>
      </c>
      <c r="G184" s="115"/>
      <c r="H184" s="118">
        <v>18</v>
      </c>
      <c r="I184" s="91">
        <f>H184/$H$186</f>
        <v>0.002628888564334745</v>
      </c>
      <c r="J184" s="118">
        <v>95</v>
      </c>
      <c r="K184" s="91">
        <f>J184/$J$186</f>
        <v>0.003033980582524272</v>
      </c>
      <c r="L184" s="117"/>
      <c r="M184" s="108"/>
      <c r="N184" s="6"/>
    </row>
    <row r="185" spans="1:14" ht="15.75">
      <c r="A185" s="26"/>
      <c r="B185" s="65" t="s">
        <v>120</v>
      </c>
      <c r="C185" s="118">
        <v>75</v>
      </c>
      <c r="D185" s="91">
        <f>C185/$C$186</f>
        <v>0.016094420600858368</v>
      </c>
      <c r="E185" s="118">
        <v>1930</v>
      </c>
      <c r="F185" s="91">
        <f>E185/$E$186</f>
        <v>0.01681462959897544</v>
      </c>
      <c r="G185" s="115"/>
      <c r="H185" s="118">
        <v>68</v>
      </c>
      <c r="I185" s="91">
        <f>H185/$H$186</f>
        <v>0.009931356798597926</v>
      </c>
      <c r="J185" s="118">
        <v>424</v>
      </c>
      <c r="K185" s="91">
        <f>J185/$J$186</f>
        <v>0.013541134389371486</v>
      </c>
      <c r="L185" s="117"/>
      <c r="M185" s="108"/>
      <c r="N185" s="6"/>
    </row>
    <row r="186" spans="1:14" ht="15.75">
      <c r="A186" s="26"/>
      <c r="B186" s="65" t="str">
        <f>B176</f>
        <v>Total Performing  Assets</v>
      </c>
      <c r="C186" s="118">
        <f>SUM(C182:C185)</f>
        <v>4660</v>
      </c>
      <c r="D186" s="91">
        <f>SUM(D182:D185)</f>
        <v>1</v>
      </c>
      <c r="E186" s="118">
        <f>SUM(E182:E185)</f>
        <v>114781</v>
      </c>
      <c r="F186" s="91">
        <f>SUM(F182:F185)</f>
        <v>0.9999999999999999</v>
      </c>
      <c r="G186" s="115"/>
      <c r="H186" s="118">
        <f>SUM(H182:H185)</f>
        <v>6847</v>
      </c>
      <c r="I186" s="91">
        <f>SUM(I182:I185)</f>
        <v>1</v>
      </c>
      <c r="J186" s="118">
        <f>SUM(J182:J185)</f>
        <v>31312</v>
      </c>
      <c r="K186" s="91">
        <f>SUM(K182:K185)</f>
        <v>1</v>
      </c>
      <c r="L186" s="117"/>
      <c r="M186" s="108"/>
      <c r="N186" s="6"/>
    </row>
    <row r="187" spans="1:14" ht="15.75">
      <c r="A187" s="26"/>
      <c r="B187" s="65" t="s">
        <v>122</v>
      </c>
      <c r="C187" s="118">
        <v>6</v>
      </c>
      <c r="D187" s="121"/>
      <c r="E187" s="118">
        <v>169</v>
      </c>
      <c r="F187" s="119"/>
      <c r="G187" s="115"/>
      <c r="H187" s="118">
        <v>32</v>
      </c>
      <c r="I187" s="121"/>
      <c r="J187" s="118">
        <v>308</v>
      </c>
      <c r="K187" s="121"/>
      <c r="L187" s="117"/>
      <c r="M187" s="108"/>
      <c r="N187" s="6"/>
    </row>
    <row r="188" spans="1:15" ht="15.75">
      <c r="A188" s="26"/>
      <c r="B188" s="65" t="s">
        <v>123</v>
      </c>
      <c r="C188" s="118">
        <f>SUM(C186:C187)</f>
        <v>4666</v>
      </c>
      <c r="D188" s="153"/>
      <c r="E188" s="118">
        <f>SUM(E186:E187)</f>
        <v>114950</v>
      </c>
      <c r="F188" s="120"/>
      <c r="G188" s="153"/>
      <c r="H188" s="118">
        <f>SUM(H186:H187)</f>
        <v>6879</v>
      </c>
      <c r="I188" s="153"/>
      <c r="J188" s="118">
        <f>SUM(J186:J187)</f>
        <v>31620</v>
      </c>
      <c r="K188" s="153"/>
      <c r="L188" s="153"/>
      <c r="M188" s="155"/>
      <c r="N188" s="139"/>
      <c r="O188" s="172"/>
    </row>
    <row r="189" spans="1:15" ht="15.75">
      <c r="A189" s="26"/>
      <c r="B189" s="65"/>
      <c r="C189" s="115"/>
      <c r="D189" s="116"/>
      <c r="E189" s="115"/>
      <c r="F189" s="116"/>
      <c r="G189" s="115"/>
      <c r="H189" s="122"/>
      <c r="I189" s="115"/>
      <c r="J189" s="118"/>
      <c r="K189" s="115"/>
      <c r="L189" s="117"/>
      <c r="M189" s="108"/>
      <c r="N189" s="6"/>
      <c r="O189" s="172"/>
    </row>
    <row r="190" spans="1:14" ht="15.75">
      <c r="A190" s="26"/>
      <c r="B190" s="65" t="s">
        <v>123</v>
      </c>
      <c r="C190" s="115"/>
      <c r="D190" s="116"/>
      <c r="E190" s="116"/>
      <c r="F190" s="116"/>
      <c r="G190" s="115"/>
      <c r="H190" s="122"/>
      <c r="I190" s="121"/>
      <c r="J190" s="118">
        <f>E178+J178+E188+J188</f>
        <v>331286</v>
      </c>
      <c r="K190" s="120"/>
      <c r="L190" s="117"/>
      <c r="M190" s="108"/>
      <c r="N190" s="6"/>
    </row>
    <row r="191" spans="1:14" ht="15.75">
      <c r="A191" s="26"/>
      <c r="B191" s="65"/>
      <c r="C191" s="115"/>
      <c r="D191" s="116"/>
      <c r="E191" s="115"/>
      <c r="F191" s="116"/>
      <c r="G191" s="115"/>
      <c r="H191" s="116"/>
      <c r="I191" s="115"/>
      <c r="J191" s="118"/>
      <c r="K191" s="121"/>
      <c r="L191" s="117"/>
      <c r="M191" s="108"/>
      <c r="N191" s="6"/>
    </row>
    <row r="192" spans="1:14" ht="15.75">
      <c r="A192" s="26"/>
      <c r="B192" s="123" t="s">
        <v>124</v>
      </c>
      <c r="C192" s="115"/>
      <c r="D192" s="116"/>
      <c r="E192" s="115"/>
      <c r="F192" s="116"/>
      <c r="G192" s="115"/>
      <c r="H192" s="116"/>
      <c r="I192" s="115"/>
      <c r="J192" s="118"/>
      <c r="K192" s="115"/>
      <c r="L192" s="117"/>
      <c r="M192" s="108"/>
      <c r="N192" s="124"/>
    </row>
    <row r="193" spans="1:15" ht="15.75">
      <c r="A193" s="26"/>
      <c r="B193" s="65"/>
      <c r="C193" s="115"/>
      <c r="D193" s="116"/>
      <c r="E193" s="115"/>
      <c r="F193" s="116"/>
      <c r="G193" s="115"/>
      <c r="H193" s="116"/>
      <c r="I193" s="115"/>
      <c r="J193" s="118"/>
      <c r="K193" s="115"/>
      <c r="L193" s="117"/>
      <c r="M193" s="108"/>
      <c r="N193" s="6"/>
      <c r="O193" s="172"/>
    </row>
    <row r="194" spans="1:15" ht="15.75">
      <c r="A194" s="26"/>
      <c r="B194" s="65" t="s">
        <v>125</v>
      </c>
      <c r="C194" s="115"/>
      <c r="D194" s="116"/>
      <c r="E194" s="115"/>
      <c r="F194" s="116"/>
      <c r="G194" s="115"/>
      <c r="H194" s="116"/>
      <c r="I194" s="116"/>
      <c r="J194" s="118">
        <f>+E176+J176+E186+J186</f>
        <v>224903</v>
      </c>
      <c r="K194" s="115"/>
      <c r="L194" s="117"/>
      <c r="M194" s="108"/>
      <c r="N194" s="124"/>
      <c r="O194" s="172"/>
    </row>
    <row r="195" spans="1:15" ht="15.75">
      <c r="A195" s="26"/>
      <c r="B195" s="65" t="s">
        <v>126</v>
      </c>
      <c r="C195" s="115"/>
      <c r="D195" s="116"/>
      <c r="E195" s="115"/>
      <c r="F195" s="116"/>
      <c r="G195" s="115"/>
      <c r="H195" s="116"/>
      <c r="I195" s="115"/>
      <c r="J195" s="118">
        <f>L94</f>
        <v>42065</v>
      </c>
      <c r="K195" s="115"/>
      <c r="L195" s="117"/>
      <c r="M195" s="108"/>
      <c r="N195" s="124"/>
      <c r="O195" s="69"/>
    </row>
    <row r="196" spans="1:15" ht="15.75">
      <c r="A196" s="26"/>
      <c r="B196" s="65" t="s">
        <v>127</v>
      </c>
      <c r="C196" s="115"/>
      <c r="D196" s="116"/>
      <c r="E196" s="115"/>
      <c r="F196" s="116"/>
      <c r="G196" s="115"/>
      <c r="H196" s="116"/>
      <c r="I196" s="115"/>
      <c r="J196" s="118">
        <v>-22268</v>
      </c>
      <c r="K196" s="115"/>
      <c r="L196" s="117"/>
      <c r="M196" s="108"/>
      <c r="N196" s="125"/>
      <c r="O196" s="172"/>
    </row>
    <row r="197" spans="1:15" ht="15.75">
      <c r="A197" s="26"/>
      <c r="B197" s="65" t="s">
        <v>128</v>
      </c>
      <c r="C197" s="115"/>
      <c r="D197" s="116"/>
      <c r="E197" s="115"/>
      <c r="F197" s="116"/>
      <c r="G197" s="115"/>
      <c r="H197" s="116"/>
      <c r="I197" s="115"/>
      <c r="J197" s="118">
        <f>SUM(J194:J196)</f>
        <v>244700</v>
      </c>
      <c r="K197" s="115"/>
      <c r="L197" s="117"/>
      <c r="M197" s="108"/>
      <c r="N197" s="6"/>
      <c r="O197" s="138"/>
    </row>
    <row r="198" spans="1:14" ht="15.75">
      <c r="A198" s="26"/>
      <c r="B198" s="65"/>
      <c r="C198" s="115"/>
      <c r="D198" s="116"/>
      <c r="E198" s="115"/>
      <c r="F198" s="116"/>
      <c r="G198" s="115"/>
      <c r="H198" s="116"/>
      <c r="I198" s="115"/>
      <c r="J198" s="118"/>
      <c r="K198" s="115"/>
      <c r="L198" s="117"/>
      <c r="M198" s="108"/>
      <c r="N198" s="6"/>
    </row>
    <row r="199" spans="1:14" ht="15.75">
      <c r="A199" s="26"/>
      <c r="B199" s="65" t="s">
        <v>129</v>
      </c>
      <c r="C199" s="115"/>
      <c r="D199" s="116"/>
      <c r="E199" s="115"/>
      <c r="F199" s="116"/>
      <c r="G199" s="115"/>
      <c r="H199" s="116"/>
      <c r="I199" s="115"/>
      <c r="J199" s="118">
        <f>L32</f>
        <v>244700</v>
      </c>
      <c r="K199" s="115"/>
      <c r="L199" s="117"/>
      <c r="M199" s="108"/>
      <c r="N199" s="6"/>
    </row>
    <row r="200" spans="1:14" ht="15.75">
      <c r="A200" s="26"/>
      <c r="B200" s="65"/>
      <c r="C200" s="115"/>
      <c r="D200" s="116"/>
      <c r="E200" s="115"/>
      <c r="F200" s="116"/>
      <c r="G200" s="115"/>
      <c r="H200" s="116"/>
      <c r="I200" s="115"/>
      <c r="J200" s="118"/>
      <c r="K200" s="115"/>
      <c r="L200" s="117"/>
      <c r="M200" s="108"/>
      <c r="N200" s="6"/>
    </row>
    <row r="201" spans="1:14" ht="15.75">
      <c r="A201" s="26"/>
      <c r="B201" s="65" t="s">
        <v>130</v>
      </c>
      <c r="C201" s="115"/>
      <c r="D201" s="116"/>
      <c r="E201" s="115"/>
      <c r="F201" s="116"/>
      <c r="G201" s="115"/>
      <c r="H201" s="116"/>
      <c r="I201" s="115"/>
      <c r="J201" s="118">
        <f>J197/J199</f>
        <v>1</v>
      </c>
      <c r="K201" s="115"/>
      <c r="L201" s="117"/>
      <c r="M201" s="108"/>
      <c r="N201" s="6"/>
    </row>
    <row r="202" spans="1:14" ht="15.75">
      <c r="A202" s="26"/>
      <c r="B202" s="27"/>
      <c r="C202" s="27"/>
      <c r="D202" s="34"/>
      <c r="E202" s="27"/>
      <c r="F202" s="27"/>
      <c r="G202" s="27"/>
      <c r="H202" s="63"/>
      <c r="I202" s="126"/>
      <c r="J202" s="64"/>
      <c r="K202" s="126"/>
      <c r="L202" s="94"/>
      <c r="M202" s="27"/>
      <c r="N202" s="6"/>
    </row>
    <row r="203" spans="1:14" ht="15.75">
      <c r="A203" s="127"/>
      <c r="B203" s="31" t="s">
        <v>131</v>
      </c>
      <c r="C203" s="128"/>
      <c r="D203" s="115" t="s">
        <v>150</v>
      </c>
      <c r="E203" s="117"/>
      <c r="F203" s="31" t="s">
        <v>163</v>
      </c>
      <c r="G203" s="129"/>
      <c r="H203" s="129"/>
      <c r="I203" s="129"/>
      <c r="J203" s="130"/>
      <c r="K203" s="30"/>
      <c r="L203" s="30"/>
      <c r="M203" s="30"/>
      <c r="N203" s="6"/>
    </row>
    <row r="204" spans="1:14" ht="15.75">
      <c r="A204" s="131"/>
      <c r="B204" s="14" t="s">
        <v>132</v>
      </c>
      <c r="C204" s="132"/>
      <c r="D204" s="133" t="s">
        <v>151</v>
      </c>
      <c r="E204" s="14"/>
      <c r="F204" s="14" t="s">
        <v>164</v>
      </c>
      <c r="G204" s="132"/>
      <c r="H204" s="132"/>
      <c r="I204" s="13"/>
      <c r="J204" s="13"/>
      <c r="K204" s="13"/>
      <c r="L204" s="13"/>
      <c r="M204" s="13"/>
      <c r="N204" s="6"/>
    </row>
    <row r="205" spans="1:14" ht="15.75">
      <c r="A205" s="131"/>
      <c r="B205" s="14" t="s">
        <v>133</v>
      </c>
      <c r="C205" s="132"/>
      <c r="D205" s="133" t="s">
        <v>152</v>
      </c>
      <c r="E205" s="14"/>
      <c r="F205" s="14" t="s">
        <v>165</v>
      </c>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c r="C207" s="132"/>
      <c r="D207" s="133"/>
      <c r="E207" s="14"/>
      <c r="F207" s="14"/>
      <c r="G207" s="132"/>
      <c r="H207" s="132"/>
      <c r="I207" s="13"/>
      <c r="J207" s="13"/>
      <c r="K207" s="13"/>
      <c r="L207" s="13"/>
      <c r="M207" s="13"/>
      <c r="N207" s="6"/>
    </row>
    <row r="208" spans="1:14" ht="15.75">
      <c r="A208" s="131"/>
      <c r="B208" s="14" t="str">
        <f>B146</f>
        <v>PPAF2 INVESTOR REPORT QUARTER ENDING SEPTEMBER 2004</v>
      </c>
      <c r="C208" s="132"/>
      <c r="D208" s="133"/>
      <c r="E208" s="14"/>
      <c r="F208" s="14"/>
      <c r="G208" s="132"/>
      <c r="H208" s="132"/>
      <c r="I208" s="13"/>
      <c r="J208" s="13"/>
      <c r="K208" s="13"/>
      <c r="L208" s="13"/>
      <c r="M208" s="13"/>
      <c r="N208" s="6"/>
    </row>
    <row r="209" spans="1:13" ht="15">
      <c r="A209" s="134"/>
      <c r="B209" s="134"/>
      <c r="C209" s="134"/>
      <c r="D209" s="134"/>
      <c r="E209" s="134"/>
      <c r="F209" s="134"/>
      <c r="G209" s="134"/>
      <c r="H209" s="134"/>
      <c r="I209" s="134"/>
      <c r="J209" s="134"/>
      <c r="K209" s="134"/>
      <c r="L209" s="134"/>
      <c r="M209"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4" max="0" man="1"/>
  </rowBreaks>
  <drawing r:id="rId1"/>
</worksheet>
</file>

<file path=xl/worksheets/sheet12.xml><?xml version="1.0" encoding="utf-8"?>
<worksheet xmlns="http://schemas.openxmlformats.org/spreadsheetml/2006/main" xmlns:r="http://schemas.openxmlformats.org/officeDocument/2006/relationships">
  <dimension ref="A1:Q209"/>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E176/(J194+L94)</f>
        <v>0.20754921938209822</v>
      </c>
      <c r="F15" s="18" t="s">
        <v>147</v>
      </c>
      <c r="G15" s="19">
        <f>J176/(J194+L94)</f>
        <v>0.054418507086991696</v>
      </c>
      <c r="H15" s="18" t="s">
        <v>153</v>
      </c>
      <c r="I15" s="19">
        <f>E186/(J194+L94)</f>
        <v>0.42795391207935035</v>
      </c>
      <c r="J15" s="18" t="s">
        <v>162</v>
      </c>
      <c r="K15" s="19">
        <f>J186/(J194+L94)</f>
        <v>0.162386503251326</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38372</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0.0527438</v>
      </c>
      <c r="E34" s="48"/>
      <c r="F34" s="47">
        <v>0.0609438</v>
      </c>
      <c r="G34" s="47"/>
      <c r="H34" s="47">
        <v>0.0764438</v>
      </c>
      <c r="I34" s="49"/>
      <c r="J34" s="47"/>
      <c r="K34" s="30"/>
      <c r="L34" s="49">
        <f>SUMPRODUCT(D34:J34,D32:J32)/L32</f>
        <v>0.057725042337556196</v>
      </c>
      <c r="M34" s="27"/>
      <c r="N34" s="6"/>
    </row>
    <row r="35" spans="1:14" ht="15.75">
      <c r="A35" s="26"/>
      <c r="B35" s="27" t="s">
        <v>23</v>
      </c>
      <c r="C35" s="152"/>
      <c r="D35" s="47">
        <v>0.0520875</v>
      </c>
      <c r="E35" s="48"/>
      <c r="F35" s="47">
        <v>0.0602875</v>
      </c>
      <c r="G35" s="47"/>
      <c r="H35" s="47">
        <v>0.0757875</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38369</v>
      </c>
      <c r="M45" s="31"/>
      <c r="N45" s="6"/>
    </row>
    <row r="46" spans="1:14" ht="15.75">
      <c r="A46" s="26"/>
      <c r="B46" s="27" t="s">
        <v>32</v>
      </c>
      <c r="C46" s="27"/>
      <c r="D46" s="27"/>
      <c r="E46" s="27"/>
      <c r="F46" s="27"/>
      <c r="G46" s="27"/>
      <c r="H46" s="30"/>
      <c r="I46" s="27">
        <f>L46-J46+1</f>
        <v>92</v>
      </c>
      <c r="J46" s="56">
        <v>38183</v>
      </c>
      <c r="K46" s="57"/>
      <c r="L46" s="56">
        <v>38274</v>
      </c>
      <c r="M46" s="27"/>
      <c r="N46" s="6"/>
    </row>
    <row r="47" spans="1:14" ht="15.75">
      <c r="A47" s="26"/>
      <c r="B47" s="27" t="s">
        <v>33</v>
      </c>
      <c r="C47" s="27"/>
      <c r="D47" s="27"/>
      <c r="E47" s="27"/>
      <c r="F47" s="27"/>
      <c r="G47" s="27"/>
      <c r="H47" s="30"/>
      <c r="I47" s="27">
        <f>L47-J47+1</f>
        <v>94</v>
      </c>
      <c r="J47" s="56">
        <v>38275</v>
      </c>
      <c r="K47" s="57"/>
      <c r="L47" s="56">
        <v>38368</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38356</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203</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167518</v>
      </c>
      <c r="E57" s="63"/>
      <c r="F57" s="63">
        <f>68+5896+2+157+3872</f>
        <v>9995</v>
      </c>
      <c r="G57" s="63"/>
      <c r="H57" s="63">
        <v>0</v>
      </c>
      <c r="I57" s="63"/>
      <c r="J57" s="63">
        <v>0</v>
      </c>
      <c r="K57" s="63"/>
      <c r="L57" s="64">
        <f>D57-F57+H57-J57</f>
        <v>157523</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17198</v>
      </c>
      <c r="E60" s="63"/>
      <c r="F60" s="63">
        <f>6850-64</f>
        <v>6786</v>
      </c>
      <c r="G60" s="63"/>
      <c r="H60" s="63">
        <v>4580</v>
      </c>
      <c r="I60" s="63"/>
      <c r="J60" s="63">
        <f>SUM(J57:J59)</f>
        <v>0</v>
      </c>
      <c r="K60" s="63"/>
      <c r="L60" s="64">
        <f>D60-F60+H60-J60</f>
        <v>14992</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114950</v>
      </c>
      <c r="E63" s="63"/>
      <c r="F63" s="63">
        <f>16775+50</f>
        <v>16825</v>
      </c>
      <c r="G63" s="63"/>
      <c r="H63" s="63">
        <f>16153+181</f>
        <v>16334</v>
      </c>
      <c r="I63" s="63"/>
      <c r="J63" s="63">
        <v>0</v>
      </c>
      <c r="K63" s="63"/>
      <c r="L63" s="64">
        <f>D63-F63+H63-J63</f>
        <v>114459</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31621</v>
      </c>
      <c r="E66" s="63"/>
      <c r="F66" s="63">
        <f>7179+91+292</f>
        <v>7562</v>
      </c>
      <c r="G66" s="63"/>
      <c r="H66" s="63">
        <f>3631+16002</f>
        <v>19633</v>
      </c>
      <c r="I66" s="63"/>
      <c r="J66" s="63">
        <v>0</v>
      </c>
      <c r="K66" s="63"/>
      <c r="L66" s="64">
        <f>D66-F66+H66-J66</f>
        <v>43692</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331287</v>
      </c>
      <c r="E69" s="63"/>
      <c r="F69" s="63">
        <f>SUM(F57:F67)</f>
        <v>41168</v>
      </c>
      <c r="G69" s="63"/>
      <c r="H69" s="63">
        <f>SUM(H57:H67)</f>
        <v>40547</v>
      </c>
      <c r="I69" s="63"/>
      <c r="J69" s="63">
        <f>SUM(J64:J68)</f>
        <v>0</v>
      </c>
      <c r="K69" s="63"/>
      <c r="L69" s="63">
        <f>SUM(L57:L68)</f>
        <v>330666</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-128650</v>
      </c>
      <c r="E71" s="63"/>
      <c r="F71" s="63">
        <v>-3257</v>
      </c>
      <c r="G71" s="63"/>
      <c r="H71" s="63"/>
      <c r="I71" s="63"/>
      <c r="J71" s="63"/>
      <c r="K71" s="63"/>
      <c r="L71" s="63">
        <f>D71-F71</f>
        <v>-125393</v>
      </c>
      <c r="M71" s="27"/>
      <c r="N71" s="6"/>
    </row>
    <row r="72" spans="1:14" ht="15.75">
      <c r="A72" s="26"/>
      <c r="B72" s="27" t="s">
        <v>45</v>
      </c>
      <c r="C72" s="63">
        <v>0</v>
      </c>
      <c r="D72" s="65">
        <v>42063</v>
      </c>
      <c r="E72" s="63"/>
      <c r="F72" s="63">
        <f>SUM(F69:F71)</f>
        <v>37911</v>
      </c>
      <c r="G72" s="63"/>
      <c r="H72" s="63">
        <f>-H69</f>
        <v>-40547</v>
      </c>
      <c r="I72" s="63"/>
      <c r="J72" s="63"/>
      <c r="K72" s="63"/>
      <c r="L72" s="65">
        <f>D72+F72+H72</f>
        <v>39427</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153"/>
      <c r="I75" s="63"/>
      <c r="J75" s="63"/>
      <c r="K75" s="63"/>
      <c r="L75" s="65">
        <v>0</v>
      </c>
      <c r="M75" s="27"/>
      <c r="N75" s="6"/>
    </row>
    <row r="76" spans="1:14" ht="15.75">
      <c r="A76" s="26"/>
      <c r="B76" s="27" t="s">
        <v>20</v>
      </c>
      <c r="C76" s="65">
        <f>SUM(C69:C75)</f>
        <v>244700</v>
      </c>
      <c r="D76" s="65">
        <f>SUM(D69:D75)</f>
        <v>244700</v>
      </c>
      <c r="E76" s="63"/>
      <c r="F76" s="63">
        <f>F72-F75-F74</f>
        <v>37911</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56121-204</f>
        <v>55917</v>
      </c>
      <c r="M79" s="27"/>
      <c r="N79" s="6"/>
    </row>
    <row r="80" spans="1:14" ht="15.75">
      <c r="A80" s="26"/>
      <c r="B80" s="27" t="s">
        <v>51</v>
      </c>
      <c r="C80" s="51"/>
      <c r="D80" s="55"/>
      <c r="E80" s="27"/>
      <c r="F80" s="27"/>
      <c r="G80" s="27"/>
      <c r="H80" s="27"/>
      <c r="I80" s="27"/>
      <c r="J80" s="63"/>
      <c r="K80" s="27"/>
      <c r="L80" s="64">
        <f>532+210+74-3+6</f>
        <v>819</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198</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49611</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-710-254</f>
        <v>-964</v>
      </c>
      <c r="M87" s="27"/>
      <c r="N87" s="6"/>
      <c r="O87" s="69"/>
    </row>
    <row r="88" spans="1:15" ht="15.75">
      <c r="A88" s="26">
        <f t="shared" si="0"/>
        <v>3</v>
      </c>
      <c r="B88" s="27" t="s">
        <v>58</v>
      </c>
      <c r="C88" s="27"/>
      <c r="D88" s="27"/>
      <c r="E88" s="27"/>
      <c r="F88" s="27"/>
      <c r="G88" s="27"/>
      <c r="H88" s="27"/>
      <c r="I88" s="27"/>
      <c r="J88" s="27"/>
      <c r="K88" s="27"/>
      <c r="L88" s="64">
        <v>-241</v>
      </c>
      <c r="M88" s="27"/>
      <c r="N88" s="6"/>
      <c r="O88" s="69"/>
    </row>
    <row r="89" spans="1:15" ht="15.75">
      <c r="A89" s="26">
        <f t="shared" si="0"/>
        <v>4</v>
      </c>
      <c r="B89" s="27" t="s">
        <v>59</v>
      </c>
      <c r="C89" s="27"/>
      <c r="D89" s="27"/>
      <c r="E89" s="27"/>
      <c r="F89" s="27"/>
      <c r="G89" s="27"/>
      <c r="H89" s="27"/>
      <c r="I89" s="27"/>
      <c r="J89" s="27"/>
      <c r="K89" s="27"/>
      <c r="L89" s="64">
        <v>-1995</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-1113</v>
      </c>
      <c r="M91" s="27"/>
      <c r="N91" s="6"/>
      <c r="O91" s="69"/>
    </row>
    <row r="92" spans="1:15" ht="15.75">
      <c r="A92" s="26">
        <f t="shared" si="0"/>
        <v>7</v>
      </c>
      <c r="B92" s="27" t="s">
        <v>62</v>
      </c>
      <c r="C92" s="27"/>
      <c r="D92" s="27"/>
      <c r="E92" s="27"/>
      <c r="F92" s="27"/>
      <c r="G92" s="27"/>
      <c r="H92" s="27"/>
      <c r="I92" s="27"/>
      <c r="J92" s="27"/>
      <c r="K92" s="27"/>
      <c r="L92" s="64">
        <v>-530</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39429</v>
      </c>
      <c r="M94" s="27"/>
      <c r="N94" s="6"/>
      <c r="O94" s="69"/>
    </row>
    <row r="95" spans="1:14" ht="15.75">
      <c r="A95" s="26">
        <f t="shared" si="0"/>
        <v>10</v>
      </c>
      <c r="B95" s="27" t="s">
        <v>64</v>
      </c>
      <c r="C95" s="27"/>
      <c r="D95" s="27"/>
      <c r="E95" s="27"/>
      <c r="F95" s="27"/>
      <c r="G95" s="27"/>
      <c r="H95" s="27"/>
      <c r="I95" s="27"/>
      <c r="J95" s="27"/>
      <c r="K95" s="27"/>
      <c r="L95" s="64">
        <f>J194+SUM(L83:L92)+J196-J199</f>
        <v>5330</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DECEMBER 2004</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154"/>
      <c r="H111" s="9"/>
      <c r="I111" s="9"/>
      <c r="J111" s="9"/>
      <c r="K111" s="9"/>
      <c r="L111" s="80"/>
      <c r="M111" s="9"/>
      <c r="N111" s="6"/>
    </row>
    <row r="112" spans="1:14" ht="15.75">
      <c r="A112" s="7"/>
      <c r="B112" s="14"/>
      <c r="C112" s="18" t="s">
        <v>137</v>
      </c>
      <c r="D112" s="18" t="s">
        <v>147</v>
      </c>
      <c r="E112" s="18" t="s">
        <v>153</v>
      </c>
      <c r="F112" s="18" t="s">
        <v>162</v>
      </c>
      <c r="G112" s="154"/>
      <c r="H112" s="154"/>
      <c r="I112" s="9"/>
      <c r="J112" s="9"/>
      <c r="K112" s="9"/>
      <c r="L112" s="80"/>
      <c r="M112" s="9"/>
      <c r="N112" s="6"/>
    </row>
    <row r="113" spans="1:14" ht="15.75">
      <c r="A113" s="26"/>
      <c r="B113" s="27" t="s">
        <v>199</v>
      </c>
      <c r="C113" s="63">
        <f>E177-'Sept 04'!E177</f>
        <v>-3373</v>
      </c>
      <c r="D113" s="63">
        <f>J177-'Sept 04'!J177</f>
        <v>44</v>
      </c>
      <c r="E113" s="63">
        <f>E187-'Sept 04'!E187</f>
        <v>40</v>
      </c>
      <c r="F113" s="63">
        <f>J187-'Sept 04'!J187</f>
        <v>32</v>
      </c>
      <c r="G113" s="153"/>
      <c r="H113" s="153"/>
      <c r="I113" s="27"/>
      <c r="J113" s="27"/>
      <c r="K113" s="27"/>
      <c r="L113" s="64">
        <f>SUM(C113:F113)</f>
        <v>-3257</v>
      </c>
      <c r="M113" s="27"/>
      <c r="N113" s="6"/>
    </row>
    <row r="114" spans="1:14" ht="15.75">
      <c r="A114" s="26"/>
      <c r="B114" s="27" t="s">
        <v>72</v>
      </c>
      <c r="C114" s="27">
        <f>157+3872+2</f>
        <v>4031</v>
      </c>
      <c r="D114" s="27">
        <v>0</v>
      </c>
      <c r="E114" s="27">
        <v>50</v>
      </c>
      <c r="F114" s="27">
        <f>91+292</f>
        <v>383</v>
      </c>
      <c r="G114" s="153"/>
      <c r="H114" s="153"/>
      <c r="I114" s="27"/>
      <c r="J114" s="27"/>
      <c r="K114" s="27"/>
      <c r="L114" s="64">
        <f>SUM(C114:F114)</f>
        <v>4464</v>
      </c>
      <c r="M114" s="27"/>
      <c r="N114" s="6"/>
    </row>
    <row r="115" spans="1:14" ht="15.75">
      <c r="A115" s="26"/>
      <c r="B115" s="27" t="s">
        <v>73</v>
      </c>
      <c r="C115" s="27"/>
      <c r="D115" s="27"/>
      <c r="E115" s="27"/>
      <c r="F115" s="27"/>
      <c r="G115" s="27"/>
      <c r="H115" s="27"/>
      <c r="I115" s="27"/>
      <c r="J115" s="27"/>
      <c r="K115" s="27"/>
      <c r="L115" s="64">
        <f>SUM(L113:L114)</f>
        <v>1207</v>
      </c>
      <c r="M115" s="27"/>
      <c r="N115" s="6"/>
    </row>
    <row r="116" spans="1:14" ht="15.75">
      <c r="A116" s="7"/>
      <c r="B116" s="168" t="s">
        <v>74</v>
      </c>
      <c r="C116" s="14"/>
      <c r="D116" s="9"/>
      <c r="E116" s="9"/>
      <c r="F116" s="9"/>
      <c r="G116" s="9"/>
      <c r="H116" s="9"/>
      <c r="I116" s="9"/>
      <c r="J116" s="9"/>
      <c r="K116" s="9"/>
      <c r="L116" s="62"/>
      <c r="M116" s="9"/>
      <c r="N116" s="6"/>
    </row>
    <row r="117" spans="1:15" ht="15.75">
      <c r="A117" s="26"/>
      <c r="B117" s="27" t="s">
        <v>75</v>
      </c>
      <c r="C117" s="82"/>
      <c r="D117" s="27"/>
      <c r="E117" s="27"/>
      <c r="F117" s="27"/>
      <c r="G117" s="27"/>
      <c r="H117" s="27"/>
      <c r="I117" s="27"/>
      <c r="J117" s="27"/>
      <c r="K117" s="27"/>
      <c r="L117" s="64">
        <f>L69</f>
        <v>330666</v>
      </c>
      <c r="M117" s="27"/>
      <c r="N117" s="6"/>
      <c r="O117" s="172"/>
    </row>
    <row r="118" spans="1:15" ht="15.75">
      <c r="A118" s="26"/>
      <c r="B118" s="27" t="s">
        <v>76</v>
      </c>
      <c r="C118" s="82"/>
      <c r="D118" s="27"/>
      <c r="E118" s="27"/>
      <c r="F118" s="27"/>
      <c r="G118" s="27"/>
      <c r="H118" s="27"/>
      <c r="I118" s="27"/>
      <c r="J118" s="27"/>
      <c r="K118" s="27"/>
      <c r="L118" s="64">
        <f>L72</f>
        <v>39427</v>
      </c>
      <c r="M118" s="27"/>
      <c r="N118" s="6"/>
      <c r="O118" s="172"/>
    </row>
    <row r="119" spans="1:15" ht="15.75">
      <c r="A119" s="26"/>
      <c r="B119" s="27" t="s">
        <v>77</v>
      </c>
      <c r="C119" s="82"/>
      <c r="D119" s="27"/>
      <c r="E119" s="27"/>
      <c r="F119" s="27"/>
      <c r="G119" s="27"/>
      <c r="H119" s="27"/>
      <c r="I119" s="27"/>
      <c r="J119" s="27"/>
      <c r="K119" s="27"/>
      <c r="L119" s="64">
        <f>L118+L117+L74+L75</f>
        <v>370093</v>
      </c>
      <c r="M119" s="27"/>
      <c r="N119" s="6"/>
      <c r="O119" s="69"/>
    </row>
    <row r="120" spans="1:15" ht="15.75">
      <c r="A120" s="26"/>
      <c r="B120" s="27" t="s">
        <v>78</v>
      </c>
      <c r="C120" s="82"/>
      <c r="D120" s="27"/>
      <c r="E120" s="27"/>
      <c r="F120" s="27"/>
      <c r="G120" s="27"/>
      <c r="H120" s="27"/>
      <c r="I120" s="27"/>
      <c r="J120" s="27"/>
      <c r="K120" s="27"/>
      <c r="L120" s="64">
        <f>L76</f>
        <v>244700</v>
      </c>
      <c r="M120" s="27"/>
      <c r="N120" s="6"/>
      <c r="O120" s="172"/>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f>+'Sept 04'!H126</f>
        <v>812</v>
      </c>
      <c r="I124" s="27"/>
      <c r="J124" s="84" t="s">
        <v>177</v>
      </c>
      <c r="K124" s="27"/>
      <c r="L124" s="64">
        <f>H124</f>
        <v>812</v>
      </c>
      <c r="M124" s="27"/>
      <c r="N124" s="6"/>
    </row>
    <row r="125" spans="1:14" ht="15.75">
      <c r="A125" s="26"/>
      <c r="B125" s="27" t="s">
        <v>82</v>
      </c>
      <c r="C125" s="27"/>
      <c r="D125" s="27"/>
      <c r="E125" s="27"/>
      <c r="F125" s="27"/>
      <c r="G125" s="27"/>
      <c r="H125" s="64">
        <v>181</v>
      </c>
      <c r="I125" s="27"/>
      <c r="J125" s="84" t="s">
        <v>177</v>
      </c>
      <c r="K125" s="27"/>
      <c r="L125" s="64">
        <f>H125</f>
        <v>181</v>
      </c>
      <c r="M125" s="27"/>
      <c r="N125" s="6"/>
    </row>
    <row r="126" spans="1:14" ht="15.75">
      <c r="A126" s="26"/>
      <c r="B126" s="27" t="s">
        <v>83</v>
      </c>
      <c r="C126" s="27"/>
      <c r="D126" s="27"/>
      <c r="E126" s="27"/>
      <c r="F126" s="27"/>
      <c r="G126" s="27"/>
      <c r="H126" s="64">
        <f>SUM(H124:H125)</f>
        <v>993</v>
      </c>
      <c r="I126" s="27"/>
      <c r="J126" s="84" t="s">
        <v>177</v>
      </c>
      <c r="K126" s="27"/>
      <c r="L126" s="64">
        <f>H126</f>
        <v>993</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38352</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0.1351</v>
      </c>
      <c r="K134" s="27"/>
      <c r="L134" s="27"/>
      <c r="M134" s="27"/>
      <c r="N134" s="6"/>
    </row>
    <row r="135" spans="1:14" ht="15.75">
      <c r="A135" s="87"/>
      <c r="B135" s="88" t="s">
        <v>90</v>
      </c>
      <c r="C135" s="89"/>
      <c r="D135" s="89"/>
      <c r="E135" s="89"/>
      <c r="F135" s="89"/>
      <c r="G135" s="90"/>
      <c r="H135" s="90"/>
      <c r="I135" s="90"/>
      <c r="J135" s="91">
        <f>L34</f>
        <v>0.057725042337556196</v>
      </c>
      <c r="K135" s="27"/>
      <c r="L135" s="27"/>
      <c r="M135" s="27"/>
      <c r="N135" s="6"/>
    </row>
    <row r="136" spans="1:14" ht="15.75">
      <c r="A136" s="87"/>
      <c r="B136" s="88" t="s">
        <v>91</v>
      </c>
      <c r="C136" s="89"/>
      <c r="D136" s="89"/>
      <c r="E136" s="89"/>
      <c r="F136" s="89"/>
      <c r="G136" s="90"/>
      <c r="H136" s="90"/>
      <c r="I136" s="90"/>
      <c r="J136" s="91">
        <f>J134-J135</f>
        <v>0.0773749576624438</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12.36</v>
      </c>
      <c r="K141" s="27"/>
      <c r="L141" s="27"/>
      <c r="M141" s="27"/>
      <c r="N141" s="6"/>
    </row>
    <row r="142" spans="1:14" ht="15.75">
      <c r="A142" s="87"/>
      <c r="B142" s="88" t="s">
        <v>97</v>
      </c>
      <c r="C142" s="89"/>
      <c r="D142" s="89"/>
      <c r="E142" s="89"/>
      <c r="F142" s="89"/>
      <c r="G142" s="90"/>
      <c r="H142" s="90"/>
      <c r="I142" s="90"/>
      <c r="J142" s="91">
        <v>0.0989</v>
      </c>
      <c r="K142" s="27"/>
      <c r="L142" s="27"/>
      <c r="M142" s="27"/>
      <c r="N142" s="6"/>
    </row>
    <row r="143" spans="1:14" ht="15.75">
      <c r="A143" s="87"/>
      <c r="B143" s="88" t="s">
        <v>98</v>
      </c>
      <c r="C143" s="89"/>
      <c r="D143" s="89"/>
      <c r="E143" s="89"/>
      <c r="F143" s="89"/>
      <c r="G143" s="90"/>
      <c r="H143" s="90"/>
      <c r="I143" s="90"/>
      <c r="J143" s="91">
        <v>0.2898</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DECEMBER 2004</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4189</v>
      </c>
      <c r="J148" s="64">
        <v>33678</v>
      </c>
      <c r="K148" s="64"/>
      <c r="L148" s="94"/>
      <c r="M148" s="104"/>
      <c r="N148" s="6"/>
    </row>
    <row r="149" spans="1:14" ht="15.75">
      <c r="A149" s="103"/>
      <c r="B149" s="88" t="s">
        <v>101</v>
      </c>
      <c r="C149" s="65"/>
      <c r="D149" s="65"/>
      <c r="E149" s="65"/>
      <c r="F149" s="27"/>
      <c r="G149" s="27"/>
      <c r="H149" s="27"/>
      <c r="I149" s="27">
        <v>13</v>
      </c>
      <c r="J149" s="64">
        <v>75</v>
      </c>
      <c r="K149" s="64"/>
      <c r="L149" s="94"/>
      <c r="M149" s="104"/>
      <c r="N149" s="6"/>
    </row>
    <row r="150" spans="1:14" ht="15.75">
      <c r="A150" s="103"/>
      <c r="B150" s="88" t="s">
        <v>202</v>
      </c>
      <c r="C150" s="65"/>
      <c r="D150" s="65"/>
      <c r="E150" s="65"/>
      <c r="F150" s="27"/>
      <c r="G150" s="27"/>
      <c r="H150" s="27"/>
      <c r="I150" s="27">
        <v>10</v>
      </c>
      <c r="J150" s="64">
        <v>368</v>
      </c>
      <c r="K150" s="64"/>
      <c r="L150" s="94"/>
      <c r="M150" s="104"/>
      <c r="N150" s="6"/>
    </row>
    <row r="151" spans="1:14" ht="15.75">
      <c r="A151" s="103"/>
      <c r="B151" s="171" t="s">
        <v>102</v>
      </c>
      <c r="C151" s="65"/>
      <c r="D151" s="65"/>
      <c r="E151" s="65"/>
      <c r="F151" s="27"/>
      <c r="G151" s="27"/>
      <c r="H151" s="27"/>
      <c r="I151" s="27"/>
      <c r="J151" s="105">
        <v>0</v>
      </c>
      <c r="K151" s="27"/>
      <c r="L151" s="94"/>
      <c r="M151" s="104"/>
      <c r="N151" s="6"/>
    </row>
    <row r="152" spans="1:14" ht="15.75">
      <c r="A152" s="103"/>
      <c r="B152" s="171" t="s">
        <v>103</v>
      </c>
      <c r="C152" s="65"/>
      <c r="D152" s="65"/>
      <c r="E152" s="65"/>
      <c r="F152" s="27"/>
      <c r="G152" s="27"/>
      <c r="H152" s="27"/>
      <c r="I152" s="27"/>
      <c r="J152" s="64">
        <f>H69</f>
        <v>40547</v>
      </c>
      <c r="K152" s="27"/>
      <c r="L152" s="94"/>
      <c r="M152" s="104"/>
      <c r="N152" s="6"/>
    </row>
    <row r="153" spans="1:14" ht="15.75">
      <c r="A153" s="106"/>
      <c r="B153" s="171" t="s">
        <v>104</v>
      </c>
      <c r="C153" s="65"/>
      <c r="D153" s="88"/>
      <c r="E153" s="88"/>
      <c r="F153" s="88"/>
      <c r="G153" s="27"/>
      <c r="H153" s="27"/>
      <c r="I153" s="27"/>
      <c r="J153" s="107"/>
      <c r="K153" s="27"/>
      <c r="L153" s="94"/>
      <c r="M153" s="108"/>
      <c r="N153" s="6"/>
    </row>
    <row r="154" spans="1:14" ht="15.75">
      <c r="A154" s="103"/>
      <c r="B154" s="88" t="s">
        <v>105</v>
      </c>
      <c r="C154" s="65"/>
      <c r="D154" s="65"/>
      <c r="E154" s="65"/>
      <c r="F154" s="65"/>
      <c r="G154" s="27"/>
      <c r="H154" s="27"/>
      <c r="I154" s="27"/>
      <c r="J154" s="64">
        <f>L115</f>
        <v>1207</v>
      </c>
      <c r="K154" s="27"/>
      <c r="L154" s="94"/>
      <c r="M154" s="108"/>
      <c r="N154" s="6"/>
    </row>
    <row r="155" spans="1:15" ht="15.75">
      <c r="A155" s="103"/>
      <c r="B155" s="88" t="s">
        <v>106</v>
      </c>
      <c r="C155" s="65"/>
      <c r="D155" s="65"/>
      <c r="E155" s="65"/>
      <c r="F155" s="65"/>
      <c r="G155" s="27"/>
      <c r="H155" s="27"/>
      <c r="I155" s="27"/>
      <c r="J155" s="64">
        <f>+'Sept 04'!J155+'Dec 04'!J154</f>
        <v>31727</v>
      </c>
      <c r="K155" s="27"/>
      <c r="L155" s="94"/>
      <c r="M155" s="108"/>
      <c r="N155" s="6"/>
      <c r="O155" s="172"/>
    </row>
    <row r="156" spans="1:14" ht="15.75">
      <c r="A156" s="103"/>
      <c r="B156" s="88" t="s">
        <v>107</v>
      </c>
      <c r="C156" s="65"/>
      <c r="D156" s="65"/>
      <c r="E156" s="65"/>
      <c r="F156" s="65"/>
      <c r="G156" s="27"/>
      <c r="H156" s="27"/>
      <c r="I156" s="27"/>
      <c r="J156" s="64"/>
      <c r="K156" s="27"/>
      <c r="L156" s="94"/>
      <c r="M156" s="108"/>
      <c r="N156" s="6"/>
    </row>
    <row r="157" spans="1:14" ht="15.75">
      <c r="A157" s="103"/>
      <c r="B157" s="88"/>
      <c r="C157" s="65"/>
      <c r="D157" s="65"/>
      <c r="E157" s="65"/>
      <c r="F157" s="65"/>
      <c r="G157" s="27"/>
      <c r="H157" s="27"/>
      <c r="I157" s="27"/>
      <c r="J157" s="64"/>
      <c r="K157" s="27"/>
      <c r="L157" s="94"/>
      <c r="M157" s="108"/>
      <c r="N157" s="6"/>
    </row>
    <row r="158" spans="1:14" ht="15.75">
      <c r="A158" s="106"/>
      <c r="B158" s="171" t="s">
        <v>108</v>
      </c>
      <c r="C158" s="65"/>
      <c r="D158" s="88"/>
      <c r="E158" s="88"/>
      <c r="F158" s="88"/>
      <c r="G158" s="27"/>
      <c r="H158" s="27"/>
      <c r="I158" s="27"/>
      <c r="J158" s="84"/>
      <c r="K158" s="27"/>
      <c r="L158" s="94"/>
      <c r="M158" s="108"/>
      <c r="N158" s="6"/>
    </row>
    <row r="159" spans="1:14" ht="15.75">
      <c r="A159" s="106"/>
      <c r="B159" s="88" t="s">
        <v>109</v>
      </c>
      <c r="C159" s="65"/>
      <c r="D159" s="88"/>
      <c r="E159" s="88"/>
      <c r="F159" s="88"/>
      <c r="G159" s="27"/>
      <c r="H159" s="27"/>
      <c r="I159" s="27"/>
      <c r="J159" s="84">
        <v>0</v>
      </c>
      <c r="K159" s="27"/>
      <c r="L159" s="94"/>
      <c r="M159" s="108"/>
      <c r="N159" s="6"/>
    </row>
    <row r="160" spans="1:14" ht="15.75">
      <c r="A160" s="103"/>
      <c r="B160" s="88" t="s">
        <v>110</v>
      </c>
      <c r="C160" s="65"/>
      <c r="D160" s="109"/>
      <c r="E160" s="109"/>
      <c r="F160" s="110"/>
      <c r="G160" s="27"/>
      <c r="H160" s="27"/>
      <c r="I160" s="27"/>
      <c r="J160" s="84">
        <v>0</v>
      </c>
      <c r="K160" s="27"/>
      <c r="L160" s="94"/>
      <c r="M160" s="108"/>
      <c r="N160" s="6"/>
    </row>
    <row r="161" spans="1:14" ht="15.75">
      <c r="A161" s="103"/>
      <c r="B161" s="88" t="s">
        <v>111</v>
      </c>
      <c r="C161" s="65"/>
      <c r="D161" s="109"/>
      <c r="E161" s="109"/>
      <c r="F161" s="110"/>
      <c r="G161" s="27"/>
      <c r="H161" s="27"/>
      <c r="I161" s="27"/>
      <c r="J161" s="84">
        <v>0</v>
      </c>
      <c r="K161" s="27"/>
      <c r="L161" s="94"/>
      <c r="M161" s="108"/>
      <c r="N161" s="6"/>
    </row>
    <row r="162" spans="1:14" ht="15.75">
      <c r="A162" s="103"/>
      <c r="B162" s="88" t="s">
        <v>112</v>
      </c>
      <c r="C162" s="65"/>
      <c r="D162" s="111"/>
      <c r="E162" s="109"/>
      <c r="F162" s="110"/>
      <c r="G162" s="27"/>
      <c r="H162" s="27"/>
      <c r="I162" s="27"/>
      <c r="J162" s="84">
        <v>0</v>
      </c>
      <c r="K162" s="27"/>
      <c r="L162" s="94"/>
      <c r="M162" s="108"/>
      <c r="N162" s="6"/>
    </row>
    <row r="163" spans="1:14" ht="15.75">
      <c r="A163" s="103"/>
      <c r="B163" s="88"/>
      <c r="C163" s="65"/>
      <c r="D163" s="111"/>
      <c r="E163" s="109"/>
      <c r="F163" s="110"/>
      <c r="G163" s="27"/>
      <c r="H163" s="27"/>
      <c r="I163" s="27"/>
      <c r="J163" s="84"/>
      <c r="K163" s="27"/>
      <c r="L163" s="94"/>
      <c r="M163" s="108"/>
      <c r="N163" s="6"/>
    </row>
    <row r="164" spans="1:14" ht="15.75">
      <c r="A164" s="103"/>
      <c r="B164" s="171" t="s">
        <v>113</v>
      </c>
      <c r="C164" s="65"/>
      <c r="D164" s="65"/>
      <c r="E164" s="111"/>
      <c r="F164" s="109"/>
      <c r="G164" s="110"/>
      <c r="H164" s="27"/>
      <c r="I164" s="34"/>
      <c r="J164" s="34"/>
      <c r="K164" s="112"/>
      <c r="L164" s="34"/>
      <c r="M164" s="94"/>
      <c r="N164" s="6"/>
    </row>
    <row r="165" spans="1:14" ht="15.75">
      <c r="A165" s="103"/>
      <c r="B165" s="88" t="s">
        <v>114</v>
      </c>
      <c r="C165" s="65"/>
      <c r="D165" s="65"/>
      <c r="E165" s="111"/>
      <c r="F165" s="109"/>
      <c r="G165" s="110"/>
      <c r="H165" s="27"/>
      <c r="I165" s="34"/>
      <c r="J165" s="113">
        <v>126</v>
      </c>
      <c r="K165" s="113"/>
      <c r="L165" s="34"/>
      <c r="M165" s="94"/>
      <c r="N165" s="6"/>
    </row>
    <row r="166" spans="1:14" ht="15.75">
      <c r="A166" s="103"/>
      <c r="B166" s="88" t="s">
        <v>110</v>
      </c>
      <c r="C166" s="65"/>
      <c r="D166" s="65"/>
      <c r="E166" s="111"/>
      <c r="F166" s="109"/>
      <c r="G166" s="110"/>
      <c r="H166" s="27"/>
      <c r="I166" s="34"/>
      <c r="J166" s="113">
        <v>2.05</v>
      </c>
      <c r="K166" s="113"/>
      <c r="L166" s="34"/>
      <c r="M166" s="94"/>
      <c r="N166" s="6"/>
    </row>
    <row r="167" spans="1:14" ht="15.75">
      <c r="A167" s="103"/>
      <c r="B167" s="88" t="s">
        <v>115</v>
      </c>
      <c r="C167" s="65"/>
      <c r="D167" s="65"/>
      <c r="E167" s="111"/>
      <c r="F167" s="109"/>
      <c r="G167" s="110"/>
      <c r="H167" s="27"/>
      <c r="I167" s="34"/>
      <c r="J167" s="113">
        <v>31.13</v>
      </c>
      <c r="K167" s="113"/>
      <c r="L167" s="34"/>
      <c r="M167" s="94"/>
      <c r="N167" s="6"/>
    </row>
    <row r="168" spans="1:14" ht="15.75">
      <c r="A168" s="103"/>
      <c r="B168" s="88"/>
      <c r="C168" s="65"/>
      <c r="D168" s="111"/>
      <c r="E168" s="109"/>
      <c r="F168" s="110"/>
      <c r="G168" s="27"/>
      <c r="H168" s="27"/>
      <c r="I168" s="27"/>
      <c r="J168" s="84"/>
      <c r="K168" s="27"/>
      <c r="L168" s="94"/>
      <c r="M168" s="108"/>
      <c r="N168" s="6"/>
    </row>
    <row r="169" spans="1:14" ht="15.75">
      <c r="A169" s="26"/>
      <c r="B169" s="114" t="s">
        <v>116</v>
      </c>
      <c r="C169" s="115"/>
      <c r="D169" s="116"/>
      <c r="E169" s="115"/>
      <c r="F169" s="116"/>
      <c r="G169" s="115"/>
      <c r="H169" s="116"/>
      <c r="I169" s="115"/>
      <c r="J169" s="116"/>
      <c r="K169" s="115"/>
      <c r="L169" s="117"/>
      <c r="M169" s="108"/>
      <c r="N169" s="6"/>
    </row>
    <row r="170" spans="1:14" ht="15.75">
      <c r="A170" s="26"/>
      <c r="B170" s="31"/>
      <c r="C170" s="153"/>
      <c r="D170" s="114" t="s">
        <v>148</v>
      </c>
      <c r="E170" s="115"/>
      <c r="F170" s="116"/>
      <c r="G170" s="115"/>
      <c r="H170" s="114" t="s">
        <v>40</v>
      </c>
      <c r="I170" s="115"/>
      <c r="J170" s="116"/>
      <c r="K170" s="115"/>
      <c r="L170" s="117"/>
      <c r="M170" s="108"/>
      <c r="N170" s="6"/>
    </row>
    <row r="171" spans="1:14" ht="15.75">
      <c r="A171" s="26"/>
      <c r="B171" s="153"/>
      <c r="C171" s="116" t="s">
        <v>138</v>
      </c>
      <c r="D171" s="115" t="s">
        <v>149</v>
      </c>
      <c r="E171" s="116" t="s">
        <v>154</v>
      </c>
      <c r="F171" s="115" t="s">
        <v>149</v>
      </c>
      <c r="G171" s="115"/>
      <c r="H171" s="116" t="s">
        <v>138</v>
      </c>
      <c r="I171" s="115" t="s">
        <v>149</v>
      </c>
      <c r="J171" s="116" t="s">
        <v>154</v>
      </c>
      <c r="K171" s="115" t="s">
        <v>149</v>
      </c>
      <c r="L171" s="117"/>
      <c r="M171" s="108"/>
      <c r="N171" s="6"/>
    </row>
    <row r="172" spans="1:14" ht="15.75">
      <c r="A172" s="26"/>
      <c r="B172" s="65" t="s">
        <v>117</v>
      </c>
      <c r="C172" s="118">
        <v>9848</v>
      </c>
      <c r="D172" s="91">
        <f>C172/$C$176</f>
        <v>0.8833871546465734</v>
      </c>
      <c r="E172" s="118">
        <v>46558</v>
      </c>
      <c r="F172" s="91">
        <f>E172/$E$176</f>
        <v>0.840260607482539</v>
      </c>
      <c r="G172" s="115"/>
      <c r="H172" s="118">
        <v>16091</v>
      </c>
      <c r="I172" s="91">
        <f>H172/$H$176</f>
        <v>0.9765141400655419</v>
      </c>
      <c r="J172" s="118">
        <v>14099</v>
      </c>
      <c r="K172" s="91">
        <f>J172/$J$176</f>
        <v>0.9704708149779736</v>
      </c>
      <c r="L172" s="117"/>
      <c r="M172" s="108"/>
      <c r="N172" s="6"/>
    </row>
    <row r="173" spans="1:17" ht="15.75">
      <c r="A173" s="26"/>
      <c r="B173" s="65" t="s">
        <v>118</v>
      </c>
      <c r="C173" s="118">
        <v>158</v>
      </c>
      <c r="D173" s="91">
        <f>C173/$C$176</f>
        <v>0.014172945819878005</v>
      </c>
      <c r="E173" s="118">
        <v>1056</v>
      </c>
      <c r="F173" s="91">
        <f>E173/$E$176</f>
        <v>0.01905827573137938</v>
      </c>
      <c r="G173" s="115"/>
      <c r="H173" s="118">
        <v>86</v>
      </c>
      <c r="I173" s="91">
        <f>H173/$H$176</f>
        <v>0.005219079985435126</v>
      </c>
      <c r="J173" s="118">
        <v>91</v>
      </c>
      <c r="K173" s="91">
        <f>J173/$J$176</f>
        <v>0.006263766519823789</v>
      </c>
      <c r="L173" s="117"/>
      <c r="M173" s="108"/>
      <c r="N173" s="6"/>
      <c r="Q173" s="69"/>
    </row>
    <row r="174" spans="1:17" ht="15.75">
      <c r="A174" s="26"/>
      <c r="B174" s="65" t="s">
        <v>119</v>
      </c>
      <c r="C174" s="118">
        <v>139</v>
      </c>
      <c r="D174" s="91">
        <f>C174/$C$176</f>
        <v>0.012468604233943309</v>
      </c>
      <c r="E174" s="118">
        <v>931</v>
      </c>
      <c r="F174" s="91">
        <f>E174/$E$176</f>
        <v>0.01680232453211572</v>
      </c>
      <c r="G174" s="115"/>
      <c r="H174" s="118">
        <v>56</v>
      </c>
      <c r="I174" s="91">
        <f>H174/$H$176</f>
        <v>0.0033984706881903144</v>
      </c>
      <c r="J174" s="118">
        <v>59</v>
      </c>
      <c r="K174" s="91">
        <f>J174/$J$176</f>
        <v>0.0040611233480176215</v>
      </c>
      <c r="L174" s="117"/>
      <c r="M174" s="108"/>
      <c r="N174" s="6"/>
      <c r="Q174" s="69"/>
    </row>
    <row r="175" spans="1:17" ht="15.75">
      <c r="A175" s="26"/>
      <c r="B175" s="65" t="s">
        <v>120</v>
      </c>
      <c r="C175" s="118">
        <f>112+117+103+109+116+101+105+129+111</f>
        <v>1003</v>
      </c>
      <c r="D175" s="91">
        <f>C175/$C$176</f>
        <v>0.0899712952996053</v>
      </c>
      <c r="E175" s="118">
        <f>708+742+730+792+750+719+786+945+692</f>
        <v>6864</v>
      </c>
      <c r="F175" s="91">
        <f>E175/$E$176</f>
        <v>0.12387879225396596</v>
      </c>
      <c r="G175" s="115"/>
      <c r="H175" s="118">
        <f>37+35+30+27+21+29+30+22+14</f>
        <v>245</v>
      </c>
      <c r="I175" s="91">
        <f>H175/$H$176</f>
        <v>0.014868309260832626</v>
      </c>
      <c r="J175" s="118">
        <f>44+33+38+24+19+31+36+36+18</f>
        <v>279</v>
      </c>
      <c r="K175" s="91">
        <f>J175/$J$176</f>
        <v>0.019204295154185022</v>
      </c>
      <c r="L175" s="117"/>
      <c r="M175" s="108"/>
      <c r="N175" s="6"/>
      <c r="Q175" s="69"/>
    </row>
    <row r="176" spans="1:17" ht="15.75">
      <c r="A176" s="26"/>
      <c r="B176" s="65" t="s">
        <v>121</v>
      </c>
      <c r="C176" s="118">
        <f>SUM(C172:C175)</f>
        <v>11148</v>
      </c>
      <c r="D176" s="91">
        <f>SUM(D172:D175)</f>
        <v>1</v>
      </c>
      <c r="E176" s="118">
        <f>SUM(E172:E175)</f>
        <v>55409</v>
      </c>
      <c r="F176" s="91">
        <f>SUM(F172:F175)</f>
        <v>1</v>
      </c>
      <c r="G176" s="115"/>
      <c r="H176" s="118">
        <f>SUM(H172:H175)</f>
        <v>16478</v>
      </c>
      <c r="I176" s="91">
        <f>SUM(I172:I175)</f>
        <v>1</v>
      </c>
      <c r="J176" s="118">
        <f>SUM(J172:J175)</f>
        <v>14528</v>
      </c>
      <c r="K176" s="91">
        <f>SUM(K172:K175)</f>
        <v>1</v>
      </c>
      <c r="L176" s="117"/>
      <c r="M176" s="108"/>
      <c r="N176" s="6"/>
      <c r="Q176" s="69"/>
    </row>
    <row r="177" spans="1:17" ht="15.75">
      <c r="A177" s="26"/>
      <c r="B177" s="65" t="s">
        <v>122</v>
      </c>
      <c r="C177" s="118">
        <v>12782</v>
      </c>
      <c r="D177" s="119"/>
      <c r="E177" s="118">
        <v>102113</v>
      </c>
      <c r="F177" s="119"/>
      <c r="G177" s="115"/>
      <c r="H177" s="118">
        <v>274</v>
      </c>
      <c r="I177" s="119"/>
      <c r="J177" s="118">
        <v>464</v>
      </c>
      <c r="K177" s="119"/>
      <c r="L177" s="117"/>
      <c r="M177" s="108"/>
      <c r="N177" s="6"/>
      <c r="O177" s="69"/>
      <c r="Q177" s="69"/>
    </row>
    <row r="178" spans="1:15" ht="15.75">
      <c r="A178" s="26"/>
      <c r="B178" s="65" t="s">
        <v>123</v>
      </c>
      <c r="C178" s="118">
        <f>SUM(C176:C177)</f>
        <v>23930</v>
      </c>
      <c r="D178" s="153"/>
      <c r="E178" s="118">
        <f>SUM(E176:E177)</f>
        <v>157522</v>
      </c>
      <c r="F178" s="91"/>
      <c r="G178" s="153"/>
      <c r="H178" s="118">
        <f>SUM(H176:H177)</f>
        <v>16752</v>
      </c>
      <c r="I178" s="153"/>
      <c r="J178" s="118">
        <f>SUM(J176:J177)</f>
        <v>14992</v>
      </c>
      <c r="K178" s="153"/>
      <c r="L178" s="153"/>
      <c r="M178" s="108"/>
      <c r="N178" s="6"/>
      <c r="O178" s="69"/>
    </row>
    <row r="179" spans="1:14" ht="15.75">
      <c r="A179" s="26"/>
      <c r="B179" s="65"/>
      <c r="C179" s="118"/>
      <c r="D179" s="91"/>
      <c r="E179" s="118"/>
      <c r="F179" s="91"/>
      <c r="G179" s="115"/>
      <c r="H179" s="118"/>
      <c r="I179" s="91"/>
      <c r="J179" s="118"/>
      <c r="K179" s="91"/>
      <c r="L179" s="117"/>
      <c r="M179" s="108"/>
      <c r="N179" s="6"/>
    </row>
    <row r="180" spans="1:15" ht="15.75">
      <c r="A180" s="26"/>
      <c r="B180" s="65"/>
      <c r="C180" s="115"/>
      <c r="D180" s="114" t="s">
        <v>41</v>
      </c>
      <c r="E180" s="115"/>
      <c r="F180" s="136"/>
      <c r="G180" s="115"/>
      <c r="H180" s="114" t="s">
        <v>42</v>
      </c>
      <c r="I180" s="115"/>
      <c r="J180" s="116"/>
      <c r="K180" s="115"/>
      <c r="L180" s="117"/>
      <c r="M180" s="108"/>
      <c r="N180" s="6"/>
      <c r="O180" s="69"/>
    </row>
    <row r="181" spans="1:14" ht="15.75">
      <c r="A181" s="26"/>
      <c r="B181" s="153"/>
      <c r="C181" s="116" t="s">
        <v>138</v>
      </c>
      <c r="D181" s="115" t="s">
        <v>149</v>
      </c>
      <c r="E181" s="116" t="s">
        <v>154</v>
      </c>
      <c r="F181" s="115" t="s">
        <v>149</v>
      </c>
      <c r="G181" s="115"/>
      <c r="H181" s="116" t="s">
        <v>138</v>
      </c>
      <c r="I181" s="115" t="s">
        <v>149</v>
      </c>
      <c r="J181" s="116" t="s">
        <v>154</v>
      </c>
      <c r="K181" s="115" t="s">
        <v>149</v>
      </c>
      <c r="L181" s="117"/>
      <c r="M181" s="108"/>
      <c r="N181" s="6"/>
    </row>
    <row r="182" spans="1:14" ht="15.75">
      <c r="A182" s="26"/>
      <c r="B182" s="65" t="s">
        <v>117</v>
      </c>
      <c r="C182" s="118">
        <v>4328</v>
      </c>
      <c r="D182" s="91">
        <f>C182/$C$186</f>
        <v>0.9495392716103555</v>
      </c>
      <c r="E182" s="118">
        <v>108463</v>
      </c>
      <c r="F182" s="91">
        <f>E182/$E$186</f>
        <v>0.9493479212253829</v>
      </c>
      <c r="G182" s="115"/>
      <c r="H182" s="118">
        <v>9939</v>
      </c>
      <c r="I182" s="91">
        <f>H182/$H$186</f>
        <v>0.9847419003269593</v>
      </c>
      <c r="J182" s="118">
        <v>42526</v>
      </c>
      <c r="K182" s="91">
        <f>J182/$J$186</f>
        <v>0.9809466691271452</v>
      </c>
      <c r="L182" s="117"/>
      <c r="M182" s="108"/>
      <c r="N182" s="6"/>
    </row>
    <row r="183" spans="1:14" ht="15.75">
      <c r="A183" s="26"/>
      <c r="B183" s="65" t="s">
        <v>118</v>
      </c>
      <c r="C183" s="118">
        <v>89</v>
      </c>
      <c r="D183" s="91">
        <f>C183/$C$186</f>
        <v>0.01952610794207986</v>
      </c>
      <c r="E183" s="118">
        <v>2149</v>
      </c>
      <c r="F183" s="91">
        <f>E183/$E$186</f>
        <v>0.018809628008752736</v>
      </c>
      <c r="G183" s="115"/>
      <c r="H183" s="118">
        <v>69</v>
      </c>
      <c r="I183" s="91">
        <f>H183/$H$186</f>
        <v>0.006836421282076687</v>
      </c>
      <c r="J183" s="118">
        <v>362</v>
      </c>
      <c r="K183" s="91">
        <f>J183/$J$186</f>
        <v>0.008350249123454511</v>
      </c>
      <c r="L183" s="117"/>
      <c r="M183" s="108"/>
      <c r="N183" s="6"/>
    </row>
    <row r="184" spans="1:14" ht="15.75">
      <c r="A184" s="26"/>
      <c r="B184" s="65" t="s">
        <v>119</v>
      </c>
      <c r="C184" s="118">
        <v>52</v>
      </c>
      <c r="D184" s="91">
        <f>C184/$C$186</f>
        <v>0.011408512505484861</v>
      </c>
      <c r="E184" s="118">
        <v>1463</v>
      </c>
      <c r="F184" s="91">
        <f>E184/$E$186</f>
        <v>0.012805251641137855</v>
      </c>
      <c r="G184" s="115"/>
      <c r="H184" s="118">
        <v>28</v>
      </c>
      <c r="I184" s="91">
        <f>H184/$H$186</f>
        <v>0.0027741999405528584</v>
      </c>
      <c r="J184" s="118">
        <v>129</v>
      </c>
      <c r="K184" s="91">
        <f>J184/$J$186</f>
        <v>0.002975641262225503</v>
      </c>
      <c r="L184" s="117"/>
      <c r="M184" s="108"/>
      <c r="N184" s="6"/>
    </row>
    <row r="185" spans="1:14" ht="15.75">
      <c r="A185" s="26"/>
      <c r="B185" s="65" t="s">
        <v>120</v>
      </c>
      <c r="C185" s="118">
        <v>89</v>
      </c>
      <c r="D185" s="91">
        <f>C185/$C$186</f>
        <v>0.01952610794207986</v>
      </c>
      <c r="E185" s="118">
        <v>2175</v>
      </c>
      <c r="F185" s="91">
        <f>E185/$E$186</f>
        <v>0.019037199124726477</v>
      </c>
      <c r="G185" s="115"/>
      <c r="H185" s="118">
        <v>57</v>
      </c>
      <c r="I185" s="91">
        <f>H185/$H$186</f>
        <v>0.005647478450411176</v>
      </c>
      <c r="J185" s="118">
        <f>98+41+31+40+36+36+30+23</f>
        <v>335</v>
      </c>
      <c r="K185" s="91">
        <f>J185/$J$186</f>
        <v>0.007727440487174756</v>
      </c>
      <c r="L185" s="117"/>
      <c r="M185" s="108"/>
      <c r="N185" s="6"/>
    </row>
    <row r="186" spans="1:14" ht="15.75">
      <c r="A186" s="26"/>
      <c r="B186" s="65" t="str">
        <f>B176</f>
        <v>Total Performing  Assets</v>
      </c>
      <c r="C186" s="118">
        <f>SUM(C182:C185)</f>
        <v>4558</v>
      </c>
      <c r="D186" s="91">
        <f>SUM(D182:D185)</f>
        <v>1</v>
      </c>
      <c r="E186" s="118">
        <f>SUM(E182:E185)</f>
        <v>114250</v>
      </c>
      <c r="F186" s="91">
        <f>SUM(F182:F185)</f>
        <v>1</v>
      </c>
      <c r="G186" s="115"/>
      <c r="H186" s="118">
        <f>SUM(H182:H185)</f>
        <v>10093</v>
      </c>
      <c r="I186" s="91">
        <f>SUM(I182:I185)</f>
        <v>1</v>
      </c>
      <c r="J186" s="118">
        <f>SUM(J182:J185)</f>
        <v>43352</v>
      </c>
      <c r="K186" s="91">
        <f>SUM(K182:K185)</f>
        <v>1</v>
      </c>
      <c r="L186" s="117"/>
      <c r="M186" s="108"/>
      <c r="N186" s="6"/>
    </row>
    <row r="187" spans="1:14" ht="15.75">
      <c r="A187" s="26"/>
      <c r="B187" s="65" t="s">
        <v>122</v>
      </c>
      <c r="C187" s="118">
        <v>8</v>
      </c>
      <c r="D187" s="121"/>
      <c r="E187" s="118">
        <v>209</v>
      </c>
      <c r="F187" s="119"/>
      <c r="G187" s="115"/>
      <c r="H187" s="118">
        <v>34</v>
      </c>
      <c r="I187" s="121"/>
      <c r="J187" s="118">
        <v>340</v>
      </c>
      <c r="K187" s="121"/>
      <c r="L187" s="117"/>
      <c r="M187" s="108"/>
      <c r="N187" s="6"/>
    </row>
    <row r="188" spans="1:15" ht="15.75">
      <c r="A188" s="26"/>
      <c r="B188" s="65" t="s">
        <v>123</v>
      </c>
      <c r="C188" s="118">
        <f>SUM(C186:C187)</f>
        <v>4566</v>
      </c>
      <c r="D188" s="153"/>
      <c r="E188" s="118">
        <f>SUM(E186:E187)</f>
        <v>114459</v>
      </c>
      <c r="F188" s="120"/>
      <c r="G188" s="153"/>
      <c r="H188" s="118">
        <f>SUM(H186:H187)</f>
        <v>10127</v>
      </c>
      <c r="I188" s="153"/>
      <c r="J188" s="118">
        <f>SUM(J186:J187)</f>
        <v>43692</v>
      </c>
      <c r="K188" s="153"/>
      <c r="L188" s="153"/>
      <c r="M188" s="155"/>
      <c r="N188" s="139"/>
      <c r="O188" s="172"/>
    </row>
    <row r="189" spans="1:15" ht="15.75">
      <c r="A189" s="26"/>
      <c r="B189" s="65"/>
      <c r="C189" s="115"/>
      <c r="D189" s="116"/>
      <c r="E189" s="115"/>
      <c r="F189" s="116"/>
      <c r="G189" s="115"/>
      <c r="H189" s="122"/>
      <c r="I189" s="115"/>
      <c r="J189" s="118"/>
      <c r="K189" s="115"/>
      <c r="L189" s="117"/>
      <c r="M189" s="108"/>
      <c r="N189" s="6"/>
      <c r="O189" s="172"/>
    </row>
    <row r="190" spans="1:14" ht="15.75">
      <c r="A190" s="26"/>
      <c r="B190" s="65" t="s">
        <v>123</v>
      </c>
      <c r="C190" s="115"/>
      <c r="D190" s="116"/>
      <c r="E190" s="116"/>
      <c r="F190" s="116"/>
      <c r="G190" s="115"/>
      <c r="H190" s="122"/>
      <c r="I190" s="121"/>
      <c r="J190" s="118">
        <f>E178+J178+E188+J188</f>
        <v>330665</v>
      </c>
      <c r="K190" s="120"/>
      <c r="L190" s="117"/>
      <c r="M190" s="108"/>
      <c r="N190" s="6"/>
    </row>
    <row r="191" spans="1:14" ht="15.75">
      <c r="A191" s="26"/>
      <c r="B191" s="65"/>
      <c r="C191" s="115"/>
      <c r="D191" s="116"/>
      <c r="E191" s="115"/>
      <c r="F191" s="116"/>
      <c r="G191" s="115"/>
      <c r="H191" s="116"/>
      <c r="I191" s="115"/>
      <c r="J191" s="118"/>
      <c r="K191" s="121"/>
      <c r="L191" s="117"/>
      <c r="M191" s="108"/>
      <c r="N191" s="6"/>
    </row>
    <row r="192" spans="1:14" ht="15.75">
      <c r="A192" s="26"/>
      <c r="B192" s="123" t="s">
        <v>124</v>
      </c>
      <c r="C192" s="115"/>
      <c r="D192" s="116"/>
      <c r="E192" s="115"/>
      <c r="F192" s="116"/>
      <c r="G192" s="115"/>
      <c r="H192" s="116"/>
      <c r="I192" s="115"/>
      <c r="J192" s="118"/>
      <c r="K192" s="115"/>
      <c r="L192" s="117"/>
      <c r="M192" s="108"/>
      <c r="N192" s="124"/>
    </row>
    <row r="193" spans="1:15" ht="15.75">
      <c r="A193" s="26"/>
      <c r="B193" s="65"/>
      <c r="C193" s="115"/>
      <c r="D193" s="116"/>
      <c r="E193" s="115"/>
      <c r="F193" s="116"/>
      <c r="G193" s="115"/>
      <c r="H193" s="116"/>
      <c r="I193" s="115"/>
      <c r="J193" s="118"/>
      <c r="K193" s="115"/>
      <c r="L193" s="117"/>
      <c r="M193" s="108"/>
      <c r="N193" s="6"/>
      <c r="O193" s="172"/>
    </row>
    <row r="194" spans="1:15" ht="15.75">
      <c r="A194" s="26"/>
      <c r="B194" s="65" t="s">
        <v>125</v>
      </c>
      <c r="C194" s="115"/>
      <c r="D194" s="116"/>
      <c r="E194" s="115"/>
      <c r="F194" s="116"/>
      <c r="G194" s="115"/>
      <c r="H194" s="116"/>
      <c r="I194" s="116"/>
      <c r="J194" s="118">
        <f>+E176+J176+E186+J186</f>
        <v>227539</v>
      </c>
      <c r="K194" s="115"/>
      <c r="L194" s="117"/>
      <c r="M194" s="108"/>
      <c r="N194" s="124"/>
      <c r="O194" s="172"/>
    </row>
    <row r="195" spans="1:15" ht="15.75">
      <c r="A195" s="26"/>
      <c r="B195" s="65" t="s">
        <v>126</v>
      </c>
      <c r="C195" s="115"/>
      <c r="D195" s="116"/>
      <c r="E195" s="115"/>
      <c r="F195" s="116"/>
      <c r="G195" s="115"/>
      <c r="H195" s="116"/>
      <c r="I195" s="115"/>
      <c r="J195" s="118">
        <f>L94</f>
        <v>39429</v>
      </c>
      <c r="K195" s="115"/>
      <c r="L195" s="117"/>
      <c r="M195" s="108"/>
      <c r="N195" s="124"/>
      <c r="O195" s="69"/>
    </row>
    <row r="196" spans="1:15" ht="15.75">
      <c r="A196" s="26"/>
      <c r="B196" s="65" t="s">
        <v>127</v>
      </c>
      <c r="C196" s="115"/>
      <c r="D196" s="116"/>
      <c r="E196" s="115"/>
      <c r="F196" s="116"/>
      <c r="G196" s="115"/>
      <c r="H196" s="116"/>
      <c r="I196" s="115"/>
      <c r="J196" s="118">
        <v>-22268</v>
      </c>
      <c r="K196" s="115"/>
      <c r="L196" s="117"/>
      <c r="M196" s="108"/>
      <c r="N196" s="125"/>
      <c r="O196" s="172"/>
    </row>
    <row r="197" spans="1:15" ht="15.75">
      <c r="A197" s="26"/>
      <c r="B197" s="65" t="s">
        <v>128</v>
      </c>
      <c r="C197" s="115"/>
      <c r="D197" s="116"/>
      <c r="E197" s="115"/>
      <c r="F197" s="116"/>
      <c r="G197" s="115"/>
      <c r="H197" s="116"/>
      <c r="I197" s="115"/>
      <c r="J197" s="118">
        <f>SUM(J194:J196)</f>
        <v>244700</v>
      </c>
      <c r="K197" s="115"/>
      <c r="L197" s="117"/>
      <c r="M197" s="108"/>
      <c r="N197" s="6"/>
      <c r="O197" s="138"/>
    </row>
    <row r="198" spans="1:14" ht="15.75">
      <c r="A198" s="26"/>
      <c r="B198" s="65"/>
      <c r="C198" s="115"/>
      <c r="D198" s="116"/>
      <c r="E198" s="115"/>
      <c r="F198" s="116"/>
      <c r="G198" s="115"/>
      <c r="H198" s="116"/>
      <c r="I198" s="115"/>
      <c r="J198" s="118"/>
      <c r="K198" s="115"/>
      <c r="L198" s="117"/>
      <c r="M198" s="108"/>
      <c r="N198" s="6"/>
    </row>
    <row r="199" spans="1:14" ht="15.75">
      <c r="A199" s="26"/>
      <c r="B199" s="65" t="s">
        <v>129</v>
      </c>
      <c r="C199" s="115"/>
      <c r="D199" s="116"/>
      <c r="E199" s="115"/>
      <c r="F199" s="116"/>
      <c r="G199" s="115"/>
      <c r="H199" s="116"/>
      <c r="I199" s="115"/>
      <c r="J199" s="118">
        <f>L32</f>
        <v>244700</v>
      </c>
      <c r="K199" s="115"/>
      <c r="L199" s="117"/>
      <c r="M199" s="108"/>
      <c r="N199" s="6"/>
    </row>
    <row r="200" spans="1:14" ht="15.75">
      <c r="A200" s="26"/>
      <c r="B200" s="65"/>
      <c r="C200" s="115"/>
      <c r="D200" s="116"/>
      <c r="E200" s="115"/>
      <c r="F200" s="116"/>
      <c r="G200" s="115"/>
      <c r="H200" s="116"/>
      <c r="I200" s="115"/>
      <c r="J200" s="118"/>
      <c r="K200" s="115"/>
      <c r="L200" s="117"/>
      <c r="M200" s="108"/>
      <c r="N200" s="6"/>
    </row>
    <row r="201" spans="1:14" ht="15.75">
      <c r="A201" s="26"/>
      <c r="B201" s="65" t="s">
        <v>130</v>
      </c>
      <c r="C201" s="115"/>
      <c r="D201" s="116"/>
      <c r="E201" s="115"/>
      <c r="F201" s="116"/>
      <c r="G201" s="115"/>
      <c r="H201" s="116"/>
      <c r="I201" s="115"/>
      <c r="J201" s="118">
        <f>J197/J199</f>
        <v>1</v>
      </c>
      <c r="K201" s="115"/>
      <c r="L201" s="117"/>
      <c r="M201" s="108"/>
      <c r="N201" s="6"/>
    </row>
    <row r="202" spans="1:14" ht="15.75">
      <c r="A202" s="26"/>
      <c r="B202" s="27"/>
      <c r="C202" s="27"/>
      <c r="D202" s="34"/>
      <c r="E202" s="27"/>
      <c r="F202" s="27"/>
      <c r="G202" s="27"/>
      <c r="H202" s="63"/>
      <c r="I202" s="126"/>
      <c r="J202" s="64"/>
      <c r="K202" s="126"/>
      <c r="L202" s="94"/>
      <c r="M202" s="27"/>
      <c r="N202" s="6"/>
    </row>
    <row r="203" spans="1:14" ht="15.75">
      <c r="A203" s="127"/>
      <c r="B203" s="31" t="s">
        <v>131</v>
      </c>
      <c r="C203" s="128"/>
      <c r="D203" s="115" t="s">
        <v>150</v>
      </c>
      <c r="E203" s="117"/>
      <c r="F203" s="31" t="s">
        <v>163</v>
      </c>
      <c r="G203" s="129"/>
      <c r="H203" s="129"/>
      <c r="I203" s="129"/>
      <c r="J203" s="130"/>
      <c r="K203" s="30"/>
      <c r="L203" s="30"/>
      <c r="M203" s="30"/>
      <c r="N203" s="6"/>
    </row>
    <row r="204" spans="1:14" ht="15.75">
      <c r="A204" s="131"/>
      <c r="B204" s="14" t="s">
        <v>132</v>
      </c>
      <c r="C204" s="132"/>
      <c r="D204" s="133" t="s">
        <v>151</v>
      </c>
      <c r="E204" s="14"/>
      <c r="F204" s="14" t="s">
        <v>205</v>
      </c>
      <c r="G204" s="132"/>
      <c r="H204" s="132"/>
      <c r="I204" s="13"/>
      <c r="J204" s="13"/>
      <c r="K204" s="13"/>
      <c r="L204" s="13"/>
      <c r="M204" s="13"/>
      <c r="N204" s="6"/>
    </row>
    <row r="205" spans="1:14" ht="15.75">
      <c r="A205" s="131"/>
      <c r="B205" s="14" t="s">
        <v>133</v>
      </c>
      <c r="C205" s="132"/>
      <c r="D205" s="133" t="s">
        <v>152</v>
      </c>
      <c r="E205" s="14"/>
      <c r="F205" s="14" t="s">
        <v>206</v>
      </c>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c r="C207" s="132"/>
      <c r="D207" s="133"/>
      <c r="E207" s="14"/>
      <c r="F207" s="14"/>
      <c r="G207" s="132"/>
      <c r="H207" s="132"/>
      <c r="I207" s="13"/>
      <c r="J207" s="13"/>
      <c r="K207" s="13"/>
      <c r="L207" s="13"/>
      <c r="M207" s="13"/>
      <c r="N207" s="6"/>
    </row>
    <row r="208" spans="1:14" ht="15.75">
      <c r="A208" s="131"/>
      <c r="B208" s="14" t="str">
        <f>B146</f>
        <v>PPAF2 INVESTOR REPORT QUARTER ENDING DECEMBER 2004</v>
      </c>
      <c r="C208" s="132"/>
      <c r="D208" s="133"/>
      <c r="E208" s="14"/>
      <c r="F208" s="14"/>
      <c r="G208" s="132"/>
      <c r="H208" s="132"/>
      <c r="I208" s="13"/>
      <c r="J208" s="13"/>
      <c r="K208" s="13"/>
      <c r="L208" s="13"/>
      <c r="M208" s="13"/>
      <c r="N208" s="6"/>
    </row>
    <row r="209" spans="1:13" ht="15">
      <c r="A209" s="134"/>
      <c r="B209" s="134"/>
      <c r="C209" s="134"/>
      <c r="D209" s="134"/>
      <c r="E209" s="134"/>
      <c r="F209" s="134"/>
      <c r="G209" s="134"/>
      <c r="H209" s="134"/>
      <c r="I209" s="134"/>
      <c r="J209" s="134"/>
      <c r="K209" s="134"/>
      <c r="L209" s="134"/>
      <c r="M209"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4" max="0" man="1"/>
  </rowBreaks>
  <drawing r:id="rId1"/>
</worksheet>
</file>

<file path=xl/worksheets/sheet13.xml><?xml version="1.0" encoding="utf-8"?>
<worksheet xmlns="http://schemas.openxmlformats.org/spreadsheetml/2006/main" xmlns:r="http://schemas.openxmlformats.org/officeDocument/2006/relationships">
  <dimension ref="A1:Q220"/>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207</v>
      </c>
      <c r="C5" s="12"/>
      <c r="D5" s="9"/>
      <c r="E5" s="9"/>
      <c r="F5" s="9"/>
      <c r="G5" s="9"/>
      <c r="H5" s="9"/>
      <c r="I5" s="9"/>
      <c r="J5" s="9"/>
      <c r="K5" s="9"/>
      <c r="L5" s="9"/>
      <c r="M5" s="9"/>
      <c r="N5" s="6"/>
    </row>
    <row r="6" spans="1:14" ht="15.75">
      <c r="A6" s="7"/>
      <c r="B6" s="11" t="s">
        <v>208</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v>0</v>
      </c>
      <c r="F15" s="18" t="s">
        <v>147</v>
      </c>
      <c r="G15" s="19">
        <v>0</v>
      </c>
      <c r="H15" s="18" t="s">
        <v>153</v>
      </c>
      <c r="I15" s="19">
        <v>0</v>
      </c>
      <c r="J15" s="18" t="s">
        <v>162</v>
      </c>
      <c r="K15" s="19">
        <v>0</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38469</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0</v>
      </c>
      <c r="D32" s="43">
        <v>0</v>
      </c>
      <c r="E32" s="44"/>
      <c r="F32" s="43">
        <v>0</v>
      </c>
      <c r="G32" s="43"/>
      <c r="H32" s="43">
        <v>0</v>
      </c>
      <c r="I32" s="43"/>
      <c r="J32" s="43"/>
      <c r="K32" s="45"/>
      <c r="L32" s="43">
        <f>J32+H32+F32+D32</f>
        <v>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0.0523813</v>
      </c>
      <c r="E34" s="48"/>
      <c r="F34" s="47">
        <v>0.0605813</v>
      </c>
      <c r="G34" s="47"/>
      <c r="H34" s="47">
        <v>0.0760813</v>
      </c>
      <c r="I34" s="49"/>
      <c r="J34" s="47"/>
      <c r="K34" s="30"/>
      <c r="L34" s="49">
        <v>0</v>
      </c>
      <c r="M34" s="27"/>
      <c r="N34" s="6"/>
    </row>
    <row r="35" spans="1:14" ht="15.75">
      <c r="A35" s="26"/>
      <c r="B35" s="27" t="s">
        <v>23</v>
      </c>
      <c r="C35" s="152"/>
      <c r="D35" s="47">
        <v>0.0527438</v>
      </c>
      <c r="E35" s="48"/>
      <c r="F35" s="47">
        <v>0.0609438</v>
      </c>
      <c r="G35" s="47"/>
      <c r="H35" s="47">
        <v>0.0764438</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v>0</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38457</v>
      </c>
      <c r="M45" s="31"/>
      <c r="N45" s="6"/>
    </row>
    <row r="46" spans="1:14" ht="15.75">
      <c r="A46" s="26"/>
      <c r="B46" s="27" t="s">
        <v>32</v>
      </c>
      <c r="C46" s="27"/>
      <c r="D46" s="27"/>
      <c r="E46" s="27"/>
      <c r="F46" s="27"/>
      <c r="G46" s="27"/>
      <c r="H46" s="30"/>
      <c r="I46" s="27">
        <f>L46-J46+1</f>
        <v>94</v>
      </c>
      <c r="J46" s="56">
        <v>38275</v>
      </c>
      <c r="K46" s="57"/>
      <c r="L46" s="56">
        <v>38368</v>
      </c>
      <c r="M46" s="27"/>
      <c r="N46" s="6"/>
    </row>
    <row r="47" spans="1:14" ht="15.75">
      <c r="A47" s="26"/>
      <c r="B47" s="27" t="s">
        <v>33</v>
      </c>
      <c r="C47" s="27"/>
      <c r="D47" s="27"/>
      <c r="E47" s="27"/>
      <c r="F47" s="27"/>
      <c r="G47" s="27"/>
      <c r="H47" s="30"/>
      <c r="I47" s="27">
        <f>L47-J47+1</f>
        <v>88</v>
      </c>
      <c r="J47" s="56">
        <v>38369</v>
      </c>
      <c r="K47" s="57"/>
      <c r="L47" s="56">
        <v>38456</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38443</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220</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157523</v>
      </c>
      <c r="E57" s="63"/>
      <c r="F57" s="63">
        <v>157523</v>
      </c>
      <c r="G57" s="63"/>
      <c r="H57" s="63">
        <v>0</v>
      </c>
      <c r="I57" s="63"/>
      <c r="J57" s="63">
        <v>0</v>
      </c>
      <c r="K57" s="63"/>
      <c r="L57" s="64">
        <f>D57-F57+H57-J57</f>
        <v>0</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14992</v>
      </c>
      <c r="E60" s="63"/>
      <c r="F60" s="63">
        <v>18107</v>
      </c>
      <c r="G60" s="63"/>
      <c r="H60" s="63">
        <v>3115</v>
      </c>
      <c r="I60" s="63"/>
      <c r="J60" s="63">
        <f>SUM(J57:J59)</f>
        <v>0</v>
      </c>
      <c r="K60" s="63"/>
      <c r="L60" s="64">
        <f>D60-F60+H60-J60</f>
        <v>0</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114459</v>
      </c>
      <c r="E63" s="63"/>
      <c r="F63" s="63">
        <v>128518</v>
      </c>
      <c r="G63" s="63"/>
      <c r="H63" s="63">
        <f>13864+195</f>
        <v>14059</v>
      </c>
      <c r="I63" s="63"/>
      <c r="J63" s="63">
        <v>0</v>
      </c>
      <c r="K63" s="63"/>
      <c r="L63" s="64">
        <f>D63-F63+H63-J63</f>
        <v>0</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43692</v>
      </c>
      <c r="E66" s="63"/>
      <c r="F66" s="63">
        <v>47994</v>
      </c>
      <c r="G66" s="63"/>
      <c r="H66" s="63">
        <v>4302</v>
      </c>
      <c r="I66" s="63"/>
      <c r="J66" s="63">
        <v>0</v>
      </c>
      <c r="K66" s="63"/>
      <c r="L66" s="64">
        <f>D66-F66+H66-J66</f>
        <v>0</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330666</v>
      </c>
      <c r="E69" s="63"/>
      <c r="F69" s="63">
        <f>SUM(F57:F67)</f>
        <v>352142</v>
      </c>
      <c r="G69" s="63"/>
      <c r="H69" s="63">
        <f>SUM(H57:H67)</f>
        <v>21476</v>
      </c>
      <c r="I69" s="63"/>
      <c r="J69" s="63">
        <f>SUM(J64:J68)</f>
        <v>0</v>
      </c>
      <c r="K69" s="63"/>
      <c r="L69" s="63">
        <f>SUM(L57:L68)</f>
        <v>0</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v>-137617</v>
      </c>
      <c r="D71" s="63">
        <v>-125393</v>
      </c>
      <c r="E71" s="63"/>
      <c r="F71" s="63">
        <v>-125393</v>
      </c>
      <c r="G71" s="63"/>
      <c r="H71" s="63"/>
      <c r="I71" s="63"/>
      <c r="J71" s="63"/>
      <c r="K71" s="63"/>
      <c r="L71" s="63">
        <f>D71-F71</f>
        <v>0</v>
      </c>
      <c r="M71" s="27"/>
      <c r="N71" s="6"/>
    </row>
    <row r="72" spans="1:14" ht="15.75">
      <c r="A72" s="26"/>
      <c r="B72" s="27" t="s">
        <v>45</v>
      </c>
      <c r="C72" s="63">
        <v>0</v>
      </c>
      <c r="D72" s="65">
        <v>39427</v>
      </c>
      <c r="E72" s="63"/>
      <c r="F72" s="63">
        <f>SUM(F69:F71)</f>
        <v>226749</v>
      </c>
      <c r="G72" s="63"/>
      <c r="H72" s="63">
        <f>-H69</f>
        <v>-21476</v>
      </c>
      <c r="I72" s="63"/>
      <c r="J72" s="63"/>
      <c r="K72" s="63"/>
      <c r="L72" s="65">
        <f>D72+F72+H72</f>
        <v>244700</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209</v>
      </c>
      <c r="C75" s="63">
        <v>0</v>
      </c>
      <c r="D75" s="65"/>
      <c r="E75" s="63"/>
      <c r="F75" s="63">
        <v>-244700</v>
      </c>
      <c r="G75" s="63"/>
      <c r="H75" s="63"/>
      <c r="I75" s="63"/>
      <c r="J75" s="63"/>
      <c r="K75" s="63"/>
      <c r="L75" s="65">
        <f>+F75</f>
        <v>-244700</v>
      </c>
      <c r="M75" s="27"/>
      <c r="N75" s="6"/>
    </row>
    <row r="76" spans="1:14" ht="15.75">
      <c r="A76" s="26"/>
      <c r="B76" s="27" t="s">
        <v>48</v>
      </c>
      <c r="C76" s="63">
        <v>0</v>
      </c>
      <c r="D76" s="65">
        <v>0</v>
      </c>
      <c r="E76" s="63"/>
      <c r="F76" s="63"/>
      <c r="G76" s="63"/>
      <c r="H76" s="153"/>
      <c r="I76" s="63"/>
      <c r="J76" s="63"/>
      <c r="K76" s="63"/>
      <c r="L76" s="65">
        <v>0</v>
      </c>
      <c r="M76" s="27"/>
      <c r="N76" s="6"/>
    </row>
    <row r="77" spans="1:14" ht="15.75">
      <c r="A77" s="26"/>
      <c r="B77" s="27" t="s">
        <v>20</v>
      </c>
      <c r="C77" s="65">
        <f>SUM(C69:C76)</f>
        <v>244700</v>
      </c>
      <c r="D77" s="65">
        <f>SUM(D69:D76)</f>
        <v>244700</v>
      </c>
      <c r="E77" s="63"/>
      <c r="F77" s="63">
        <v>0</v>
      </c>
      <c r="G77" s="63"/>
      <c r="H77" s="63"/>
      <c r="I77" s="63"/>
      <c r="J77" s="63"/>
      <c r="K77" s="63"/>
      <c r="L77" s="65">
        <f>SUM(L69:L76)</f>
        <v>0</v>
      </c>
      <c r="M77" s="27"/>
      <c r="N77" s="6"/>
    </row>
    <row r="78" spans="1:14" ht="15.75">
      <c r="A78" s="26"/>
      <c r="B78" s="63"/>
      <c r="C78" s="27"/>
      <c r="D78" s="27"/>
      <c r="E78" s="27"/>
      <c r="F78" s="27"/>
      <c r="G78" s="27"/>
      <c r="H78" s="27"/>
      <c r="I78" s="27"/>
      <c r="J78" s="34"/>
      <c r="K78" s="27"/>
      <c r="L78" s="34"/>
      <c r="M78" s="27"/>
      <c r="N78" s="6"/>
    </row>
    <row r="79" spans="1:14" ht="15.75">
      <c r="A79" s="7"/>
      <c r="B79" s="61" t="s">
        <v>49</v>
      </c>
      <c r="C79" s="15"/>
      <c r="D79" s="15"/>
      <c r="E79" s="15"/>
      <c r="F79" s="15"/>
      <c r="G79" s="15"/>
      <c r="H79" s="15"/>
      <c r="I79" s="18"/>
      <c r="J79" s="18"/>
      <c r="K79" s="18"/>
      <c r="L79" s="18" t="s">
        <v>188</v>
      </c>
      <c r="M79" s="15"/>
      <c r="N79" s="6"/>
    </row>
    <row r="80" spans="1:14" ht="15.75">
      <c r="A80" s="26"/>
      <c r="B80" s="27" t="s">
        <v>221</v>
      </c>
      <c r="C80" s="27"/>
      <c r="D80" s="27"/>
      <c r="E80" s="27"/>
      <c r="F80" s="27"/>
      <c r="G80" s="27"/>
      <c r="H80" s="27"/>
      <c r="I80" s="27"/>
      <c r="J80" s="63"/>
      <c r="K80" s="27"/>
      <c r="L80" s="64">
        <v>287208</v>
      </c>
      <c r="M80" s="27"/>
      <c r="N80" s="6"/>
    </row>
    <row r="81" spans="1:14" ht="15.75">
      <c r="A81" s="26"/>
      <c r="B81" s="27" t="s">
        <v>51</v>
      </c>
      <c r="C81" s="51"/>
      <c r="D81" s="55"/>
      <c r="E81" s="27"/>
      <c r="F81" s="27"/>
      <c r="G81" s="27"/>
      <c r="H81" s="27"/>
      <c r="I81" s="27"/>
      <c r="J81" s="63"/>
      <c r="K81" s="27"/>
      <c r="L81" s="64">
        <v>250</v>
      </c>
      <c r="M81" s="27"/>
      <c r="N81" s="6"/>
    </row>
    <row r="82" spans="1:14" ht="15.75">
      <c r="A82" s="26"/>
      <c r="B82" s="27" t="s">
        <v>210</v>
      </c>
      <c r="C82" s="51"/>
      <c r="D82" s="55"/>
      <c r="E82" s="27"/>
      <c r="F82" s="27"/>
      <c r="G82" s="27"/>
      <c r="H82" s="27"/>
      <c r="I82" s="27"/>
      <c r="J82" s="63"/>
      <c r="K82" s="27"/>
      <c r="L82" s="64">
        <v>-7125</v>
      </c>
      <c r="M82" s="27"/>
      <c r="N82" s="6"/>
    </row>
    <row r="83" spans="1:14" ht="15.75">
      <c r="A83" s="26"/>
      <c r="B83" s="27" t="s">
        <v>211</v>
      </c>
      <c r="C83" s="51"/>
      <c r="D83" s="55"/>
      <c r="E83" s="27"/>
      <c r="F83" s="27"/>
      <c r="G83" s="27"/>
      <c r="H83" s="27"/>
      <c r="I83" s="27"/>
      <c r="J83" s="63">
        <f>-L83</f>
        <v>244700</v>
      </c>
      <c r="K83" s="27"/>
      <c r="L83" s="64">
        <v>-244700</v>
      </c>
      <c r="M83" s="27"/>
      <c r="N83" s="6"/>
    </row>
    <row r="84" spans="1:15" ht="15.75">
      <c r="A84" s="26"/>
      <c r="B84" s="27" t="s">
        <v>198</v>
      </c>
      <c r="C84" s="27"/>
      <c r="D84" s="27"/>
      <c r="E84" s="27"/>
      <c r="F84" s="27"/>
      <c r="G84" s="27"/>
      <c r="H84" s="27"/>
      <c r="I84" s="27"/>
      <c r="J84" s="63"/>
      <c r="K84" s="27"/>
      <c r="L84" s="64">
        <v>0</v>
      </c>
      <c r="M84" s="27"/>
      <c r="N84" s="6"/>
      <c r="O84" s="69"/>
    </row>
    <row r="85" spans="1:15" ht="15.75">
      <c r="A85" s="26"/>
      <c r="B85" s="27" t="s">
        <v>54</v>
      </c>
      <c r="C85" s="27"/>
      <c r="D85" s="27"/>
      <c r="E85" s="27"/>
      <c r="F85" s="27"/>
      <c r="G85" s="27"/>
      <c r="H85" s="27"/>
      <c r="I85" s="27"/>
      <c r="J85" s="63"/>
      <c r="K85" s="27"/>
      <c r="L85" s="64">
        <f>SUM(L80:L84)</f>
        <v>35633</v>
      </c>
      <c r="M85" s="27"/>
      <c r="N85" s="6"/>
      <c r="O85" s="69"/>
    </row>
    <row r="86" spans="1:14" ht="15.75">
      <c r="A86" s="26"/>
      <c r="B86" s="27"/>
      <c r="C86" s="27"/>
      <c r="D86" s="27"/>
      <c r="E86" s="27"/>
      <c r="F86" s="27"/>
      <c r="G86" s="27"/>
      <c r="H86" s="27"/>
      <c r="I86" s="27"/>
      <c r="J86" s="63"/>
      <c r="K86" s="27"/>
      <c r="L86" s="65"/>
      <c r="M86" s="27"/>
      <c r="N86" s="6"/>
    </row>
    <row r="87" spans="1:15" ht="15.75">
      <c r="A87" s="26"/>
      <c r="B87" s="167" t="s">
        <v>55</v>
      </c>
      <c r="C87" s="70"/>
      <c r="D87" s="27"/>
      <c r="E87" s="27"/>
      <c r="F87" s="27"/>
      <c r="G87" s="27"/>
      <c r="H87" s="27"/>
      <c r="I87" s="27"/>
      <c r="J87" s="63"/>
      <c r="K87" s="27"/>
      <c r="L87" s="64"/>
      <c r="M87" s="27"/>
      <c r="N87" s="6"/>
      <c r="O87" s="69"/>
    </row>
    <row r="88" spans="1:14" ht="15.75">
      <c r="A88" s="26">
        <v>1</v>
      </c>
      <c r="B88" s="27" t="s">
        <v>56</v>
      </c>
      <c r="C88" s="27"/>
      <c r="D88" s="27"/>
      <c r="E88" s="27"/>
      <c r="F88" s="27"/>
      <c r="G88" s="27"/>
      <c r="H88" s="27"/>
      <c r="I88" s="27"/>
      <c r="J88" s="27"/>
      <c r="K88" s="27"/>
      <c r="L88" s="64">
        <v>-4</v>
      </c>
      <c r="M88" s="27"/>
      <c r="N88" s="6"/>
    </row>
    <row r="89" spans="1:15" ht="15.75">
      <c r="A89" s="26">
        <f aca="true" t="shared" si="0" ref="A89:A96">A88+1</f>
        <v>2</v>
      </c>
      <c r="B89" s="27" t="s">
        <v>57</v>
      </c>
      <c r="C89" s="27"/>
      <c r="D89" s="27"/>
      <c r="E89" s="27"/>
      <c r="F89" s="27"/>
      <c r="G89" s="27"/>
      <c r="H89" s="27"/>
      <c r="I89" s="27"/>
      <c r="J89" s="27"/>
      <c r="K89" s="27"/>
      <c r="L89" s="64">
        <f>-693-204</f>
        <v>-897</v>
      </c>
      <c r="M89" s="27"/>
      <c r="N89" s="6"/>
      <c r="O89" s="69"/>
    </row>
    <row r="90" spans="1:15" ht="15.75">
      <c r="A90" s="26">
        <f t="shared" si="0"/>
        <v>3</v>
      </c>
      <c r="B90" s="27" t="s">
        <v>58</v>
      </c>
      <c r="C90" s="27"/>
      <c r="D90" s="27"/>
      <c r="E90" s="27"/>
      <c r="F90" s="27"/>
      <c r="G90" s="27"/>
      <c r="H90" s="27"/>
      <c r="I90" s="27"/>
      <c r="J90" s="27"/>
      <c r="K90" s="27"/>
      <c r="L90" s="64">
        <v>-202</v>
      </c>
      <c r="M90" s="27"/>
      <c r="N90" s="6"/>
      <c r="O90" s="69"/>
    </row>
    <row r="91" spans="1:15" ht="15.75">
      <c r="A91" s="26">
        <f t="shared" si="0"/>
        <v>4</v>
      </c>
      <c r="B91" s="27" t="s">
        <v>59</v>
      </c>
      <c r="C91" s="27"/>
      <c r="D91" s="27"/>
      <c r="E91" s="27"/>
      <c r="F91" s="27"/>
      <c r="G91" s="27"/>
      <c r="H91" s="27"/>
      <c r="I91" s="27"/>
      <c r="J91" s="27"/>
      <c r="K91" s="27"/>
      <c r="L91" s="64">
        <v>-1855</v>
      </c>
      <c r="M91" s="27"/>
      <c r="N91" s="6"/>
      <c r="O91" s="69"/>
    </row>
    <row r="92" spans="1:14" ht="15.75">
      <c r="A92" s="26">
        <f t="shared" si="0"/>
        <v>5</v>
      </c>
      <c r="B92" s="27" t="s">
        <v>60</v>
      </c>
      <c r="C92" s="27"/>
      <c r="D92" s="27"/>
      <c r="E92" s="27"/>
      <c r="F92" s="27"/>
      <c r="G92" s="27"/>
      <c r="H92" s="27"/>
      <c r="I92" s="27"/>
      <c r="J92" s="27"/>
      <c r="K92" s="27"/>
      <c r="L92" s="64">
        <v>-5</v>
      </c>
      <c r="M92" s="27"/>
      <c r="N92" s="6"/>
    </row>
    <row r="93" spans="1:15" ht="15.75">
      <c r="A93" s="26">
        <f t="shared" si="0"/>
        <v>6</v>
      </c>
      <c r="B93" s="27" t="s">
        <v>61</v>
      </c>
      <c r="C93" s="27"/>
      <c r="D93" s="27"/>
      <c r="E93" s="27"/>
      <c r="F93" s="27"/>
      <c r="G93" s="27"/>
      <c r="H93" s="27"/>
      <c r="I93" s="27"/>
      <c r="J93" s="27"/>
      <c r="K93" s="27"/>
      <c r="L93" s="64">
        <v>-1036</v>
      </c>
      <c r="M93" s="27"/>
      <c r="N93" s="6"/>
      <c r="O93" s="69"/>
    </row>
    <row r="94" spans="1:15" ht="15.75">
      <c r="A94" s="26">
        <f t="shared" si="0"/>
        <v>7</v>
      </c>
      <c r="B94" s="27" t="s">
        <v>62</v>
      </c>
      <c r="C94" s="27"/>
      <c r="D94" s="27"/>
      <c r="E94" s="27"/>
      <c r="F94" s="27"/>
      <c r="G94" s="27"/>
      <c r="H94" s="27"/>
      <c r="I94" s="27"/>
      <c r="J94" s="27"/>
      <c r="K94" s="27"/>
      <c r="L94" s="64">
        <v>-493</v>
      </c>
      <c r="M94" s="27"/>
      <c r="N94" s="6"/>
      <c r="O94" s="69"/>
    </row>
    <row r="95" spans="1:14" ht="15.75">
      <c r="A95" s="26">
        <f t="shared" si="0"/>
        <v>8</v>
      </c>
      <c r="B95" s="27" t="s">
        <v>63</v>
      </c>
      <c r="C95" s="27"/>
      <c r="D95" s="27"/>
      <c r="E95" s="27"/>
      <c r="F95" s="27"/>
      <c r="G95" s="27"/>
      <c r="H95" s="27"/>
      <c r="I95" s="27"/>
      <c r="J95" s="27"/>
      <c r="K95" s="27"/>
      <c r="L95" s="64">
        <v>0</v>
      </c>
      <c r="M95" s="27"/>
      <c r="N95" s="6"/>
    </row>
    <row r="96" spans="1:15" ht="15.75">
      <c r="A96" s="26">
        <f t="shared" si="0"/>
        <v>9</v>
      </c>
      <c r="B96" s="27" t="s">
        <v>45</v>
      </c>
      <c r="C96" s="27"/>
      <c r="D96" s="27"/>
      <c r="E96" s="27"/>
      <c r="F96" s="27"/>
      <c r="G96" s="27"/>
      <c r="H96" s="27"/>
      <c r="I96" s="27"/>
      <c r="J96" s="63"/>
      <c r="K96" s="27"/>
      <c r="L96" s="64">
        <f>L85+SUM(L88:L94)-L97</f>
        <v>0</v>
      </c>
      <c r="M96" s="27"/>
      <c r="N96" s="6"/>
      <c r="O96" s="69"/>
    </row>
    <row r="97" spans="1:14" ht="15.75">
      <c r="A97" s="26">
        <f>A96+1</f>
        <v>10</v>
      </c>
      <c r="B97" s="27" t="s">
        <v>64</v>
      </c>
      <c r="C97" s="27"/>
      <c r="D97" s="27"/>
      <c r="E97" s="27"/>
      <c r="F97" s="27"/>
      <c r="G97" s="27"/>
      <c r="H97" s="27"/>
      <c r="I97" s="27"/>
      <c r="J97" s="27"/>
      <c r="K97" s="27"/>
      <c r="L97" s="64">
        <f>J205+SUM(L85:L94)+J207-J210</f>
        <v>31141</v>
      </c>
      <c r="M97" s="27"/>
      <c r="N97" s="6"/>
    </row>
    <row r="98" spans="1:15" ht="15.75">
      <c r="A98" s="26"/>
      <c r="B98" s="167" t="s">
        <v>212</v>
      </c>
      <c r="C98" s="27"/>
      <c r="D98" s="27"/>
      <c r="E98" s="27"/>
      <c r="F98" s="27"/>
      <c r="G98" s="27"/>
      <c r="H98" s="27"/>
      <c r="I98" s="27"/>
      <c r="J98" s="27"/>
      <c r="K98" s="27"/>
      <c r="L98" s="64"/>
      <c r="M98" s="27"/>
      <c r="N98" s="6"/>
      <c r="O98" s="172"/>
    </row>
    <row r="99" spans="1:14" ht="15.75">
      <c r="A99" s="26"/>
      <c r="B99" s="88" t="s">
        <v>213</v>
      </c>
      <c r="C99" s="27"/>
      <c r="D99" s="27"/>
      <c r="E99" s="27"/>
      <c r="F99" s="27"/>
      <c r="G99" s="27"/>
      <c r="H99" s="27"/>
      <c r="I99" s="27"/>
      <c r="J99" s="63">
        <f>+J83</f>
        <v>244700</v>
      </c>
      <c r="K99" s="27"/>
      <c r="L99" s="64"/>
      <c r="M99" s="27"/>
      <c r="N99" s="6"/>
    </row>
    <row r="100" spans="1:15" ht="15.75">
      <c r="A100" s="26"/>
      <c r="B100" s="27" t="s">
        <v>214</v>
      </c>
      <c r="C100" s="27"/>
      <c r="D100" s="27"/>
      <c r="E100" s="27"/>
      <c r="F100" s="27"/>
      <c r="G100" s="27"/>
      <c r="H100" s="27"/>
      <c r="I100" s="27"/>
      <c r="J100" s="27">
        <v>-146900</v>
      </c>
      <c r="K100" s="27"/>
      <c r="L100" s="64"/>
      <c r="M100" s="27"/>
      <c r="N100" s="6"/>
      <c r="O100" s="172"/>
    </row>
    <row r="101" spans="1:14" ht="15.75">
      <c r="A101" s="26"/>
      <c r="B101" s="27" t="s">
        <v>215</v>
      </c>
      <c r="C101" s="27"/>
      <c r="D101" s="27"/>
      <c r="E101" s="27"/>
      <c r="F101" s="27"/>
      <c r="G101" s="27"/>
      <c r="H101" s="27"/>
      <c r="I101" s="27"/>
      <c r="J101" s="27">
        <v>-70900</v>
      </c>
      <c r="K101" s="27"/>
      <c r="L101" s="64"/>
      <c r="M101" s="27"/>
      <c r="N101" s="6"/>
    </row>
    <row r="102" spans="1:14" ht="15.75">
      <c r="A102" s="26"/>
      <c r="B102" s="27" t="s">
        <v>216</v>
      </c>
      <c r="C102" s="27"/>
      <c r="D102" s="27"/>
      <c r="E102" s="27"/>
      <c r="F102" s="27"/>
      <c r="G102" s="27"/>
      <c r="H102" s="27"/>
      <c r="I102" s="27"/>
      <c r="J102" s="27">
        <v>-26900</v>
      </c>
      <c r="K102" s="27"/>
      <c r="L102" s="64"/>
      <c r="M102" s="27"/>
      <c r="N102" s="6"/>
    </row>
    <row r="103" spans="1:14" ht="15.75">
      <c r="A103" s="26"/>
      <c r="B103" s="27" t="s">
        <v>217</v>
      </c>
      <c r="C103" s="27"/>
      <c r="D103" s="27"/>
      <c r="E103" s="27"/>
      <c r="F103" s="27"/>
      <c r="G103" s="27"/>
      <c r="H103" s="27"/>
      <c r="I103" s="27"/>
      <c r="J103" s="27">
        <f>SUM(J100:J102)</f>
        <v>-244700</v>
      </c>
      <c r="K103" s="27"/>
      <c r="L103" s="64"/>
      <c r="M103" s="27"/>
      <c r="N103" s="6"/>
    </row>
    <row r="104" spans="1:14" ht="15.75">
      <c r="A104" s="26"/>
      <c r="B104" s="27" t="s">
        <v>218</v>
      </c>
      <c r="C104" s="27"/>
      <c r="D104" s="27"/>
      <c r="E104" s="27"/>
      <c r="F104" s="27"/>
      <c r="G104" s="27"/>
      <c r="H104" s="27"/>
      <c r="I104" s="27"/>
      <c r="J104" s="63">
        <f>J103+J99</f>
        <v>0</v>
      </c>
      <c r="K104" s="27"/>
      <c r="L104" s="64"/>
      <c r="M104" s="27"/>
      <c r="N104" s="6"/>
    </row>
    <row r="105" spans="1:14" ht="15.75">
      <c r="A105" s="26"/>
      <c r="B105" s="27"/>
      <c r="C105" s="27"/>
      <c r="D105" s="27"/>
      <c r="E105" s="27"/>
      <c r="F105" s="27"/>
      <c r="G105" s="27"/>
      <c r="H105" s="27"/>
      <c r="I105" s="27"/>
      <c r="J105" s="27"/>
      <c r="K105" s="27"/>
      <c r="L105" s="64"/>
      <c r="M105" s="27"/>
      <c r="N105" s="6"/>
    </row>
    <row r="106" spans="1:14" ht="15.75">
      <c r="A106" s="26"/>
      <c r="B106" s="30"/>
      <c r="C106" s="27"/>
      <c r="D106" s="27"/>
      <c r="E106" s="27"/>
      <c r="F106" s="27"/>
      <c r="G106" s="27"/>
      <c r="H106" s="27"/>
      <c r="I106" s="27"/>
      <c r="J106" s="63"/>
      <c r="K106" s="63"/>
      <c r="L106" s="63"/>
      <c r="M106" s="27"/>
      <c r="N106" s="6"/>
    </row>
    <row r="107" spans="1:14" ht="15.75">
      <c r="A107" s="7"/>
      <c r="B107" s="13"/>
      <c r="C107" s="9"/>
      <c r="D107" s="9"/>
      <c r="E107" s="9"/>
      <c r="F107" s="9"/>
      <c r="G107" s="9"/>
      <c r="H107" s="9"/>
      <c r="I107" s="9"/>
      <c r="J107" s="71"/>
      <c r="K107" s="71"/>
      <c r="L107" s="71"/>
      <c r="M107" s="9"/>
      <c r="N107" s="6"/>
    </row>
    <row r="108" spans="1:14" ht="16.5" thickBot="1">
      <c r="A108" s="141"/>
      <c r="B108" s="142" t="str">
        <f>B52</f>
        <v>PPAF2 INVESTOR REPORT QUARTER ENDING MARCH 2005</v>
      </c>
      <c r="C108" s="143"/>
      <c r="D108" s="143"/>
      <c r="E108" s="143"/>
      <c r="F108" s="143"/>
      <c r="G108" s="143"/>
      <c r="H108" s="143"/>
      <c r="I108" s="143"/>
      <c r="J108" s="146"/>
      <c r="K108" s="146"/>
      <c r="L108" s="146"/>
      <c r="M108" s="145"/>
      <c r="N108" s="6"/>
    </row>
    <row r="109" spans="1:14" ht="15.75">
      <c r="A109" s="2"/>
      <c r="B109" s="5"/>
      <c r="C109" s="5"/>
      <c r="D109" s="5"/>
      <c r="E109" s="5"/>
      <c r="F109" s="5"/>
      <c r="G109" s="5"/>
      <c r="H109" s="5"/>
      <c r="I109" s="5"/>
      <c r="J109" s="72"/>
      <c r="K109" s="72"/>
      <c r="L109" s="72"/>
      <c r="M109" s="5"/>
      <c r="N109" s="6"/>
    </row>
    <row r="110" spans="1:14" ht="15.75">
      <c r="A110" s="73"/>
      <c r="B110" s="74" t="s">
        <v>65</v>
      </c>
      <c r="C110" s="75"/>
      <c r="D110" s="75"/>
      <c r="E110" s="75"/>
      <c r="F110" s="75"/>
      <c r="G110" s="75"/>
      <c r="H110" s="75"/>
      <c r="I110" s="75"/>
      <c r="J110" s="75"/>
      <c r="K110" s="75"/>
      <c r="L110" s="76"/>
      <c r="M110" s="77"/>
      <c r="N110" s="6"/>
    </row>
    <row r="111" spans="1:14" ht="15.75">
      <c r="A111" s="73"/>
      <c r="B111" s="75"/>
      <c r="C111" s="75"/>
      <c r="D111" s="75"/>
      <c r="E111" s="75"/>
      <c r="F111" s="75"/>
      <c r="G111" s="75"/>
      <c r="H111" s="75"/>
      <c r="I111" s="75"/>
      <c r="J111" s="75"/>
      <c r="K111" s="75"/>
      <c r="L111" s="76"/>
      <c r="M111" s="75"/>
      <c r="N111" s="6"/>
    </row>
    <row r="112" spans="1:14" ht="15.75">
      <c r="A112" s="7"/>
      <c r="B112" s="168" t="s">
        <v>66</v>
      </c>
      <c r="C112" s="14"/>
      <c r="D112" s="9"/>
      <c r="E112" s="9"/>
      <c r="F112" s="9"/>
      <c r="G112" s="9"/>
      <c r="H112" s="9"/>
      <c r="I112" s="9"/>
      <c r="J112" s="9"/>
      <c r="K112" s="9"/>
      <c r="L112" s="62"/>
      <c r="M112" s="9"/>
      <c r="N112" s="6"/>
    </row>
    <row r="113" spans="1:14" ht="15.75">
      <c r="A113" s="26"/>
      <c r="B113" s="27" t="s">
        <v>67</v>
      </c>
      <c r="C113" s="27"/>
      <c r="D113" s="27"/>
      <c r="E113" s="27"/>
      <c r="F113" s="27"/>
      <c r="G113" s="27"/>
      <c r="H113" s="27"/>
      <c r="I113" s="27"/>
      <c r="J113" s="27"/>
      <c r="K113" s="27"/>
      <c r="L113" s="64">
        <v>7125</v>
      </c>
      <c r="M113" s="27"/>
      <c r="N113" s="6"/>
    </row>
    <row r="114" spans="1:14" ht="15.75">
      <c r="A114" s="26"/>
      <c r="B114" s="27" t="s">
        <v>68</v>
      </c>
      <c r="C114" s="27"/>
      <c r="D114" s="27"/>
      <c r="E114" s="27"/>
      <c r="F114" s="27"/>
      <c r="G114" s="27"/>
      <c r="H114" s="27"/>
      <c r="I114" s="27"/>
      <c r="J114" s="27"/>
      <c r="K114" s="27"/>
      <c r="L114" s="64">
        <v>0</v>
      </c>
      <c r="M114" s="27"/>
      <c r="N114" s="6"/>
    </row>
    <row r="115" spans="1:14" ht="15.75">
      <c r="A115" s="26"/>
      <c r="B115" s="27" t="s">
        <v>219</v>
      </c>
      <c r="C115" s="27"/>
      <c r="D115" s="27"/>
      <c r="E115" s="27"/>
      <c r="F115" s="27"/>
      <c r="G115" s="27"/>
      <c r="H115" s="27"/>
      <c r="I115" s="27"/>
      <c r="J115" s="27"/>
      <c r="K115" s="27"/>
      <c r="L115" s="64">
        <v>-7125</v>
      </c>
      <c r="M115" s="27"/>
      <c r="N115" s="6"/>
    </row>
    <row r="116" spans="1:14" ht="15.75">
      <c r="A116" s="26"/>
      <c r="B116" s="27" t="s">
        <v>69</v>
      </c>
      <c r="C116" s="27"/>
      <c r="D116" s="27"/>
      <c r="E116" s="27"/>
      <c r="F116" s="27"/>
      <c r="G116" s="27"/>
      <c r="H116" s="27"/>
      <c r="I116" s="27"/>
      <c r="J116" s="27"/>
      <c r="K116" s="27"/>
      <c r="L116" s="64">
        <v>0</v>
      </c>
      <c r="M116" s="27"/>
      <c r="N116" s="6"/>
    </row>
    <row r="117" spans="1:14" ht="15.75">
      <c r="A117" s="26"/>
      <c r="B117" s="27" t="s">
        <v>59</v>
      </c>
      <c r="C117" s="27"/>
      <c r="D117" s="27"/>
      <c r="E117" s="27"/>
      <c r="F117" s="27"/>
      <c r="G117" s="27"/>
      <c r="H117" s="27"/>
      <c r="I117" s="27"/>
      <c r="J117" s="27"/>
      <c r="K117" s="27"/>
      <c r="L117" s="64">
        <v>0</v>
      </c>
      <c r="M117" s="27"/>
      <c r="N117" s="6"/>
    </row>
    <row r="118" spans="1:14" ht="15.75">
      <c r="A118" s="26"/>
      <c r="B118" s="27" t="s">
        <v>61</v>
      </c>
      <c r="C118" s="27"/>
      <c r="D118" s="27"/>
      <c r="E118" s="27"/>
      <c r="F118" s="27"/>
      <c r="G118" s="27"/>
      <c r="H118" s="27"/>
      <c r="I118" s="27"/>
      <c r="J118" s="27"/>
      <c r="K118" s="27"/>
      <c r="L118" s="64">
        <v>0</v>
      </c>
      <c r="M118" s="27"/>
      <c r="N118" s="6"/>
    </row>
    <row r="119" spans="1:14" ht="15.75">
      <c r="A119" s="26"/>
      <c r="B119" s="27" t="s">
        <v>62</v>
      </c>
      <c r="C119" s="27"/>
      <c r="D119" s="27"/>
      <c r="E119" s="27"/>
      <c r="F119" s="27"/>
      <c r="G119" s="27"/>
      <c r="H119" s="27"/>
      <c r="I119" s="27"/>
      <c r="J119" s="27"/>
      <c r="K119" s="27"/>
      <c r="L119" s="64">
        <v>0</v>
      </c>
      <c r="M119" s="27"/>
      <c r="N119" s="6"/>
    </row>
    <row r="120" spans="1:14" ht="15.75">
      <c r="A120" s="26"/>
      <c r="B120" s="27" t="s">
        <v>70</v>
      </c>
      <c r="C120" s="27"/>
      <c r="D120" s="27"/>
      <c r="E120" s="27"/>
      <c r="F120" s="27"/>
      <c r="G120" s="27"/>
      <c r="H120" s="27"/>
      <c r="I120" s="27"/>
      <c r="J120" s="27"/>
      <c r="K120" s="27"/>
      <c r="L120" s="64">
        <f>L113-L119-L118-L117+L115</f>
        <v>0</v>
      </c>
      <c r="M120" s="27"/>
      <c r="N120" s="6"/>
    </row>
    <row r="121" spans="1:14" ht="15.75">
      <c r="A121" s="26"/>
      <c r="B121" s="27"/>
      <c r="C121" s="27"/>
      <c r="D121" s="27"/>
      <c r="E121" s="27"/>
      <c r="F121" s="27"/>
      <c r="G121" s="27"/>
      <c r="H121" s="27"/>
      <c r="I121" s="27"/>
      <c r="J121" s="27"/>
      <c r="K121" s="27"/>
      <c r="L121" s="78"/>
      <c r="M121" s="27"/>
      <c r="N121" s="6"/>
    </row>
    <row r="122" spans="1:14" ht="15.75">
      <c r="A122" s="7"/>
      <c r="B122" s="168" t="s">
        <v>71</v>
      </c>
      <c r="C122" s="14"/>
      <c r="D122" s="9"/>
      <c r="E122" s="9"/>
      <c r="F122" s="9"/>
      <c r="G122" s="154"/>
      <c r="H122" s="9"/>
      <c r="I122" s="9"/>
      <c r="J122" s="9"/>
      <c r="K122" s="9"/>
      <c r="L122" s="80"/>
      <c r="M122" s="9"/>
      <c r="N122" s="6"/>
    </row>
    <row r="123" spans="1:14" ht="15.75">
      <c r="A123" s="7"/>
      <c r="B123" s="14"/>
      <c r="C123" s="18" t="s">
        <v>137</v>
      </c>
      <c r="D123" s="18" t="s">
        <v>147</v>
      </c>
      <c r="E123" s="18" t="s">
        <v>153</v>
      </c>
      <c r="F123" s="18" t="s">
        <v>162</v>
      </c>
      <c r="G123" s="154"/>
      <c r="H123" s="154"/>
      <c r="I123" s="9"/>
      <c r="J123" s="9"/>
      <c r="K123" s="9"/>
      <c r="L123" s="80"/>
      <c r="M123" s="9"/>
      <c r="N123" s="6"/>
    </row>
    <row r="124" spans="1:14" ht="15.75">
      <c r="A124" s="26"/>
      <c r="B124" s="27" t="s">
        <v>199</v>
      </c>
      <c r="C124" s="63">
        <v>0</v>
      </c>
      <c r="D124" s="63">
        <v>0</v>
      </c>
      <c r="E124" s="63">
        <v>0</v>
      </c>
      <c r="F124" s="63">
        <v>0</v>
      </c>
      <c r="G124" s="153"/>
      <c r="H124" s="153"/>
      <c r="I124" s="27"/>
      <c r="J124" s="27"/>
      <c r="K124" s="27"/>
      <c r="L124" s="64">
        <f>SUM(C124:F124)</f>
        <v>0</v>
      </c>
      <c r="M124" s="27"/>
      <c r="N124" s="6"/>
    </row>
    <row r="125" spans="1:14" ht="15.75">
      <c r="A125" s="26"/>
      <c r="B125" s="27" t="s">
        <v>72</v>
      </c>
      <c r="C125" s="27">
        <v>0</v>
      </c>
      <c r="D125" s="27">
        <v>0</v>
      </c>
      <c r="E125" s="27">
        <v>0</v>
      </c>
      <c r="F125" s="27">
        <v>0</v>
      </c>
      <c r="G125" s="153"/>
      <c r="H125" s="153"/>
      <c r="I125" s="27"/>
      <c r="J125" s="27"/>
      <c r="K125" s="27"/>
      <c r="L125" s="64">
        <f>SUM(C125:F125)</f>
        <v>0</v>
      </c>
      <c r="M125" s="27"/>
      <c r="N125" s="6"/>
    </row>
    <row r="126" spans="1:14" ht="15.75">
      <c r="A126" s="26"/>
      <c r="B126" s="27" t="s">
        <v>73</v>
      </c>
      <c r="C126" s="27"/>
      <c r="D126" s="27"/>
      <c r="E126" s="27"/>
      <c r="F126" s="27"/>
      <c r="G126" s="27"/>
      <c r="H126" s="27"/>
      <c r="I126" s="27"/>
      <c r="J126" s="27"/>
      <c r="K126" s="27"/>
      <c r="L126" s="64">
        <f>SUM(L124:L125)</f>
        <v>0</v>
      </c>
      <c r="M126" s="27"/>
      <c r="N126" s="6"/>
    </row>
    <row r="127" spans="1:14" ht="15.75">
      <c r="A127" s="7"/>
      <c r="B127" s="168" t="s">
        <v>74</v>
      </c>
      <c r="C127" s="14"/>
      <c r="D127" s="9"/>
      <c r="E127" s="9"/>
      <c r="F127" s="9"/>
      <c r="G127" s="9"/>
      <c r="H127" s="9"/>
      <c r="I127" s="9"/>
      <c r="J127" s="9"/>
      <c r="K127" s="9"/>
      <c r="L127" s="62"/>
      <c r="M127" s="9"/>
      <c r="N127" s="6"/>
    </row>
    <row r="128" spans="1:15" ht="15.75">
      <c r="A128" s="26"/>
      <c r="B128" s="27" t="s">
        <v>75</v>
      </c>
      <c r="C128" s="82"/>
      <c r="D128" s="27"/>
      <c r="E128" s="27"/>
      <c r="F128" s="27"/>
      <c r="G128" s="27"/>
      <c r="H128" s="27"/>
      <c r="I128" s="27"/>
      <c r="J128" s="27"/>
      <c r="K128" s="27"/>
      <c r="L128" s="64">
        <f>L69</f>
        <v>0</v>
      </c>
      <c r="M128" s="27"/>
      <c r="N128" s="6"/>
      <c r="O128" s="172"/>
    </row>
    <row r="129" spans="1:15" ht="15.75">
      <c r="A129" s="26"/>
      <c r="B129" s="27" t="s">
        <v>76</v>
      </c>
      <c r="C129" s="82"/>
      <c r="D129" s="27"/>
      <c r="E129" s="27"/>
      <c r="F129" s="27"/>
      <c r="G129" s="27"/>
      <c r="H129" s="27"/>
      <c r="I129" s="27"/>
      <c r="J129" s="27"/>
      <c r="K129" s="27"/>
      <c r="L129" s="64">
        <v>0</v>
      </c>
      <c r="M129" s="27"/>
      <c r="N129" s="6"/>
      <c r="O129" s="172"/>
    </row>
    <row r="130" spans="1:15" ht="15.75">
      <c r="A130" s="26"/>
      <c r="B130" s="27" t="s">
        <v>77</v>
      </c>
      <c r="C130" s="82"/>
      <c r="D130" s="27"/>
      <c r="E130" s="27"/>
      <c r="F130" s="27"/>
      <c r="G130" s="27"/>
      <c r="H130" s="27"/>
      <c r="I130" s="27"/>
      <c r="J130" s="27"/>
      <c r="K130" s="27"/>
      <c r="L130" s="64">
        <v>0</v>
      </c>
      <c r="M130" s="27"/>
      <c r="N130" s="6"/>
      <c r="O130" s="69"/>
    </row>
    <row r="131" spans="1:15" ht="15.75">
      <c r="A131" s="26"/>
      <c r="B131" s="27" t="s">
        <v>78</v>
      </c>
      <c r="C131" s="82"/>
      <c r="D131" s="27"/>
      <c r="E131" s="27"/>
      <c r="F131" s="27"/>
      <c r="G131" s="27"/>
      <c r="H131" s="27"/>
      <c r="I131" s="27"/>
      <c r="J131" s="27"/>
      <c r="K131" s="27"/>
      <c r="L131" s="64">
        <f>L77</f>
        <v>0</v>
      </c>
      <c r="M131" s="27"/>
      <c r="N131" s="6"/>
      <c r="O131" s="172"/>
    </row>
    <row r="132" spans="1:15" ht="15.75">
      <c r="A132" s="26"/>
      <c r="B132" s="27"/>
      <c r="C132" s="27"/>
      <c r="D132" s="27"/>
      <c r="E132" s="27"/>
      <c r="F132" s="27"/>
      <c r="G132" s="27"/>
      <c r="H132" s="27"/>
      <c r="I132" s="27"/>
      <c r="J132" s="27"/>
      <c r="K132" s="27"/>
      <c r="L132" s="83"/>
      <c r="M132" s="27"/>
      <c r="N132" s="6"/>
      <c r="O132" s="69"/>
    </row>
    <row r="133" spans="1:14" ht="15.75">
      <c r="A133" s="7"/>
      <c r="B133" s="168" t="s">
        <v>79</v>
      </c>
      <c r="C133" s="156"/>
      <c r="D133" s="156"/>
      <c r="E133" s="156"/>
      <c r="F133" s="156"/>
      <c r="G133" s="156"/>
      <c r="H133" s="157" t="s">
        <v>173</v>
      </c>
      <c r="I133" s="169"/>
      <c r="J133" s="157" t="s">
        <v>176</v>
      </c>
      <c r="K133" s="156"/>
      <c r="L133" s="170" t="s">
        <v>128</v>
      </c>
      <c r="M133" s="9"/>
      <c r="N133" s="6"/>
    </row>
    <row r="134" spans="1:14" ht="15.75">
      <c r="A134" s="26"/>
      <c r="B134" s="27" t="s">
        <v>80</v>
      </c>
      <c r="C134" s="27"/>
      <c r="D134" s="27"/>
      <c r="E134" s="27"/>
      <c r="F134" s="27"/>
      <c r="G134" s="27"/>
      <c r="H134" s="64">
        <v>0</v>
      </c>
      <c r="I134" s="27"/>
      <c r="J134" s="84" t="s">
        <v>177</v>
      </c>
      <c r="K134" s="27"/>
      <c r="L134" s="64">
        <f>H134</f>
        <v>0</v>
      </c>
      <c r="M134" s="27"/>
      <c r="N134" s="6"/>
    </row>
    <row r="135" spans="1:14" ht="15.75">
      <c r="A135" s="26"/>
      <c r="B135" s="27" t="s">
        <v>81</v>
      </c>
      <c r="C135" s="27"/>
      <c r="D135" s="27"/>
      <c r="E135" s="27"/>
      <c r="F135" s="27"/>
      <c r="G135" s="27"/>
      <c r="H135" s="64">
        <f>+'Dec 04'!H126</f>
        <v>993</v>
      </c>
      <c r="I135" s="27"/>
      <c r="J135" s="84" t="s">
        <v>177</v>
      </c>
      <c r="K135" s="27"/>
      <c r="L135" s="64">
        <f>H135</f>
        <v>993</v>
      </c>
      <c r="M135" s="27"/>
      <c r="N135" s="6"/>
    </row>
    <row r="136" spans="1:14" ht="15.75">
      <c r="A136" s="26"/>
      <c r="B136" s="27" t="s">
        <v>82</v>
      </c>
      <c r="C136" s="27"/>
      <c r="D136" s="27"/>
      <c r="E136" s="27"/>
      <c r="F136" s="27"/>
      <c r="G136" s="27"/>
      <c r="H136" s="64">
        <v>195</v>
      </c>
      <c r="I136" s="27"/>
      <c r="J136" s="84" t="s">
        <v>177</v>
      </c>
      <c r="K136" s="27"/>
      <c r="L136" s="64">
        <f>H136</f>
        <v>195</v>
      </c>
      <c r="M136" s="27"/>
      <c r="N136" s="6"/>
    </row>
    <row r="137" spans="1:14" ht="15.75">
      <c r="A137" s="26"/>
      <c r="B137" s="27" t="s">
        <v>83</v>
      </c>
      <c r="C137" s="27"/>
      <c r="D137" s="27"/>
      <c r="E137" s="27"/>
      <c r="F137" s="27"/>
      <c r="G137" s="27"/>
      <c r="H137" s="64">
        <f>SUM(H135:H136)</f>
        <v>1188</v>
      </c>
      <c r="I137" s="27"/>
      <c r="J137" s="84" t="s">
        <v>177</v>
      </c>
      <c r="K137" s="27"/>
      <c r="L137" s="64">
        <f>H137</f>
        <v>1188</v>
      </c>
      <c r="M137" s="27"/>
      <c r="N137" s="6"/>
    </row>
    <row r="138" spans="1:14" ht="15.75">
      <c r="A138" s="26"/>
      <c r="B138" s="27" t="s">
        <v>84</v>
      </c>
      <c r="C138" s="27"/>
      <c r="D138" s="27"/>
      <c r="E138" s="27"/>
      <c r="F138" s="27"/>
      <c r="G138" s="27"/>
      <c r="H138" s="64">
        <v>0</v>
      </c>
      <c r="I138" s="27"/>
      <c r="J138" s="84" t="s">
        <v>177</v>
      </c>
      <c r="K138" s="27"/>
      <c r="L138" s="64">
        <f>H138</f>
        <v>0</v>
      </c>
      <c r="M138" s="27"/>
      <c r="N138" s="6"/>
    </row>
    <row r="139" spans="1:14" ht="15.75">
      <c r="A139" s="26"/>
      <c r="B139" s="27"/>
      <c r="C139" s="27"/>
      <c r="D139" s="27"/>
      <c r="E139" s="27"/>
      <c r="F139" s="27"/>
      <c r="G139" s="27"/>
      <c r="H139" s="27"/>
      <c r="I139" s="27"/>
      <c r="J139" s="27"/>
      <c r="K139" s="27"/>
      <c r="L139" s="27"/>
      <c r="M139" s="27"/>
      <c r="N139" s="6"/>
    </row>
    <row r="140" spans="1:14" ht="15.75">
      <c r="A140" s="26"/>
      <c r="B140" s="30"/>
      <c r="C140" s="30"/>
      <c r="D140" s="30"/>
      <c r="E140" s="30"/>
      <c r="F140" s="30"/>
      <c r="G140" s="30"/>
      <c r="H140" s="30"/>
      <c r="I140" s="30"/>
      <c r="J140" s="30"/>
      <c r="K140" s="30"/>
      <c r="L140" s="30"/>
      <c r="M140" s="30"/>
      <c r="N140" s="6"/>
    </row>
    <row r="141" spans="1:14" ht="15.75">
      <c r="A141" s="85"/>
      <c r="B141" s="61" t="s">
        <v>85</v>
      </c>
      <c r="C141" s="86"/>
      <c r="D141" s="86"/>
      <c r="E141" s="86"/>
      <c r="F141" s="86"/>
      <c r="G141" s="20"/>
      <c r="H141" s="20"/>
      <c r="I141" s="20"/>
      <c r="J141" s="20">
        <v>38442</v>
      </c>
      <c r="K141" s="16"/>
      <c r="L141" s="16"/>
      <c r="M141" s="9"/>
      <c r="N141" s="6"/>
    </row>
    <row r="142" spans="1:14" ht="15.75">
      <c r="A142" s="87"/>
      <c r="B142" s="88" t="s">
        <v>86</v>
      </c>
      <c r="C142" s="89"/>
      <c r="D142" s="89"/>
      <c r="E142" s="89"/>
      <c r="F142" s="89"/>
      <c r="G142" s="90"/>
      <c r="H142" s="90"/>
      <c r="I142" s="90"/>
      <c r="J142" s="91">
        <v>0.167</v>
      </c>
      <c r="K142" s="27"/>
      <c r="L142" s="27"/>
      <c r="M142" s="27"/>
      <c r="N142" s="6"/>
    </row>
    <row r="143" spans="1:14" ht="15.75">
      <c r="A143" s="87"/>
      <c r="B143" s="88" t="s">
        <v>87</v>
      </c>
      <c r="C143" s="89"/>
      <c r="D143" s="89"/>
      <c r="E143" s="89"/>
      <c r="F143" s="89"/>
      <c r="G143" s="90"/>
      <c r="H143" s="90"/>
      <c r="I143" s="90"/>
      <c r="J143" s="91">
        <v>0.0491</v>
      </c>
      <c r="K143" s="91"/>
      <c r="L143" s="27"/>
      <c r="M143" s="27"/>
      <c r="N143" s="6"/>
    </row>
    <row r="144" spans="1:14" ht="15.75">
      <c r="A144" s="87"/>
      <c r="B144" s="88" t="s">
        <v>88</v>
      </c>
      <c r="C144" s="89"/>
      <c r="D144" s="89"/>
      <c r="E144" s="89"/>
      <c r="F144" s="89"/>
      <c r="G144" s="90"/>
      <c r="H144" s="90"/>
      <c r="I144" s="90"/>
      <c r="J144" s="91">
        <f>J142-J143</f>
        <v>0.1179</v>
      </c>
      <c r="K144" s="27"/>
      <c r="L144" s="27"/>
      <c r="M144" s="27"/>
      <c r="N144" s="6"/>
    </row>
    <row r="145" spans="1:14" ht="15.75">
      <c r="A145" s="87"/>
      <c r="B145" s="88" t="s">
        <v>89</v>
      </c>
      <c r="C145" s="89"/>
      <c r="D145" s="89"/>
      <c r="E145" s="89"/>
      <c r="F145" s="89"/>
      <c r="G145" s="90"/>
      <c r="H145" s="90"/>
      <c r="I145" s="90"/>
      <c r="J145" s="91">
        <v>0.1351</v>
      </c>
      <c r="K145" s="27"/>
      <c r="L145" s="27"/>
      <c r="M145" s="27"/>
      <c r="N145" s="6"/>
    </row>
    <row r="146" spans="1:14" ht="15.75">
      <c r="A146" s="87"/>
      <c r="B146" s="88" t="s">
        <v>90</v>
      </c>
      <c r="C146" s="89"/>
      <c r="D146" s="89"/>
      <c r="E146" s="89"/>
      <c r="F146" s="89"/>
      <c r="G146" s="90"/>
      <c r="H146" s="90"/>
      <c r="I146" s="90"/>
      <c r="J146" s="91">
        <f>L34</f>
        <v>0</v>
      </c>
      <c r="K146" s="27"/>
      <c r="L146" s="27"/>
      <c r="M146" s="27"/>
      <c r="N146" s="6"/>
    </row>
    <row r="147" spans="1:14" ht="15.75">
      <c r="A147" s="87"/>
      <c r="B147" s="88" t="s">
        <v>91</v>
      </c>
      <c r="C147" s="89"/>
      <c r="D147" s="89"/>
      <c r="E147" s="89"/>
      <c r="F147" s="89"/>
      <c r="G147" s="90"/>
      <c r="H147" s="90"/>
      <c r="I147" s="90"/>
      <c r="J147" s="91">
        <v>0</v>
      </c>
      <c r="K147" s="27"/>
      <c r="L147" s="27"/>
      <c r="M147" s="27"/>
      <c r="N147" s="6"/>
    </row>
    <row r="148" spans="1:14" ht="15.75">
      <c r="A148" s="87"/>
      <c r="B148" s="88" t="s">
        <v>92</v>
      </c>
      <c r="C148" s="89"/>
      <c r="D148" s="89"/>
      <c r="E148" s="89"/>
      <c r="F148" s="89"/>
      <c r="G148" s="90"/>
      <c r="H148" s="90"/>
      <c r="I148" s="90"/>
      <c r="J148" s="91" t="s">
        <v>178</v>
      </c>
      <c r="K148" s="27"/>
      <c r="L148" s="27"/>
      <c r="M148" s="27"/>
      <c r="N148" s="6"/>
    </row>
    <row r="149" spans="1:14" ht="15.75">
      <c r="A149" s="87"/>
      <c r="B149" s="88" t="s">
        <v>93</v>
      </c>
      <c r="C149" s="89"/>
      <c r="D149" s="89"/>
      <c r="E149" s="89"/>
      <c r="F149" s="89"/>
      <c r="G149" s="90"/>
      <c r="H149" s="90"/>
      <c r="I149" s="90"/>
      <c r="J149" s="91" t="s">
        <v>179</v>
      </c>
      <c r="K149" s="27"/>
      <c r="L149" s="27"/>
      <c r="M149" s="27"/>
      <c r="N149" s="6"/>
    </row>
    <row r="150" spans="1:14" ht="15.75">
      <c r="A150" s="87"/>
      <c r="B150" s="88" t="s">
        <v>94</v>
      </c>
      <c r="C150" s="89"/>
      <c r="D150" s="89"/>
      <c r="E150" s="89"/>
      <c r="F150" s="89"/>
      <c r="G150" s="90"/>
      <c r="H150" s="90"/>
      <c r="I150" s="90"/>
      <c r="J150" s="91" t="s">
        <v>180</v>
      </c>
      <c r="K150" s="27"/>
      <c r="L150" s="27"/>
      <c r="M150" s="27"/>
      <c r="N150" s="6"/>
    </row>
    <row r="151" spans="1:14" ht="15.75">
      <c r="A151" s="87"/>
      <c r="B151" s="88" t="s">
        <v>95</v>
      </c>
      <c r="C151" s="89"/>
      <c r="D151" s="89"/>
      <c r="E151" s="89"/>
      <c r="F151" s="89"/>
      <c r="G151" s="90"/>
      <c r="H151" s="90"/>
      <c r="I151" s="90"/>
      <c r="J151" s="92">
        <v>11.56</v>
      </c>
      <c r="K151" s="27"/>
      <c r="L151" s="27"/>
      <c r="M151" s="27"/>
      <c r="N151" s="6"/>
    </row>
    <row r="152" spans="1:14" ht="15.75">
      <c r="A152" s="87"/>
      <c r="B152" s="88" t="s">
        <v>96</v>
      </c>
      <c r="C152" s="89"/>
      <c r="D152" s="89"/>
      <c r="E152" s="89"/>
      <c r="F152" s="89"/>
      <c r="G152" s="90"/>
      <c r="H152" s="90"/>
      <c r="I152" s="90"/>
      <c r="J152" s="92">
        <v>0</v>
      </c>
      <c r="K152" s="27"/>
      <c r="L152" s="27"/>
      <c r="M152" s="27"/>
      <c r="N152" s="6"/>
    </row>
    <row r="153" spans="1:14" ht="15.75">
      <c r="A153" s="87"/>
      <c r="B153" s="88" t="s">
        <v>97</v>
      </c>
      <c r="C153" s="89"/>
      <c r="D153" s="89"/>
      <c r="E153" s="89"/>
      <c r="F153" s="89"/>
      <c r="G153" s="90"/>
      <c r="H153" s="90"/>
      <c r="I153" s="90"/>
      <c r="J153" s="91">
        <v>1</v>
      </c>
      <c r="K153" s="27"/>
      <c r="L153" s="27"/>
      <c r="M153" s="27"/>
      <c r="N153" s="6"/>
    </row>
    <row r="154" spans="1:14" ht="15.75">
      <c r="A154" s="87"/>
      <c r="B154" s="88" t="s">
        <v>98</v>
      </c>
      <c r="C154" s="89"/>
      <c r="D154" s="89"/>
      <c r="E154" s="89"/>
      <c r="F154" s="89"/>
      <c r="G154" s="90"/>
      <c r="H154" s="90"/>
      <c r="I154" s="90"/>
      <c r="J154" s="91">
        <v>1</v>
      </c>
      <c r="K154" s="27"/>
      <c r="L154" s="27"/>
      <c r="M154" s="27"/>
      <c r="N154" s="6"/>
    </row>
    <row r="155" spans="1:14" ht="15.75">
      <c r="A155" s="87"/>
      <c r="B155" s="88"/>
      <c r="C155" s="88"/>
      <c r="D155" s="88"/>
      <c r="E155" s="88"/>
      <c r="F155" s="88"/>
      <c r="G155" s="27"/>
      <c r="H155" s="27"/>
      <c r="I155" s="34"/>
      <c r="J155" s="93"/>
      <c r="K155" s="27"/>
      <c r="L155" s="94"/>
      <c r="M155" s="27"/>
      <c r="N155" s="6"/>
    </row>
    <row r="156" spans="1:14" ht="15.75">
      <c r="A156" s="85"/>
      <c r="B156" s="95"/>
      <c r="C156" s="95"/>
      <c r="D156" s="95"/>
      <c r="E156" s="95"/>
      <c r="F156" s="95"/>
      <c r="G156" s="9"/>
      <c r="H156" s="9"/>
      <c r="I156" s="21"/>
      <c r="J156" s="96"/>
      <c r="K156" s="9"/>
      <c r="L156" s="97"/>
      <c r="M156" s="9"/>
      <c r="N156" s="6"/>
    </row>
    <row r="157" spans="1:14" ht="16.5" thickBot="1">
      <c r="A157" s="147"/>
      <c r="B157" s="142" t="str">
        <f>B108</f>
        <v>PPAF2 INVESTOR REPORT QUARTER ENDING MARCH 2005</v>
      </c>
      <c r="C157" s="148"/>
      <c r="D157" s="148"/>
      <c r="E157" s="148"/>
      <c r="F157" s="148"/>
      <c r="G157" s="143"/>
      <c r="H157" s="143"/>
      <c r="I157" s="149"/>
      <c r="J157" s="150"/>
      <c r="K157" s="143"/>
      <c r="L157" s="151"/>
      <c r="M157" s="145"/>
      <c r="N157" s="6"/>
    </row>
    <row r="158" spans="1:14" ht="15.75">
      <c r="A158" s="98"/>
      <c r="B158" s="99" t="s">
        <v>99</v>
      </c>
      <c r="C158" s="100"/>
      <c r="D158" s="101"/>
      <c r="E158" s="100"/>
      <c r="F158" s="101"/>
      <c r="G158" s="100"/>
      <c r="H158" s="101"/>
      <c r="I158" s="100" t="s">
        <v>138</v>
      </c>
      <c r="J158" s="101" t="s">
        <v>181</v>
      </c>
      <c r="K158" s="102"/>
      <c r="L158" s="102"/>
      <c r="M158" s="5"/>
      <c r="N158" s="6"/>
    </row>
    <row r="159" spans="1:14" ht="15.75">
      <c r="A159" s="103"/>
      <c r="B159" s="88" t="s">
        <v>100</v>
      </c>
      <c r="C159" s="65"/>
      <c r="D159" s="65"/>
      <c r="E159" s="65"/>
      <c r="F159" s="27"/>
      <c r="G159" s="27"/>
      <c r="H159" s="27"/>
      <c r="I159" s="27">
        <v>0</v>
      </c>
      <c r="J159" s="64">
        <v>0</v>
      </c>
      <c r="K159" s="64"/>
      <c r="L159" s="94"/>
      <c r="M159" s="104"/>
      <c r="N159" s="6"/>
    </row>
    <row r="160" spans="1:14" ht="15.75">
      <c r="A160" s="103"/>
      <c r="B160" s="88" t="s">
        <v>101</v>
      </c>
      <c r="C160" s="65"/>
      <c r="D160" s="65"/>
      <c r="E160" s="65"/>
      <c r="F160" s="27"/>
      <c r="G160" s="27"/>
      <c r="H160" s="27"/>
      <c r="I160" s="27">
        <v>0</v>
      </c>
      <c r="J160" s="64">
        <v>0</v>
      </c>
      <c r="K160" s="64"/>
      <c r="L160" s="94"/>
      <c r="M160" s="104"/>
      <c r="N160" s="6"/>
    </row>
    <row r="161" spans="1:14" ht="15.75">
      <c r="A161" s="103"/>
      <c r="B161" s="88" t="s">
        <v>202</v>
      </c>
      <c r="C161" s="65"/>
      <c r="D161" s="65"/>
      <c r="E161" s="65"/>
      <c r="F161" s="27"/>
      <c r="G161" s="27"/>
      <c r="H161" s="27"/>
      <c r="I161" s="27">
        <v>0</v>
      </c>
      <c r="J161" s="64">
        <v>0</v>
      </c>
      <c r="K161" s="64"/>
      <c r="L161" s="94"/>
      <c r="M161" s="104"/>
      <c r="N161" s="6"/>
    </row>
    <row r="162" spans="1:14" ht="15.75">
      <c r="A162" s="103"/>
      <c r="B162" s="171" t="s">
        <v>102</v>
      </c>
      <c r="C162" s="65"/>
      <c r="D162" s="65"/>
      <c r="E162" s="65"/>
      <c r="F162" s="27"/>
      <c r="G162" s="27"/>
      <c r="H162" s="27"/>
      <c r="I162" s="27"/>
      <c r="J162" s="105">
        <v>0</v>
      </c>
      <c r="K162" s="27"/>
      <c r="L162" s="94"/>
      <c r="M162" s="104"/>
      <c r="N162" s="6"/>
    </row>
    <row r="163" spans="1:14" ht="15.75">
      <c r="A163" s="103"/>
      <c r="B163" s="171" t="s">
        <v>103</v>
      </c>
      <c r="C163" s="65"/>
      <c r="D163" s="65"/>
      <c r="E163" s="65"/>
      <c r="F163" s="27"/>
      <c r="G163" s="27"/>
      <c r="H163" s="27"/>
      <c r="I163" s="27"/>
      <c r="J163" s="64">
        <f>H69</f>
        <v>21476</v>
      </c>
      <c r="K163" s="27"/>
      <c r="L163" s="94"/>
      <c r="M163" s="104"/>
      <c r="N163" s="6"/>
    </row>
    <row r="164" spans="1:14" ht="15.75">
      <c r="A164" s="106"/>
      <c r="B164" s="171" t="s">
        <v>104</v>
      </c>
      <c r="C164" s="65"/>
      <c r="D164" s="88"/>
      <c r="E164" s="88"/>
      <c r="F164" s="88"/>
      <c r="G164" s="27"/>
      <c r="H164" s="27"/>
      <c r="I164" s="27"/>
      <c r="J164" s="107"/>
      <c r="K164" s="27"/>
      <c r="L164" s="94"/>
      <c r="M164" s="108"/>
      <c r="N164" s="6"/>
    </row>
    <row r="165" spans="1:14" ht="15.75">
      <c r="A165" s="103"/>
      <c r="B165" s="88" t="s">
        <v>105</v>
      </c>
      <c r="C165" s="65"/>
      <c r="D165" s="65"/>
      <c r="E165" s="65"/>
      <c r="F165" s="65"/>
      <c r="G165" s="27"/>
      <c r="H165" s="27"/>
      <c r="I165" s="27"/>
      <c r="J165" s="64">
        <f>L126</f>
        <v>0</v>
      </c>
      <c r="K165" s="27"/>
      <c r="L165" s="94"/>
      <c r="M165" s="108"/>
      <c r="N165" s="6"/>
    </row>
    <row r="166" spans="1:14" ht="15.75">
      <c r="A166" s="103"/>
      <c r="B166" s="88" t="s">
        <v>106</v>
      </c>
      <c r="C166" s="65"/>
      <c r="D166" s="65"/>
      <c r="E166" s="65"/>
      <c r="F166" s="65"/>
      <c r="G166" s="27"/>
      <c r="H166" s="27"/>
      <c r="I166" s="27"/>
      <c r="J166" s="64">
        <f>+'Dec 04'!J155</f>
        <v>31727</v>
      </c>
      <c r="K166" s="27"/>
      <c r="L166" s="94"/>
      <c r="M166" s="108"/>
      <c r="N166" s="6"/>
    </row>
    <row r="167" spans="1:14" ht="15.75">
      <c r="A167" s="103"/>
      <c r="B167" s="88" t="s">
        <v>107</v>
      </c>
      <c r="C167" s="65"/>
      <c r="D167" s="65"/>
      <c r="E167" s="65"/>
      <c r="F167" s="65"/>
      <c r="G167" s="27"/>
      <c r="H167" s="27"/>
      <c r="I167" s="27"/>
      <c r="J167" s="64"/>
      <c r="K167" s="27"/>
      <c r="L167" s="94"/>
      <c r="M167" s="108"/>
      <c r="N167" s="6"/>
    </row>
    <row r="168" spans="1:14" ht="15.75">
      <c r="A168" s="103"/>
      <c r="B168" s="88"/>
      <c r="C168" s="65"/>
      <c r="D168" s="65"/>
      <c r="E168" s="65"/>
      <c r="F168" s="65"/>
      <c r="G168" s="27"/>
      <c r="H168" s="27"/>
      <c r="I168" s="27"/>
      <c r="J168" s="64"/>
      <c r="K168" s="27"/>
      <c r="L168" s="94"/>
      <c r="M168" s="108"/>
      <c r="N168" s="6"/>
    </row>
    <row r="169" spans="1:14" ht="15.75">
      <c r="A169" s="106"/>
      <c r="B169" s="171" t="s">
        <v>108</v>
      </c>
      <c r="C169" s="65"/>
      <c r="D169" s="88"/>
      <c r="E169" s="88"/>
      <c r="F169" s="88"/>
      <c r="G169" s="27"/>
      <c r="H169" s="27"/>
      <c r="I169" s="27"/>
      <c r="J169" s="84"/>
      <c r="K169" s="27"/>
      <c r="L169" s="94"/>
      <c r="M169" s="108"/>
      <c r="N169" s="6"/>
    </row>
    <row r="170" spans="1:14" ht="15.75">
      <c r="A170" s="106"/>
      <c r="B170" s="88" t="s">
        <v>109</v>
      </c>
      <c r="C170" s="65"/>
      <c r="D170" s="88"/>
      <c r="E170" s="88"/>
      <c r="F170" s="88"/>
      <c r="G170" s="27"/>
      <c r="H170" s="27"/>
      <c r="I170" s="27"/>
      <c r="J170" s="84">
        <v>0</v>
      </c>
      <c r="K170" s="27"/>
      <c r="L170" s="94"/>
      <c r="M170" s="108"/>
      <c r="N170" s="6"/>
    </row>
    <row r="171" spans="1:14" ht="15.75">
      <c r="A171" s="103"/>
      <c r="B171" s="88" t="s">
        <v>110</v>
      </c>
      <c r="C171" s="65"/>
      <c r="D171" s="109"/>
      <c r="E171" s="109"/>
      <c r="F171" s="110"/>
      <c r="G171" s="27"/>
      <c r="H171" s="27"/>
      <c r="I171" s="27"/>
      <c r="J171" s="84">
        <v>0</v>
      </c>
      <c r="K171" s="27"/>
      <c r="L171" s="94"/>
      <c r="M171" s="108"/>
      <c r="N171" s="6"/>
    </row>
    <row r="172" spans="1:14" ht="15.75">
      <c r="A172" s="103"/>
      <c r="B172" s="88" t="s">
        <v>111</v>
      </c>
      <c r="C172" s="65"/>
      <c r="D172" s="109"/>
      <c r="E172" s="109"/>
      <c r="F172" s="110"/>
      <c r="G172" s="27"/>
      <c r="H172" s="27"/>
      <c r="I172" s="27"/>
      <c r="J172" s="84">
        <v>0</v>
      </c>
      <c r="K172" s="27"/>
      <c r="L172" s="94"/>
      <c r="M172" s="108"/>
      <c r="N172" s="6"/>
    </row>
    <row r="173" spans="1:14" ht="15.75">
      <c r="A173" s="103"/>
      <c r="B173" s="88" t="s">
        <v>112</v>
      </c>
      <c r="C173" s="65"/>
      <c r="D173" s="111"/>
      <c r="E173" s="109"/>
      <c r="F173" s="110"/>
      <c r="G173" s="27"/>
      <c r="H173" s="27"/>
      <c r="I173" s="27"/>
      <c r="J173" s="84">
        <v>0</v>
      </c>
      <c r="K173" s="27"/>
      <c r="L173" s="94"/>
      <c r="M173" s="108"/>
      <c r="N173" s="6"/>
    </row>
    <row r="174" spans="1:14" ht="15.75">
      <c r="A174" s="103"/>
      <c r="B174" s="88"/>
      <c r="C174" s="65"/>
      <c r="D174" s="111"/>
      <c r="E174" s="109"/>
      <c r="F174" s="110"/>
      <c r="G174" s="27"/>
      <c r="H174" s="27"/>
      <c r="I174" s="27"/>
      <c r="J174" s="84"/>
      <c r="K174" s="27"/>
      <c r="L174" s="94"/>
      <c r="M174" s="108"/>
      <c r="N174" s="6"/>
    </row>
    <row r="175" spans="1:14" ht="15.75">
      <c r="A175" s="103"/>
      <c r="B175" s="171" t="s">
        <v>113</v>
      </c>
      <c r="C175" s="65"/>
      <c r="D175" s="65"/>
      <c r="E175" s="111"/>
      <c r="F175" s="109"/>
      <c r="G175" s="110"/>
      <c r="H175" s="27"/>
      <c r="I175" s="34"/>
      <c r="J175" s="34"/>
      <c r="K175" s="112"/>
      <c r="L175" s="34"/>
      <c r="M175" s="94"/>
      <c r="N175" s="6"/>
    </row>
    <row r="176" spans="1:14" ht="15.75">
      <c r="A176" s="103"/>
      <c r="B176" s="88" t="s">
        <v>114</v>
      </c>
      <c r="C176" s="65"/>
      <c r="D176" s="65"/>
      <c r="E176" s="111"/>
      <c r="F176" s="109"/>
      <c r="G176" s="110"/>
      <c r="H176" s="27"/>
      <c r="I176" s="34"/>
      <c r="J176" s="113">
        <v>0</v>
      </c>
      <c r="K176" s="113"/>
      <c r="L176" s="34"/>
      <c r="M176" s="94"/>
      <c r="N176" s="6"/>
    </row>
    <row r="177" spans="1:14" ht="15.75">
      <c r="A177" s="103"/>
      <c r="B177" s="88" t="s">
        <v>110</v>
      </c>
      <c r="C177" s="65"/>
      <c r="D177" s="65"/>
      <c r="E177" s="111"/>
      <c r="F177" s="109"/>
      <c r="G177" s="110"/>
      <c r="H177" s="27"/>
      <c r="I177" s="34"/>
      <c r="J177" s="113">
        <v>0</v>
      </c>
      <c r="K177" s="113"/>
      <c r="L177" s="34"/>
      <c r="M177" s="94"/>
      <c r="N177" s="6"/>
    </row>
    <row r="178" spans="1:14" ht="15.75">
      <c r="A178" s="103"/>
      <c r="B178" s="88" t="s">
        <v>115</v>
      </c>
      <c r="C178" s="65"/>
      <c r="D178" s="65"/>
      <c r="E178" s="111"/>
      <c r="F178" s="109"/>
      <c r="G178" s="110"/>
      <c r="H178" s="27"/>
      <c r="I178" s="34"/>
      <c r="J178" s="113">
        <v>0</v>
      </c>
      <c r="K178" s="113"/>
      <c r="L178" s="34"/>
      <c r="M178" s="94"/>
      <c r="N178" s="6"/>
    </row>
    <row r="179" spans="1:14" ht="15.75">
      <c r="A179" s="103"/>
      <c r="B179" s="88"/>
      <c r="C179" s="65"/>
      <c r="D179" s="111"/>
      <c r="E179" s="109"/>
      <c r="F179" s="110"/>
      <c r="G179" s="27"/>
      <c r="H179" s="27"/>
      <c r="I179" s="27"/>
      <c r="J179" s="84"/>
      <c r="K179" s="27"/>
      <c r="L179" s="94"/>
      <c r="M179" s="108"/>
      <c r="N179" s="6"/>
    </row>
    <row r="180" spans="1:14" ht="15.75">
      <c r="A180" s="26"/>
      <c r="B180" s="114" t="s">
        <v>116</v>
      </c>
      <c r="C180" s="115"/>
      <c r="D180" s="116"/>
      <c r="E180" s="115"/>
      <c r="F180" s="116"/>
      <c r="G180" s="115"/>
      <c r="H180" s="116"/>
      <c r="I180" s="115"/>
      <c r="J180" s="116"/>
      <c r="K180" s="115"/>
      <c r="L180" s="117"/>
      <c r="M180" s="108"/>
      <c r="N180" s="6"/>
    </row>
    <row r="181" spans="1:14" ht="15.75">
      <c r="A181" s="26"/>
      <c r="B181" s="31"/>
      <c r="C181" s="153"/>
      <c r="D181" s="114" t="s">
        <v>148</v>
      </c>
      <c r="E181" s="115"/>
      <c r="F181" s="116"/>
      <c r="G181" s="115"/>
      <c r="H181" s="114" t="s">
        <v>40</v>
      </c>
      <c r="I181" s="115"/>
      <c r="J181" s="116"/>
      <c r="K181" s="115"/>
      <c r="L181" s="117"/>
      <c r="M181" s="108"/>
      <c r="N181" s="6"/>
    </row>
    <row r="182" spans="1:14" ht="15.75">
      <c r="A182" s="26"/>
      <c r="B182" s="153"/>
      <c r="C182" s="116" t="s">
        <v>138</v>
      </c>
      <c r="D182" s="115" t="s">
        <v>149</v>
      </c>
      <c r="E182" s="116" t="s">
        <v>154</v>
      </c>
      <c r="F182" s="115" t="s">
        <v>149</v>
      </c>
      <c r="G182" s="115"/>
      <c r="H182" s="116" t="s">
        <v>138</v>
      </c>
      <c r="I182" s="115" t="s">
        <v>149</v>
      </c>
      <c r="J182" s="116" t="s">
        <v>154</v>
      </c>
      <c r="K182" s="115" t="s">
        <v>149</v>
      </c>
      <c r="L182" s="117"/>
      <c r="M182" s="108"/>
      <c r="N182" s="6"/>
    </row>
    <row r="183" spans="1:14" ht="15.75">
      <c r="A183" s="26"/>
      <c r="B183" s="65" t="s">
        <v>117</v>
      </c>
      <c r="C183" s="118">
        <v>0</v>
      </c>
      <c r="D183" s="91">
        <v>0</v>
      </c>
      <c r="E183" s="118">
        <v>0</v>
      </c>
      <c r="F183" s="91">
        <v>0</v>
      </c>
      <c r="G183" s="115"/>
      <c r="H183" s="118">
        <v>0</v>
      </c>
      <c r="I183" s="91">
        <v>0</v>
      </c>
      <c r="J183" s="118">
        <v>0</v>
      </c>
      <c r="K183" s="91">
        <v>0</v>
      </c>
      <c r="L183" s="117"/>
      <c r="M183" s="108"/>
      <c r="N183" s="6"/>
    </row>
    <row r="184" spans="1:17" ht="15.75">
      <c r="A184" s="26"/>
      <c r="B184" s="65" t="s">
        <v>118</v>
      </c>
      <c r="C184" s="118">
        <v>0</v>
      </c>
      <c r="D184" s="91">
        <v>0</v>
      </c>
      <c r="E184" s="118">
        <v>0</v>
      </c>
      <c r="F184" s="91">
        <v>0</v>
      </c>
      <c r="G184" s="115"/>
      <c r="H184" s="118">
        <v>0</v>
      </c>
      <c r="I184" s="91">
        <v>0</v>
      </c>
      <c r="J184" s="118">
        <v>0</v>
      </c>
      <c r="K184" s="91">
        <v>0</v>
      </c>
      <c r="L184" s="117"/>
      <c r="M184" s="108"/>
      <c r="N184" s="6"/>
      <c r="Q184" s="69"/>
    </row>
    <row r="185" spans="1:17" ht="15.75">
      <c r="A185" s="26"/>
      <c r="B185" s="65" t="s">
        <v>119</v>
      </c>
      <c r="C185" s="118">
        <v>0</v>
      </c>
      <c r="D185" s="91">
        <v>0</v>
      </c>
      <c r="E185" s="118">
        <v>0</v>
      </c>
      <c r="F185" s="91">
        <v>0</v>
      </c>
      <c r="G185" s="115"/>
      <c r="H185" s="118">
        <v>0</v>
      </c>
      <c r="I185" s="91">
        <v>0</v>
      </c>
      <c r="J185" s="118">
        <v>0</v>
      </c>
      <c r="K185" s="91">
        <v>0</v>
      </c>
      <c r="L185" s="117"/>
      <c r="M185" s="108"/>
      <c r="N185" s="6"/>
      <c r="Q185" s="69"/>
    </row>
    <row r="186" spans="1:17" ht="15.75">
      <c r="A186" s="26"/>
      <c r="B186" s="65" t="s">
        <v>120</v>
      </c>
      <c r="C186" s="118">
        <v>0</v>
      </c>
      <c r="D186" s="91">
        <v>0</v>
      </c>
      <c r="E186" s="118">
        <v>0</v>
      </c>
      <c r="F186" s="91">
        <v>0</v>
      </c>
      <c r="G186" s="115"/>
      <c r="H186" s="118">
        <v>0</v>
      </c>
      <c r="I186" s="91">
        <v>0</v>
      </c>
      <c r="J186" s="118">
        <v>0</v>
      </c>
      <c r="K186" s="91">
        <v>0</v>
      </c>
      <c r="L186" s="117"/>
      <c r="M186" s="108"/>
      <c r="N186" s="6"/>
      <c r="Q186" s="69"/>
    </row>
    <row r="187" spans="1:17" ht="15.75">
      <c r="A187" s="26"/>
      <c r="B187" s="65" t="s">
        <v>121</v>
      </c>
      <c r="C187" s="118">
        <f>SUM(C183:C186)</f>
        <v>0</v>
      </c>
      <c r="D187" s="91">
        <f>SUM(D183:D186)</f>
        <v>0</v>
      </c>
      <c r="E187" s="118">
        <f>SUM(E183:E186)</f>
        <v>0</v>
      </c>
      <c r="F187" s="91">
        <f>SUM(F183:F186)</f>
        <v>0</v>
      </c>
      <c r="G187" s="115"/>
      <c r="H187" s="118">
        <f>SUM(H183:H186)</f>
        <v>0</v>
      </c>
      <c r="I187" s="91">
        <f>SUM(I183:I186)</f>
        <v>0</v>
      </c>
      <c r="J187" s="118">
        <f>SUM(J183:J186)</f>
        <v>0</v>
      </c>
      <c r="K187" s="91">
        <f>SUM(K183:K186)</f>
        <v>0</v>
      </c>
      <c r="L187" s="117"/>
      <c r="M187" s="108"/>
      <c r="N187" s="6"/>
      <c r="Q187" s="69"/>
    </row>
    <row r="188" spans="1:17" ht="15.75">
      <c r="A188" s="26"/>
      <c r="B188" s="65" t="s">
        <v>122</v>
      </c>
      <c r="C188" s="118">
        <v>0</v>
      </c>
      <c r="D188" s="119"/>
      <c r="E188" s="118">
        <v>0</v>
      </c>
      <c r="F188" s="119"/>
      <c r="G188" s="115"/>
      <c r="H188" s="118">
        <v>0</v>
      </c>
      <c r="I188" s="119"/>
      <c r="J188" s="118">
        <v>0</v>
      </c>
      <c r="K188" s="119"/>
      <c r="L188" s="117"/>
      <c r="M188" s="108"/>
      <c r="N188" s="6"/>
      <c r="O188" s="69"/>
      <c r="Q188" s="69"/>
    </row>
    <row r="189" spans="1:15" ht="15.75">
      <c r="A189" s="26"/>
      <c r="B189" s="65" t="s">
        <v>123</v>
      </c>
      <c r="C189" s="118">
        <f>SUM(C187:C188)</f>
        <v>0</v>
      </c>
      <c r="D189" s="153"/>
      <c r="E189" s="118">
        <f>SUM(E187:E188)</f>
        <v>0</v>
      </c>
      <c r="F189" s="91"/>
      <c r="G189" s="153"/>
      <c r="H189" s="118">
        <f>SUM(H187:H188)</f>
        <v>0</v>
      </c>
      <c r="I189" s="153"/>
      <c r="J189" s="118">
        <f>SUM(J187:J188)</f>
        <v>0</v>
      </c>
      <c r="K189" s="153"/>
      <c r="L189" s="153"/>
      <c r="M189" s="108"/>
      <c r="N189" s="6"/>
      <c r="O189" s="69"/>
    </row>
    <row r="190" spans="1:14" ht="15.75">
      <c r="A190" s="26"/>
      <c r="B190" s="65"/>
      <c r="C190" s="118"/>
      <c r="D190" s="91"/>
      <c r="E190" s="118"/>
      <c r="F190" s="91"/>
      <c r="G190" s="115"/>
      <c r="H190" s="118"/>
      <c r="I190" s="91"/>
      <c r="J190" s="118"/>
      <c r="K190" s="91"/>
      <c r="L190" s="117"/>
      <c r="M190" s="108"/>
      <c r="N190" s="6"/>
    </row>
    <row r="191" spans="1:15" ht="15.75">
      <c r="A191" s="26"/>
      <c r="B191" s="65"/>
      <c r="C191" s="115"/>
      <c r="D191" s="114" t="s">
        <v>41</v>
      </c>
      <c r="E191" s="115"/>
      <c r="F191" s="136"/>
      <c r="G191" s="115"/>
      <c r="H191" s="114" t="s">
        <v>42</v>
      </c>
      <c r="I191" s="115"/>
      <c r="J191" s="116"/>
      <c r="K191" s="115"/>
      <c r="L191" s="117"/>
      <c r="M191" s="108"/>
      <c r="N191" s="6"/>
      <c r="O191" s="69"/>
    </row>
    <row r="192" spans="1:14" ht="15.75">
      <c r="A192" s="26"/>
      <c r="B192" s="153"/>
      <c r="C192" s="116" t="s">
        <v>138</v>
      </c>
      <c r="D192" s="115" t="s">
        <v>149</v>
      </c>
      <c r="E192" s="116" t="s">
        <v>154</v>
      </c>
      <c r="F192" s="115" t="s">
        <v>149</v>
      </c>
      <c r="G192" s="115"/>
      <c r="H192" s="116" t="s">
        <v>138</v>
      </c>
      <c r="I192" s="115" t="s">
        <v>149</v>
      </c>
      <c r="J192" s="116" t="s">
        <v>154</v>
      </c>
      <c r="K192" s="115" t="s">
        <v>149</v>
      </c>
      <c r="L192" s="117"/>
      <c r="M192" s="108"/>
      <c r="N192" s="6"/>
    </row>
    <row r="193" spans="1:14" ht="15.75">
      <c r="A193" s="26"/>
      <c r="B193" s="65" t="s">
        <v>117</v>
      </c>
      <c r="C193" s="118">
        <v>0</v>
      </c>
      <c r="D193" s="91">
        <v>0</v>
      </c>
      <c r="E193" s="118">
        <v>0</v>
      </c>
      <c r="F193" s="91">
        <v>0</v>
      </c>
      <c r="G193" s="115"/>
      <c r="H193" s="118">
        <v>0</v>
      </c>
      <c r="I193" s="91">
        <v>0</v>
      </c>
      <c r="J193" s="118">
        <v>0</v>
      </c>
      <c r="K193" s="91">
        <v>0</v>
      </c>
      <c r="L193" s="117"/>
      <c r="M193" s="108"/>
      <c r="N193" s="6"/>
    </row>
    <row r="194" spans="1:14" ht="15.75">
      <c r="A194" s="26"/>
      <c r="B194" s="65" t="s">
        <v>118</v>
      </c>
      <c r="C194" s="118">
        <v>0</v>
      </c>
      <c r="D194" s="91">
        <v>0</v>
      </c>
      <c r="E194" s="118">
        <v>0</v>
      </c>
      <c r="F194" s="91">
        <v>0</v>
      </c>
      <c r="G194" s="115"/>
      <c r="H194" s="118">
        <v>0</v>
      </c>
      <c r="I194" s="91">
        <v>0</v>
      </c>
      <c r="J194" s="118">
        <v>0</v>
      </c>
      <c r="K194" s="91">
        <v>0</v>
      </c>
      <c r="L194" s="117"/>
      <c r="M194" s="108"/>
      <c r="N194" s="6"/>
    </row>
    <row r="195" spans="1:14" ht="15.75">
      <c r="A195" s="26"/>
      <c r="B195" s="65" t="s">
        <v>119</v>
      </c>
      <c r="C195" s="118">
        <v>0</v>
      </c>
      <c r="D195" s="91">
        <v>0</v>
      </c>
      <c r="E195" s="118">
        <v>0</v>
      </c>
      <c r="F195" s="91">
        <v>0</v>
      </c>
      <c r="G195" s="115"/>
      <c r="H195" s="118">
        <v>0</v>
      </c>
      <c r="I195" s="91">
        <v>0</v>
      </c>
      <c r="J195" s="118">
        <v>0</v>
      </c>
      <c r="K195" s="91">
        <v>0</v>
      </c>
      <c r="L195" s="117"/>
      <c r="M195" s="108"/>
      <c r="N195" s="6"/>
    </row>
    <row r="196" spans="1:14" ht="15.75">
      <c r="A196" s="26"/>
      <c r="B196" s="65" t="s">
        <v>120</v>
      </c>
      <c r="C196" s="118">
        <v>0</v>
      </c>
      <c r="D196" s="91">
        <v>0</v>
      </c>
      <c r="E196" s="118">
        <v>0</v>
      </c>
      <c r="F196" s="91">
        <v>0</v>
      </c>
      <c r="G196" s="115"/>
      <c r="H196" s="118">
        <v>0</v>
      </c>
      <c r="I196" s="91">
        <v>0</v>
      </c>
      <c r="J196" s="118">
        <v>0</v>
      </c>
      <c r="K196" s="91">
        <v>0</v>
      </c>
      <c r="L196" s="117"/>
      <c r="M196" s="108"/>
      <c r="N196" s="6"/>
    </row>
    <row r="197" spans="1:14" ht="15.75">
      <c r="A197" s="26"/>
      <c r="B197" s="65" t="str">
        <f>B187</f>
        <v>Total Performing  Assets</v>
      </c>
      <c r="C197" s="118">
        <f>SUM(C193:C196)</f>
        <v>0</v>
      </c>
      <c r="D197" s="91">
        <f>SUM(D193:D196)</f>
        <v>0</v>
      </c>
      <c r="E197" s="118">
        <f>SUM(E193:E196)</f>
        <v>0</v>
      </c>
      <c r="F197" s="91">
        <f>SUM(F193:F196)</f>
        <v>0</v>
      </c>
      <c r="G197" s="115"/>
      <c r="H197" s="118">
        <f>SUM(H193:H196)</f>
        <v>0</v>
      </c>
      <c r="I197" s="91">
        <f>SUM(I193:I196)</f>
        <v>0</v>
      </c>
      <c r="J197" s="118">
        <f>SUM(J193:J196)</f>
        <v>0</v>
      </c>
      <c r="K197" s="91">
        <f>SUM(K193:K196)</f>
        <v>0</v>
      </c>
      <c r="L197" s="117"/>
      <c r="M197" s="108"/>
      <c r="N197" s="6"/>
    </row>
    <row r="198" spans="1:14" ht="15.75">
      <c r="A198" s="26"/>
      <c r="B198" s="65" t="s">
        <v>122</v>
      </c>
      <c r="C198" s="118">
        <v>0</v>
      </c>
      <c r="D198" s="121"/>
      <c r="E198" s="118">
        <v>0</v>
      </c>
      <c r="F198" s="119"/>
      <c r="G198" s="115"/>
      <c r="H198" s="118">
        <v>0</v>
      </c>
      <c r="I198" s="121"/>
      <c r="J198" s="118">
        <v>0</v>
      </c>
      <c r="K198" s="121"/>
      <c r="L198" s="117"/>
      <c r="M198" s="108"/>
      <c r="N198" s="6"/>
    </row>
    <row r="199" spans="1:15" ht="15.75">
      <c r="A199" s="26"/>
      <c r="B199" s="65" t="s">
        <v>123</v>
      </c>
      <c r="C199" s="118">
        <f>SUM(C197:C198)</f>
        <v>0</v>
      </c>
      <c r="D199" s="153"/>
      <c r="E199" s="118">
        <f>SUM(E197:E198)</f>
        <v>0</v>
      </c>
      <c r="F199" s="120"/>
      <c r="G199" s="153"/>
      <c r="H199" s="118">
        <f>SUM(H197:H198)</f>
        <v>0</v>
      </c>
      <c r="I199" s="153"/>
      <c r="J199" s="118">
        <f>SUM(J197:J198)</f>
        <v>0</v>
      </c>
      <c r="K199" s="153"/>
      <c r="L199" s="153"/>
      <c r="M199" s="155"/>
      <c r="N199" s="139"/>
      <c r="O199" s="172"/>
    </row>
    <row r="200" spans="1:15" ht="15.75">
      <c r="A200" s="26"/>
      <c r="B200" s="65"/>
      <c r="C200" s="115"/>
      <c r="D200" s="116"/>
      <c r="E200" s="115"/>
      <c r="F200" s="116"/>
      <c r="G200" s="115"/>
      <c r="H200" s="122"/>
      <c r="I200" s="115"/>
      <c r="J200" s="118"/>
      <c r="K200" s="115"/>
      <c r="L200" s="117"/>
      <c r="M200" s="108"/>
      <c r="N200" s="6"/>
      <c r="O200" s="172"/>
    </row>
    <row r="201" spans="1:14" ht="15.75">
      <c r="A201" s="26"/>
      <c r="B201" s="65" t="s">
        <v>123</v>
      </c>
      <c r="C201" s="115"/>
      <c r="D201" s="116"/>
      <c r="E201" s="116"/>
      <c r="F201" s="116"/>
      <c r="G201" s="115"/>
      <c r="H201" s="122"/>
      <c r="I201" s="121"/>
      <c r="J201" s="118">
        <f>E189+J189+E199+J199</f>
        <v>0</v>
      </c>
      <c r="K201" s="120"/>
      <c r="L201" s="117"/>
      <c r="M201" s="108"/>
      <c r="N201" s="6"/>
    </row>
    <row r="202" spans="1:14" ht="15.75">
      <c r="A202" s="26"/>
      <c r="B202" s="65"/>
      <c r="C202" s="115"/>
      <c r="D202" s="116"/>
      <c r="E202" s="115"/>
      <c r="F202" s="116"/>
      <c r="G202" s="115"/>
      <c r="H202" s="116"/>
      <c r="I202" s="115"/>
      <c r="J202" s="118"/>
      <c r="K202" s="121"/>
      <c r="L202" s="117"/>
      <c r="M202" s="108"/>
      <c r="N202" s="6"/>
    </row>
    <row r="203" spans="1:14" ht="15.75">
      <c r="A203" s="26"/>
      <c r="B203" s="123" t="s">
        <v>124</v>
      </c>
      <c r="C203" s="115"/>
      <c r="D203" s="116"/>
      <c r="E203" s="115"/>
      <c r="F203" s="116"/>
      <c r="G203" s="115"/>
      <c r="H203" s="116"/>
      <c r="I203" s="115"/>
      <c r="J203" s="118"/>
      <c r="K203" s="115"/>
      <c r="L203" s="117"/>
      <c r="M203" s="108"/>
      <c r="N203" s="124"/>
    </row>
    <row r="204" spans="1:15" ht="15.75">
      <c r="A204" s="26"/>
      <c r="B204" s="65"/>
      <c r="C204" s="115"/>
      <c r="D204" s="116"/>
      <c r="E204" s="115"/>
      <c r="F204" s="116"/>
      <c r="G204" s="115"/>
      <c r="H204" s="116"/>
      <c r="I204" s="115"/>
      <c r="J204" s="118"/>
      <c r="K204" s="115"/>
      <c r="L204" s="117"/>
      <c r="M204" s="108"/>
      <c r="N204" s="6"/>
      <c r="O204" s="172"/>
    </row>
    <row r="205" spans="1:15" ht="15.75">
      <c r="A205" s="26"/>
      <c r="B205" s="65" t="s">
        <v>125</v>
      </c>
      <c r="C205" s="115"/>
      <c r="D205" s="116"/>
      <c r="E205" s="115"/>
      <c r="F205" s="116"/>
      <c r="G205" s="115"/>
      <c r="H205" s="116"/>
      <c r="I205" s="116"/>
      <c r="J205" s="118">
        <v>0</v>
      </c>
      <c r="K205" s="115"/>
      <c r="L205" s="117"/>
      <c r="M205" s="108"/>
      <c r="N205" s="124"/>
      <c r="O205" s="172"/>
    </row>
    <row r="206" spans="1:15" ht="15.75">
      <c r="A206" s="26"/>
      <c r="B206" s="65" t="s">
        <v>126</v>
      </c>
      <c r="C206" s="115"/>
      <c r="D206" s="116"/>
      <c r="E206" s="115"/>
      <c r="F206" s="116"/>
      <c r="G206" s="115"/>
      <c r="H206" s="116"/>
      <c r="I206" s="115"/>
      <c r="J206" s="118">
        <v>0</v>
      </c>
      <c r="K206" s="115"/>
      <c r="L206" s="117"/>
      <c r="M206" s="108"/>
      <c r="N206" s="124"/>
      <c r="O206" s="69"/>
    </row>
    <row r="207" spans="1:15" ht="15.75">
      <c r="A207" s="26"/>
      <c r="B207" s="65" t="s">
        <v>127</v>
      </c>
      <c r="C207" s="115"/>
      <c r="D207" s="116"/>
      <c r="E207" s="115"/>
      <c r="F207" s="116"/>
      <c r="G207" s="115"/>
      <c r="H207" s="116"/>
      <c r="I207" s="115"/>
      <c r="J207" s="118">
        <v>0</v>
      </c>
      <c r="K207" s="115"/>
      <c r="L207" s="117"/>
      <c r="M207" s="108"/>
      <c r="N207" s="125"/>
      <c r="O207" s="172"/>
    </row>
    <row r="208" spans="1:15" ht="15.75">
      <c r="A208" s="26"/>
      <c r="B208" s="65" t="s">
        <v>128</v>
      </c>
      <c r="C208" s="115"/>
      <c r="D208" s="116"/>
      <c r="E208" s="115"/>
      <c r="F208" s="116"/>
      <c r="G208" s="115"/>
      <c r="H208" s="116"/>
      <c r="I208" s="115"/>
      <c r="J208" s="118">
        <f>SUM(J205:J207)</f>
        <v>0</v>
      </c>
      <c r="K208" s="115"/>
      <c r="L208" s="117"/>
      <c r="M208" s="108"/>
      <c r="N208" s="6"/>
      <c r="O208" s="138"/>
    </row>
    <row r="209" spans="1:14" ht="15.75">
      <c r="A209" s="26"/>
      <c r="B209" s="65"/>
      <c r="C209" s="115"/>
      <c r="D209" s="116"/>
      <c r="E209" s="115"/>
      <c r="F209" s="116"/>
      <c r="G209" s="115"/>
      <c r="H209" s="116"/>
      <c r="I209" s="115"/>
      <c r="J209" s="118"/>
      <c r="K209" s="115"/>
      <c r="L209" s="117"/>
      <c r="M209" s="108"/>
      <c r="N209" s="6"/>
    </row>
    <row r="210" spans="1:14" ht="15.75">
      <c r="A210" s="26"/>
      <c r="B210" s="65" t="s">
        <v>129</v>
      </c>
      <c r="C210" s="115"/>
      <c r="D210" s="116"/>
      <c r="E210" s="115"/>
      <c r="F210" s="116"/>
      <c r="G210" s="115"/>
      <c r="H210" s="116"/>
      <c r="I210" s="115"/>
      <c r="J210" s="118">
        <f>L32</f>
        <v>0</v>
      </c>
      <c r="K210" s="115"/>
      <c r="L210" s="117"/>
      <c r="M210" s="108"/>
      <c r="N210" s="6"/>
    </row>
    <row r="211" spans="1:14" ht="15.75">
      <c r="A211" s="26"/>
      <c r="B211" s="65"/>
      <c r="C211" s="115"/>
      <c r="D211" s="116"/>
      <c r="E211" s="115"/>
      <c r="F211" s="116"/>
      <c r="G211" s="115"/>
      <c r="H211" s="116"/>
      <c r="I211" s="115"/>
      <c r="J211" s="118"/>
      <c r="K211" s="115"/>
      <c r="L211" s="117"/>
      <c r="M211" s="108"/>
      <c r="N211" s="6"/>
    </row>
    <row r="212" spans="1:14" ht="15.75">
      <c r="A212" s="26"/>
      <c r="B212" s="65" t="s">
        <v>130</v>
      </c>
      <c r="C212" s="115"/>
      <c r="D212" s="116"/>
      <c r="E212" s="115"/>
      <c r="F212" s="116"/>
      <c r="G212" s="115"/>
      <c r="H212" s="116"/>
      <c r="I212" s="115"/>
      <c r="J212" s="118">
        <v>0</v>
      </c>
      <c r="K212" s="115"/>
      <c r="L212" s="117"/>
      <c r="M212" s="108"/>
      <c r="N212" s="6"/>
    </row>
    <row r="213" spans="1:14" ht="15.75">
      <c r="A213" s="26"/>
      <c r="B213" s="27"/>
      <c r="C213" s="27"/>
      <c r="D213" s="34"/>
      <c r="E213" s="27"/>
      <c r="F213" s="27"/>
      <c r="G213" s="27"/>
      <c r="H213" s="63"/>
      <c r="I213" s="126"/>
      <c r="J213" s="64"/>
      <c r="K213" s="126"/>
      <c r="L213" s="94"/>
      <c r="M213" s="27"/>
      <c r="N213" s="6"/>
    </row>
    <row r="214" spans="1:14" ht="15.75">
      <c r="A214" s="127"/>
      <c r="B214" s="31" t="s">
        <v>131</v>
      </c>
      <c r="C214" s="128"/>
      <c r="D214" s="115" t="s">
        <v>150</v>
      </c>
      <c r="E214" s="117"/>
      <c r="F214" s="31" t="s">
        <v>163</v>
      </c>
      <c r="G214" s="129"/>
      <c r="H214" s="129"/>
      <c r="I214" s="129"/>
      <c r="J214" s="130"/>
      <c r="K214" s="30"/>
      <c r="L214" s="30"/>
      <c r="M214" s="30"/>
      <c r="N214" s="6"/>
    </row>
    <row r="215" spans="1:14" ht="15.75">
      <c r="A215" s="131"/>
      <c r="B215" s="14" t="s">
        <v>132</v>
      </c>
      <c r="C215" s="132"/>
      <c r="D215" s="133" t="s">
        <v>151</v>
      </c>
      <c r="E215" s="14"/>
      <c r="F215" s="14" t="s">
        <v>205</v>
      </c>
      <c r="G215" s="132"/>
      <c r="H215" s="132"/>
      <c r="I215" s="13"/>
      <c r="J215" s="13"/>
      <c r="K215" s="13"/>
      <c r="L215" s="13"/>
      <c r="M215" s="13"/>
      <c r="N215" s="6"/>
    </row>
    <row r="216" spans="1:14" ht="15.75">
      <c r="A216" s="131"/>
      <c r="B216" s="14" t="s">
        <v>133</v>
      </c>
      <c r="C216" s="132"/>
      <c r="D216" s="133" t="s">
        <v>152</v>
      </c>
      <c r="E216" s="14"/>
      <c r="F216" s="14" t="s">
        <v>206</v>
      </c>
      <c r="G216" s="132"/>
      <c r="H216" s="132"/>
      <c r="I216" s="13"/>
      <c r="J216" s="13"/>
      <c r="K216" s="13"/>
      <c r="L216" s="13"/>
      <c r="M216" s="13"/>
      <c r="N216" s="6"/>
    </row>
    <row r="217" spans="1:14" ht="15.75">
      <c r="A217" s="131"/>
      <c r="B217" s="14"/>
      <c r="C217" s="132"/>
      <c r="D217" s="133"/>
      <c r="E217" s="14"/>
      <c r="F217" s="14"/>
      <c r="G217" s="132"/>
      <c r="H217" s="132"/>
      <c r="I217" s="13"/>
      <c r="J217" s="13"/>
      <c r="K217" s="13"/>
      <c r="L217" s="13"/>
      <c r="M217" s="13"/>
      <c r="N217" s="6"/>
    </row>
    <row r="218" spans="1:14" ht="15.75">
      <c r="A218" s="131"/>
      <c r="B218" s="14"/>
      <c r="C218" s="132"/>
      <c r="D218" s="133"/>
      <c r="E218" s="14"/>
      <c r="F218" s="14"/>
      <c r="G218" s="132"/>
      <c r="H218" s="132"/>
      <c r="I218" s="13"/>
      <c r="J218" s="13"/>
      <c r="K218" s="13"/>
      <c r="L218" s="13"/>
      <c r="M218" s="13"/>
      <c r="N218" s="6"/>
    </row>
    <row r="219" spans="1:14" ht="15.75">
      <c r="A219" s="131"/>
      <c r="B219" s="14" t="str">
        <f>B157</f>
        <v>PPAF2 INVESTOR REPORT QUARTER ENDING MARCH 2005</v>
      </c>
      <c r="C219" s="132"/>
      <c r="D219" s="133"/>
      <c r="E219" s="14"/>
      <c r="F219" s="14"/>
      <c r="G219" s="132"/>
      <c r="H219" s="132"/>
      <c r="I219" s="13"/>
      <c r="J219" s="13"/>
      <c r="K219" s="13"/>
      <c r="L219" s="13"/>
      <c r="M219" s="13"/>
      <c r="N219" s="6"/>
    </row>
    <row r="220" spans="1:13" ht="15">
      <c r="A220" s="134"/>
      <c r="B220" s="134"/>
      <c r="C220" s="134"/>
      <c r="D220" s="134"/>
      <c r="E220" s="134"/>
      <c r="F220" s="134"/>
      <c r="G220" s="134"/>
      <c r="H220" s="134"/>
      <c r="I220" s="134"/>
      <c r="J220" s="134"/>
      <c r="K220" s="134"/>
      <c r="L220" s="134"/>
      <c r="M220"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108" max="255" man="1"/>
    <brk id="157" max="255" man="1"/>
    <brk id="225" max="0" man="1"/>
  </rowBreaks>
  <drawing r:id="rId1"/>
</worksheet>
</file>

<file path=xl/worksheets/sheet2.xml><?xml version="1.0" encoding="utf-8"?>
<worksheet xmlns="http://schemas.openxmlformats.org/spreadsheetml/2006/main" xmlns:r="http://schemas.openxmlformats.org/officeDocument/2006/relationships">
  <dimension ref="A1:O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7.44531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7.6640625" style="1" customWidth="1"/>
    <col min="12" max="12" width="15.6640625" style="1" customWidth="1"/>
    <col min="13" max="13" width="10.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4" ht="15.75">
      <c r="A15" s="7"/>
      <c r="B15" s="15" t="s">
        <v>7</v>
      </c>
      <c r="C15" s="15"/>
      <c r="D15" s="18" t="s">
        <v>137</v>
      </c>
      <c r="E15" s="19">
        <f>E175/($J$193+L94)</f>
        <v>0.6465643822480597</v>
      </c>
      <c r="F15" s="18" t="s">
        <v>147</v>
      </c>
      <c r="G15" s="19">
        <f>J175/($J$193+L94)</f>
        <v>0.027587576039075846</v>
      </c>
      <c r="H15" s="18" t="s">
        <v>153</v>
      </c>
      <c r="I15" s="19">
        <f>E185/($J$193+L$94)</f>
        <v>0.087864463156633</v>
      </c>
      <c r="J15" s="18" t="s">
        <v>162</v>
      </c>
      <c r="K15" s="19">
        <f>J185/($J$193+L$94)</f>
        <v>0.12776812202211502</v>
      </c>
      <c r="L15" s="17"/>
      <c r="M15" s="16"/>
      <c r="N15" s="6"/>
    </row>
    <row r="16" spans="1:14" ht="15.75">
      <c r="A16" s="7"/>
      <c r="B16" s="15" t="s">
        <v>8</v>
      </c>
      <c r="C16" s="15"/>
      <c r="D16" s="16"/>
      <c r="E16" s="16"/>
      <c r="F16" s="16"/>
      <c r="G16" s="16"/>
      <c r="H16" s="16"/>
      <c r="I16" s="16"/>
      <c r="J16" s="16"/>
      <c r="K16" s="16"/>
      <c r="L16" s="18" t="s">
        <v>184</v>
      </c>
      <c r="M16" s="9"/>
      <c r="N16" s="6"/>
    </row>
    <row r="17" spans="1:14" ht="15.75">
      <c r="A17" s="7"/>
      <c r="B17" s="15" t="s">
        <v>9</v>
      </c>
      <c r="C17" s="15"/>
      <c r="D17" s="16"/>
      <c r="E17" s="16"/>
      <c r="F17" s="16"/>
      <c r="G17" s="16"/>
      <c r="H17" s="16"/>
      <c r="I17" s="16"/>
      <c r="J17" s="16"/>
      <c r="K17" s="16"/>
      <c r="L17" s="20">
        <v>37455</v>
      </c>
      <c r="M17" s="9"/>
      <c r="N17" s="6"/>
    </row>
    <row r="18" spans="1:14" ht="15.75">
      <c r="A18" s="7"/>
      <c r="B18" s="9"/>
      <c r="C18" s="9"/>
      <c r="D18" s="9"/>
      <c r="E18" s="9"/>
      <c r="F18" s="9"/>
      <c r="G18" s="9"/>
      <c r="H18" s="9"/>
      <c r="I18" s="9"/>
      <c r="J18" s="9"/>
      <c r="K18" s="9"/>
      <c r="L18" s="21"/>
      <c r="M18" s="9"/>
      <c r="N18" s="6"/>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46"/>
      <c r="D33" s="34" t="s">
        <v>143</v>
      </c>
      <c r="E33" s="27"/>
      <c r="F33" s="34" t="s">
        <v>159</v>
      </c>
      <c r="G33" s="34"/>
      <c r="H33" s="34" t="s">
        <v>170</v>
      </c>
      <c r="I33" s="34"/>
      <c r="J33" s="34"/>
      <c r="K33" s="30"/>
      <c r="L33" s="30"/>
      <c r="M33" s="27"/>
      <c r="N33" s="6"/>
    </row>
    <row r="34" spans="1:14" ht="15.75">
      <c r="A34" s="26"/>
      <c r="B34" s="27" t="s">
        <v>22</v>
      </c>
      <c r="C34" s="46"/>
      <c r="D34" s="47">
        <v>0.0453578</v>
      </c>
      <c r="E34" s="48"/>
      <c r="F34" s="47">
        <v>0.0535578</v>
      </c>
      <c r="G34" s="47"/>
      <c r="H34" s="47">
        <v>0.0690578</v>
      </c>
      <c r="I34" s="49"/>
      <c r="J34" s="47"/>
      <c r="K34" s="30"/>
      <c r="L34" s="49">
        <f>SUMPRODUCT(D34:J34,D32:J32)/L32</f>
        <v>0.05033904233755619</v>
      </c>
      <c r="M34" s="27"/>
      <c r="N34" s="6"/>
    </row>
    <row r="35" spans="1:14" ht="15.75">
      <c r="A35" s="26"/>
      <c r="B35" s="27" t="s">
        <v>23</v>
      </c>
      <c r="C35" s="46"/>
      <c r="D35" s="47">
        <v>0.0440911</v>
      </c>
      <c r="E35" s="48"/>
      <c r="F35" s="47">
        <v>0.0522911</v>
      </c>
      <c r="G35" s="47"/>
      <c r="H35" s="47">
        <v>0.0677911</v>
      </c>
      <c r="I35" s="49"/>
      <c r="J35" s="47"/>
      <c r="K35" s="30"/>
      <c r="L35" s="30"/>
      <c r="M35" s="27"/>
      <c r="N35" s="6"/>
    </row>
    <row r="36" spans="1:14" ht="15.75">
      <c r="A36" s="26"/>
      <c r="B36" s="27" t="s">
        <v>24</v>
      </c>
      <c r="C36" s="46"/>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27"/>
      <c r="G39" s="51"/>
      <c r="H39" s="51"/>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27"/>
      <c r="G42" s="27"/>
      <c r="H42" s="27"/>
      <c r="I42" s="27"/>
      <c r="J42" s="34" t="s">
        <v>139</v>
      </c>
      <c r="K42" s="34" t="s">
        <v>182</v>
      </c>
      <c r="L42" s="35">
        <v>10956</v>
      </c>
      <c r="M42" s="27"/>
      <c r="N42" s="6"/>
    </row>
    <row r="43" spans="1:14" ht="15.75">
      <c r="A43" s="26"/>
      <c r="B43" s="27"/>
      <c r="C43" s="27"/>
      <c r="D43" s="27"/>
      <c r="E43" s="27"/>
      <c r="F43" s="48"/>
      <c r="G43" s="27"/>
      <c r="H43" s="27"/>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37452</v>
      </c>
      <c r="M45" s="31"/>
      <c r="N45" s="6"/>
    </row>
    <row r="46" spans="1:14" ht="15.75">
      <c r="A46" s="26"/>
      <c r="B46" s="27" t="s">
        <v>32</v>
      </c>
      <c r="C46" s="27"/>
      <c r="D46" s="27"/>
      <c r="E46" s="27"/>
      <c r="F46" s="27"/>
      <c r="G46" s="27"/>
      <c r="H46" s="30"/>
      <c r="I46" s="27">
        <f>L46-J46+1</f>
        <v>124</v>
      </c>
      <c r="J46" s="56">
        <v>37237</v>
      </c>
      <c r="K46" s="57"/>
      <c r="L46" s="56">
        <v>37360</v>
      </c>
      <c r="M46" s="27"/>
      <c r="N46" s="6"/>
    </row>
    <row r="47" spans="1:14" ht="15.75">
      <c r="A47" s="26"/>
      <c r="B47" s="27" t="s">
        <v>33</v>
      </c>
      <c r="C47" s="27"/>
      <c r="D47" s="27"/>
      <c r="E47" s="27"/>
      <c r="F47" s="27"/>
      <c r="G47" s="27"/>
      <c r="H47" s="30"/>
      <c r="I47" s="27">
        <f>L47-J47+1</f>
        <v>91</v>
      </c>
      <c r="J47" s="56">
        <v>37361</v>
      </c>
      <c r="K47" s="57"/>
      <c r="L47" s="56">
        <v>37451</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37438</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189</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307684</v>
      </c>
      <c r="E57" s="63"/>
      <c r="F57" s="63">
        <f>262+13941+1203</f>
        <v>15406</v>
      </c>
      <c r="G57" s="63"/>
      <c r="H57" s="63">
        <v>0</v>
      </c>
      <c r="I57" s="63"/>
      <c r="J57" s="63">
        <v>0</v>
      </c>
      <c r="K57" s="63"/>
      <c r="L57" s="64">
        <f>D57-F57+H57-J57</f>
        <v>292278</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5975</v>
      </c>
      <c r="E60" s="63"/>
      <c r="F60" s="63">
        <v>3245</v>
      </c>
      <c r="G60" s="63"/>
      <c r="H60" s="63">
        <v>4641</v>
      </c>
      <c r="I60" s="63"/>
      <c r="J60" s="63">
        <f>SUM(J57:J59)</f>
        <v>0</v>
      </c>
      <c r="K60" s="63"/>
      <c r="L60" s="64">
        <f>D60-F60+H60-J60</f>
        <v>7371</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9249</v>
      </c>
      <c r="E63" s="63"/>
      <c r="F63" s="63">
        <v>1230</v>
      </c>
      <c r="G63" s="63"/>
      <c r="H63" s="63">
        <v>15449</v>
      </c>
      <c r="I63" s="63"/>
      <c r="J63" s="63">
        <v>0</v>
      </c>
      <c r="K63" s="63"/>
      <c r="L63" s="64">
        <f>D63-F63+H63-J63</f>
        <v>23468</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31740</v>
      </c>
      <c r="E66" s="63"/>
      <c r="F66" s="63">
        <f>5540+383</f>
        <v>5923</v>
      </c>
      <c r="G66" s="63"/>
      <c r="H66" s="63">
        <v>8777</v>
      </c>
      <c r="I66" s="63"/>
      <c r="J66" s="63">
        <v>0</v>
      </c>
      <c r="K66" s="63"/>
      <c r="L66" s="64">
        <f>D66-F66+H66-J66</f>
        <v>34594</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4" ht="15.75">
      <c r="A69" s="26"/>
      <c r="B69" s="27" t="s">
        <v>43</v>
      </c>
      <c r="C69" s="63">
        <f>SUM(C57:C67)</f>
        <v>382317</v>
      </c>
      <c r="D69" s="63">
        <f>SUM(D57:D68)</f>
        <v>354648</v>
      </c>
      <c r="E69" s="63"/>
      <c r="F69" s="63">
        <f>SUM(F57:F67)</f>
        <v>25804</v>
      </c>
      <c r="G69" s="63"/>
      <c r="H69" s="63">
        <f>SUM(H57:H67)</f>
        <v>28867</v>
      </c>
      <c r="I69" s="63"/>
      <c r="J69" s="63">
        <f>SUM(J64:J68)</f>
        <v>0</v>
      </c>
      <c r="K69" s="63"/>
      <c r="L69" s="63">
        <f>SUM(L57:L68)</f>
        <v>357711</v>
      </c>
      <c r="M69" s="27"/>
      <c r="N69" s="6"/>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-139584</v>
      </c>
      <c r="E71" s="63"/>
      <c r="F71" s="63">
        <f>3023-172</f>
        <v>2851</v>
      </c>
      <c r="G71" s="63"/>
      <c r="H71" s="63"/>
      <c r="I71" s="63"/>
      <c r="J71" s="63"/>
      <c r="K71" s="63"/>
      <c r="L71" s="63">
        <f>D71-F71</f>
        <v>-142435</v>
      </c>
      <c r="M71" s="27"/>
      <c r="N71" s="6"/>
    </row>
    <row r="72" spans="1:14" ht="15.75">
      <c r="A72" s="26"/>
      <c r="B72" s="27" t="s">
        <v>45</v>
      </c>
      <c r="C72" s="63">
        <v>0</v>
      </c>
      <c r="D72" s="65">
        <v>29636</v>
      </c>
      <c r="E72" s="63"/>
      <c r="F72" s="63">
        <f>SUM(F69:F71)</f>
        <v>28655</v>
      </c>
      <c r="G72" s="63"/>
      <c r="H72" s="63">
        <f>-H69</f>
        <v>-28867</v>
      </c>
      <c r="I72" s="63"/>
      <c r="J72" s="63"/>
      <c r="K72" s="63"/>
      <c r="L72" s="65">
        <f>D72+F72+H72</f>
        <v>29424</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68"/>
      <c r="I75" s="63"/>
      <c r="J75" s="63"/>
      <c r="K75" s="63"/>
      <c r="L75" s="65">
        <v>0</v>
      </c>
      <c r="M75" s="27"/>
      <c r="N75" s="6"/>
    </row>
    <row r="76" spans="1:14" ht="15.75">
      <c r="A76" s="26"/>
      <c r="B76" s="27" t="s">
        <v>20</v>
      </c>
      <c r="C76" s="65">
        <f>SUM(C69:C75)</f>
        <v>244700</v>
      </c>
      <c r="D76" s="65">
        <f>SUM(D69:D75)</f>
        <v>244700</v>
      </c>
      <c r="E76" s="63"/>
      <c r="F76" s="63">
        <f>F72-F75-F74</f>
        <v>28655</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43628-581</f>
        <v>43047</v>
      </c>
      <c r="M79" s="27"/>
      <c r="N79" s="6"/>
    </row>
    <row r="80" spans="1:14" ht="15.75">
      <c r="A80" s="26"/>
      <c r="B80" s="27" t="s">
        <v>51</v>
      </c>
      <c r="C80" s="51"/>
      <c r="D80" s="55"/>
      <c r="E80" s="27"/>
      <c r="F80" s="27"/>
      <c r="G80" s="27"/>
      <c r="H80" s="27"/>
      <c r="I80" s="27"/>
      <c r="J80" s="63"/>
      <c r="K80" s="27"/>
      <c r="L80" s="64">
        <f>644+125+3+6-10+52</f>
        <v>820</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36742</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-631-211</f>
        <v>-842</v>
      </c>
      <c r="M87" s="27"/>
      <c r="N87" s="6"/>
      <c r="O87" s="69"/>
    </row>
    <row r="88" spans="1:15" ht="15.75">
      <c r="A88" s="26">
        <f t="shared" si="0"/>
        <v>3</v>
      </c>
      <c r="B88" s="27" t="s">
        <v>58</v>
      </c>
      <c r="C88" s="27"/>
      <c r="D88" s="27"/>
      <c r="E88" s="27"/>
      <c r="F88" s="27"/>
      <c r="G88" s="27"/>
      <c r="H88" s="27"/>
      <c r="I88" s="27"/>
      <c r="J88" s="27"/>
      <c r="K88" s="27"/>
      <c r="L88" s="64">
        <v>-1215</v>
      </c>
      <c r="M88" s="27"/>
      <c r="N88" s="6"/>
      <c r="O88" s="69"/>
    </row>
    <row r="89" spans="1:15" ht="15.75">
      <c r="A89" s="26">
        <f t="shared" si="0"/>
        <v>4</v>
      </c>
      <c r="B89" s="27" t="s">
        <v>59</v>
      </c>
      <c r="C89" s="27"/>
      <c r="D89" s="27"/>
      <c r="E89" s="27"/>
      <c r="F89" s="27"/>
      <c r="G89" s="27"/>
      <c r="H89" s="27"/>
      <c r="I89" s="27"/>
      <c r="J89" s="27"/>
      <c r="K89" s="27"/>
      <c r="L89" s="64">
        <v>-1661</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-947</v>
      </c>
      <c r="M91" s="27"/>
      <c r="N91" s="6"/>
      <c r="O91" s="69"/>
    </row>
    <row r="92" spans="1:15" ht="15.75">
      <c r="A92" s="26">
        <f t="shared" si="0"/>
        <v>7</v>
      </c>
      <c r="B92" s="27" t="s">
        <v>62</v>
      </c>
      <c r="C92" s="27"/>
      <c r="D92" s="27"/>
      <c r="E92" s="27"/>
      <c r="F92" s="27"/>
      <c r="G92" s="27"/>
      <c r="H92" s="27"/>
      <c r="I92" s="27"/>
      <c r="J92" s="27"/>
      <c r="K92" s="27"/>
      <c r="L92" s="64">
        <v>-463</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29424</v>
      </c>
      <c r="M94" s="27"/>
      <c r="N94" s="6"/>
      <c r="O94" s="69"/>
    </row>
    <row r="95" spans="1:14" ht="15.75">
      <c r="A95" s="26">
        <f t="shared" si="0"/>
        <v>10</v>
      </c>
      <c r="B95" s="27" t="s">
        <v>64</v>
      </c>
      <c r="C95" s="27"/>
      <c r="D95" s="27"/>
      <c r="E95" s="27"/>
      <c r="F95" s="27"/>
      <c r="G95" s="27"/>
      <c r="H95" s="27"/>
      <c r="I95" s="27"/>
      <c r="J95" s="27"/>
      <c r="K95" s="27"/>
      <c r="L95" s="64">
        <f>J193+SUM(L83:L92)+J195-J198</f>
        <v>2181</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
        <v>189</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79"/>
      <c r="H111" s="9"/>
      <c r="I111" s="9"/>
      <c r="J111" s="9"/>
      <c r="K111" s="9"/>
      <c r="L111" s="80"/>
      <c r="M111" s="9"/>
      <c r="N111" s="6"/>
    </row>
    <row r="112" spans="1:14" ht="15.75">
      <c r="A112" s="7"/>
      <c r="B112" s="14"/>
      <c r="C112" s="18" t="s">
        <v>137</v>
      </c>
      <c r="D112" s="18" t="s">
        <v>147</v>
      </c>
      <c r="E112" s="18" t="s">
        <v>153</v>
      </c>
      <c r="F112" s="18" t="s">
        <v>162</v>
      </c>
      <c r="G112" s="79"/>
      <c r="H112" s="79"/>
      <c r="I112" s="9"/>
      <c r="J112" s="9"/>
      <c r="K112" s="9"/>
      <c r="L112" s="80"/>
      <c r="M112" s="9"/>
      <c r="N112" s="6"/>
    </row>
    <row r="113" spans="1:14" ht="15.75">
      <c r="A113" s="26"/>
      <c r="B113" s="27" t="s">
        <v>199</v>
      </c>
      <c r="C113" s="27">
        <v>2850</v>
      </c>
      <c r="D113" s="27">
        <v>6</v>
      </c>
      <c r="E113" s="27">
        <v>10</v>
      </c>
      <c r="F113" s="27">
        <v>-15</v>
      </c>
      <c r="G113" s="81"/>
      <c r="H113" s="81"/>
      <c r="I113" s="27"/>
      <c r="J113" s="27"/>
      <c r="K113" s="27"/>
      <c r="L113" s="64">
        <f>SUM(C113:F113)</f>
        <v>2851</v>
      </c>
      <c r="M113" s="27"/>
      <c r="N113" s="6"/>
    </row>
    <row r="114" spans="1:14" ht="15.75">
      <c r="A114" s="26"/>
      <c r="B114" s="27" t="s">
        <v>72</v>
      </c>
      <c r="C114" s="27">
        <v>1203</v>
      </c>
      <c r="D114" s="27">
        <v>0</v>
      </c>
      <c r="E114" s="27">
        <v>0</v>
      </c>
      <c r="F114" s="27">
        <v>383</v>
      </c>
      <c r="G114" s="81"/>
      <c r="H114" s="81"/>
      <c r="I114" s="27"/>
      <c r="J114" s="27"/>
      <c r="K114" s="27"/>
      <c r="L114" s="64">
        <f>SUM(C114:F114)</f>
        <v>1586</v>
      </c>
      <c r="M114" s="27"/>
      <c r="N114" s="6"/>
    </row>
    <row r="115" spans="1:14" ht="15.75">
      <c r="A115" s="26"/>
      <c r="B115" s="27" t="s">
        <v>73</v>
      </c>
      <c r="C115" s="27"/>
      <c r="D115" s="27"/>
      <c r="E115" s="27"/>
      <c r="F115" s="27"/>
      <c r="G115" s="27"/>
      <c r="H115" s="27"/>
      <c r="I115" s="27"/>
      <c r="J115" s="27"/>
      <c r="K115" s="27"/>
      <c r="L115" s="64">
        <f>SUM(L113:L114)</f>
        <v>4437</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357711</v>
      </c>
      <c r="M117" s="27"/>
      <c r="N117" s="6"/>
    </row>
    <row r="118" spans="1:14" ht="15.75">
      <c r="A118" s="26"/>
      <c r="B118" s="27" t="s">
        <v>76</v>
      </c>
      <c r="C118" s="82"/>
      <c r="D118" s="27"/>
      <c r="E118" s="27"/>
      <c r="F118" s="27"/>
      <c r="G118" s="27"/>
      <c r="H118" s="27"/>
      <c r="I118" s="27"/>
      <c r="J118" s="27"/>
      <c r="K118" s="27"/>
      <c r="L118" s="64">
        <f>L72</f>
        <v>29424</v>
      </c>
      <c r="M118" s="27"/>
      <c r="N118" s="6"/>
    </row>
    <row r="119" spans="1:14" ht="15.75">
      <c r="A119" s="26"/>
      <c r="B119" s="27" t="s">
        <v>77</v>
      </c>
      <c r="C119" s="82"/>
      <c r="D119" s="27"/>
      <c r="E119" s="27"/>
      <c r="F119" s="27"/>
      <c r="G119" s="27"/>
      <c r="H119" s="27"/>
      <c r="I119" s="27"/>
      <c r="J119" s="27"/>
      <c r="K119" s="27"/>
      <c r="L119" s="64">
        <f>L118+L117+L74+L75</f>
        <v>387135</v>
      </c>
      <c r="M119" s="27"/>
      <c r="N119" s="6"/>
    </row>
    <row r="120" spans="1:14" ht="15.75">
      <c r="A120" s="26"/>
      <c r="B120" s="27" t="s">
        <v>78</v>
      </c>
      <c r="C120" s="82"/>
      <c r="D120" s="27"/>
      <c r="E120" s="27"/>
      <c r="F120" s="27"/>
      <c r="G120" s="27"/>
      <c r="H120" s="27"/>
      <c r="I120" s="27"/>
      <c r="J120" s="27"/>
      <c r="K120" s="27"/>
      <c r="L120" s="64">
        <f>L76</f>
        <v>244700</v>
      </c>
      <c r="M120" s="27"/>
      <c r="N120" s="6"/>
    </row>
    <row r="121" spans="1:14" ht="15.75">
      <c r="A121" s="26"/>
      <c r="B121" s="27"/>
      <c r="C121" s="27"/>
      <c r="D121" s="27"/>
      <c r="E121" s="27"/>
      <c r="F121" s="27"/>
      <c r="G121" s="27"/>
      <c r="H121" s="27"/>
      <c r="I121" s="27"/>
      <c r="J121" s="27"/>
      <c r="K121" s="27"/>
      <c r="L121" s="83"/>
      <c r="M121" s="27"/>
      <c r="N121" s="6"/>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v>0</v>
      </c>
      <c r="I124" s="27"/>
      <c r="J124" s="84" t="s">
        <v>177</v>
      </c>
      <c r="K124" s="27"/>
      <c r="L124" s="64">
        <f>H124</f>
        <v>0</v>
      </c>
      <c r="M124" s="27"/>
      <c r="N124" s="6"/>
    </row>
    <row r="125" spans="1:14" ht="15.75">
      <c r="A125" s="26"/>
      <c r="B125" s="27" t="s">
        <v>82</v>
      </c>
      <c r="C125" s="27"/>
      <c r="D125" s="27"/>
      <c r="E125" s="27"/>
      <c r="F125" s="27"/>
      <c r="G125" s="27"/>
      <c r="H125" s="64">
        <v>0</v>
      </c>
      <c r="I125" s="27"/>
      <c r="J125" s="84" t="s">
        <v>177</v>
      </c>
      <c r="K125" s="27"/>
      <c r="L125" s="64">
        <f>H125</f>
        <v>0</v>
      </c>
      <c r="M125" s="27"/>
      <c r="N125" s="6"/>
    </row>
    <row r="126" spans="1:14" ht="15.75">
      <c r="A126" s="26"/>
      <c r="B126" s="27" t="s">
        <v>83</v>
      </c>
      <c r="C126" s="27"/>
      <c r="D126" s="27"/>
      <c r="E126" s="27"/>
      <c r="F126" s="27"/>
      <c r="G126" s="27"/>
      <c r="H126" s="64">
        <f>SUM(H124:H125)</f>
        <v>0</v>
      </c>
      <c r="I126" s="27"/>
      <c r="J126" s="84" t="s">
        <v>177</v>
      </c>
      <c r="K126" s="27"/>
      <c r="L126" s="64">
        <f>H126</f>
        <v>0</v>
      </c>
      <c r="M126" s="27"/>
      <c r="N126" s="6"/>
    </row>
    <row r="127" spans="1:14" ht="15.75">
      <c r="A127" s="26"/>
      <c r="B127" s="27" t="s">
        <v>84</v>
      </c>
      <c r="C127" s="27"/>
      <c r="D127" s="27"/>
      <c r="E127" s="27"/>
      <c r="F127" s="27"/>
      <c r="G127" s="27"/>
      <c r="H127" s="64">
        <f>H123-H126</f>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37437</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0.1677</v>
      </c>
      <c r="K134" s="27"/>
      <c r="L134" s="27"/>
      <c r="M134" s="27"/>
      <c r="N134" s="6"/>
    </row>
    <row r="135" spans="1:14" ht="15.75">
      <c r="A135" s="87"/>
      <c r="B135" s="88" t="s">
        <v>90</v>
      </c>
      <c r="C135" s="89"/>
      <c r="D135" s="89"/>
      <c r="E135" s="89"/>
      <c r="F135" s="89"/>
      <c r="G135" s="90"/>
      <c r="H135" s="90"/>
      <c r="I135" s="90"/>
      <c r="J135" s="91">
        <f>L34</f>
        <v>0.05033904233755619</v>
      </c>
      <c r="K135" s="27"/>
      <c r="L135" s="27"/>
      <c r="M135" s="27"/>
      <c r="N135" s="6"/>
    </row>
    <row r="136" spans="1:14" ht="15.75">
      <c r="A136" s="87"/>
      <c r="B136" s="88" t="s">
        <v>91</v>
      </c>
      <c r="C136" s="89"/>
      <c r="D136" s="89"/>
      <c r="E136" s="89"/>
      <c r="F136" s="89"/>
      <c r="G136" s="90"/>
      <c r="H136" s="90"/>
      <c r="I136" s="90"/>
      <c r="J136" s="91">
        <f>J134-J135</f>
        <v>0.1173609576624438</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11.84</v>
      </c>
      <c r="K141" s="27"/>
      <c r="L141" s="27"/>
      <c r="M141" s="27"/>
      <c r="N141" s="6"/>
    </row>
    <row r="142" spans="1:14" ht="15.75">
      <c r="A142" s="87"/>
      <c r="B142" s="88" t="s">
        <v>97</v>
      </c>
      <c r="C142" s="89"/>
      <c r="D142" s="89"/>
      <c r="E142" s="89"/>
      <c r="F142" s="89"/>
      <c r="G142" s="90"/>
      <c r="H142" s="90"/>
      <c r="I142" s="90"/>
      <c r="J142" s="91">
        <v>0.0631</v>
      </c>
      <c r="K142" s="27"/>
      <c r="L142" s="27"/>
      <c r="M142" s="27"/>
      <c r="N142" s="6"/>
    </row>
    <row r="143" spans="1:14" ht="15.75">
      <c r="A143" s="87"/>
      <c r="B143" s="88" t="s">
        <v>98</v>
      </c>
      <c r="C143" s="89"/>
      <c r="D143" s="89"/>
      <c r="E143" s="89"/>
      <c r="F143" s="89"/>
      <c r="G143" s="90"/>
      <c r="H143" s="90"/>
      <c r="I143" s="90"/>
      <c r="J143" s="91">
        <v>0.2388</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
        <v>189</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6085</v>
      </c>
      <c r="J148" s="64">
        <v>45951</v>
      </c>
      <c r="K148" s="64"/>
      <c r="L148" s="94"/>
      <c r="M148" s="104"/>
      <c r="N148" s="6"/>
    </row>
    <row r="149" spans="1:14" ht="15.75">
      <c r="A149" s="103"/>
      <c r="B149" s="88" t="s">
        <v>101</v>
      </c>
      <c r="C149" s="65"/>
      <c r="D149" s="65"/>
      <c r="E149" s="65"/>
      <c r="F149" s="27"/>
      <c r="G149" s="27"/>
      <c r="H149" s="27"/>
      <c r="I149" s="27">
        <v>42</v>
      </c>
      <c r="J149" s="64">
        <v>220</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28867</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4437</v>
      </c>
      <c r="K153" s="27"/>
      <c r="L153" s="94"/>
      <c r="M153" s="108"/>
      <c r="N153" s="6"/>
    </row>
    <row r="154" spans="1:14" ht="15.75">
      <c r="A154" s="103"/>
      <c r="B154" s="88" t="s">
        <v>106</v>
      </c>
      <c r="C154" s="65"/>
      <c r="D154" s="65"/>
      <c r="E154" s="65"/>
      <c r="F154" s="65"/>
      <c r="G154" s="27"/>
      <c r="H154" s="27"/>
      <c r="I154" s="27"/>
      <c r="J154" s="64">
        <f>'March 02'!J154+J153</f>
        <v>7777</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82</v>
      </c>
      <c r="K164" s="113"/>
      <c r="L164" s="34"/>
      <c r="M164" s="94"/>
      <c r="N164" s="6"/>
    </row>
    <row r="165" spans="1:14" ht="15.75">
      <c r="A165" s="103"/>
      <c r="B165" s="88" t="s">
        <v>110</v>
      </c>
      <c r="C165" s="65"/>
      <c r="D165" s="65"/>
      <c r="E165" s="111"/>
      <c r="F165" s="109"/>
      <c r="G165" s="110"/>
      <c r="H165" s="27"/>
      <c r="I165" s="34"/>
      <c r="J165" s="113">
        <v>3.6</v>
      </c>
      <c r="K165" s="113"/>
      <c r="L165" s="34"/>
      <c r="M165" s="94"/>
      <c r="N165" s="6"/>
    </row>
    <row r="166" spans="1:14" ht="15.75">
      <c r="A166" s="103"/>
      <c r="B166" s="88" t="s">
        <v>115</v>
      </c>
      <c r="C166" s="65"/>
      <c r="D166" s="65"/>
      <c r="E166" s="111"/>
      <c r="F166" s="109"/>
      <c r="G166" s="110"/>
      <c r="H166" s="27"/>
      <c r="I166" s="34"/>
      <c r="J166" s="113">
        <v>67</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81"/>
      <c r="D169" s="114" t="s">
        <v>148</v>
      </c>
      <c r="E169" s="115"/>
      <c r="F169" s="116"/>
      <c r="G169" s="115"/>
      <c r="H169" s="114" t="s">
        <v>40</v>
      </c>
      <c r="I169" s="115"/>
      <c r="J169" s="116"/>
      <c r="K169" s="115"/>
      <c r="L169" s="117"/>
      <c r="M169" s="108"/>
      <c r="N169" s="6"/>
    </row>
    <row r="170" spans="1:14" ht="15.75">
      <c r="A170" s="26"/>
      <c r="B170" s="81"/>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f>255+23908-149</f>
        <v>24014</v>
      </c>
      <c r="D171" s="135">
        <f>C171/$C$175</f>
        <v>0.8452955049456158</v>
      </c>
      <c r="E171" s="118">
        <f>1021+144885-1569</f>
        <v>144337</v>
      </c>
      <c r="F171" s="91">
        <f>E171/$E$175</f>
        <v>0.8361933121683313</v>
      </c>
      <c r="G171" s="115"/>
      <c r="H171" s="118">
        <v>8967</v>
      </c>
      <c r="I171" s="91">
        <f>H171/H175</f>
        <v>0.9706646460272786</v>
      </c>
      <c r="J171" s="118">
        <v>6994</v>
      </c>
      <c r="K171" s="91">
        <f>J171/$J$175</f>
        <v>0.9496266123557366</v>
      </c>
      <c r="L171" s="117"/>
      <c r="M171" s="108"/>
      <c r="N171" s="6"/>
    </row>
    <row r="172" spans="1:14" ht="15.75">
      <c r="A172" s="26"/>
      <c r="B172" s="65" t="s">
        <v>118</v>
      </c>
      <c r="C172" s="118">
        <f>18+545-9</f>
        <v>554</v>
      </c>
      <c r="D172" s="135">
        <f>C172/$C$175</f>
        <v>0.019500862402759687</v>
      </c>
      <c r="E172" s="118">
        <f>79+3881-120</f>
        <v>3840</v>
      </c>
      <c r="F172" s="91">
        <f>E172/$E$175</f>
        <v>0.022246425509234585</v>
      </c>
      <c r="G172" s="115"/>
      <c r="H172" s="118">
        <v>56</v>
      </c>
      <c r="I172" s="91">
        <f>H172/$H$175</f>
        <v>0.006061918164104785</v>
      </c>
      <c r="J172" s="118">
        <v>65</v>
      </c>
      <c r="K172" s="91">
        <f>J172/$J$175</f>
        <v>0.008825526137135099</v>
      </c>
      <c r="L172" s="117"/>
      <c r="M172" s="108"/>
      <c r="N172" s="6"/>
    </row>
    <row r="173" spans="1:14" ht="15.75">
      <c r="A173" s="26"/>
      <c r="B173" s="65" t="s">
        <v>119</v>
      </c>
      <c r="C173" s="118">
        <f>11+425-5</f>
        <v>431</v>
      </c>
      <c r="D173" s="135">
        <f>C173/$C$175</f>
        <v>0.015171248547995354</v>
      </c>
      <c r="E173" s="118">
        <f>39+3120-61</f>
        <v>3098</v>
      </c>
      <c r="F173" s="91">
        <f>E173/$E$175</f>
        <v>0.01794776724677311</v>
      </c>
      <c r="G173" s="115"/>
      <c r="H173" s="118">
        <v>46</v>
      </c>
      <c r="I173" s="91">
        <f>H173/$H$175</f>
        <v>0.0049794327776575015</v>
      </c>
      <c r="J173" s="118">
        <v>65</v>
      </c>
      <c r="K173" s="91">
        <f>J173/$J$175</f>
        <v>0.008825526137135099</v>
      </c>
      <c r="L173" s="117"/>
      <c r="M173" s="108"/>
      <c r="N173" s="6"/>
    </row>
    <row r="174" spans="1:14" ht="15.75">
      <c r="A174" s="26"/>
      <c r="B174" s="65" t="s">
        <v>120</v>
      </c>
      <c r="C174" s="118">
        <f>6+367+6+321+10+325+10+315+12+297+7+299+8+299+9+315+12+332+64+417-21</f>
        <v>3410</v>
      </c>
      <c r="D174" s="135">
        <f>C174/$C$175</f>
        <v>0.12003238410362913</v>
      </c>
      <c r="E174" s="118">
        <f>5393+286884-119665-E173-E172-E171</f>
        <v>21337</v>
      </c>
      <c r="F174" s="91">
        <f>E174/$E$175</f>
        <v>0.12361249507566102</v>
      </c>
      <c r="G174" s="115"/>
      <c r="H174" s="118">
        <f>27+17+29+18+38+3+15+10+12</f>
        <v>169</v>
      </c>
      <c r="I174" s="91">
        <f>H174/$H$175</f>
        <v>0.018294003030959082</v>
      </c>
      <c r="J174" s="118">
        <f>7365-J173-J172-J171</f>
        <v>241</v>
      </c>
      <c r="K174" s="91">
        <f>J174/$J$175</f>
        <v>0.03272233536999321</v>
      </c>
      <c r="L174" s="117"/>
      <c r="M174" s="108"/>
      <c r="N174" s="6"/>
    </row>
    <row r="175" spans="1:14" ht="15.75">
      <c r="A175" s="26"/>
      <c r="B175" s="65" t="s">
        <v>121</v>
      </c>
      <c r="C175" s="118">
        <f>SUM(C171:C174)</f>
        <v>28409</v>
      </c>
      <c r="D175" s="135">
        <f>SUM(D171:D174)</f>
        <v>1</v>
      </c>
      <c r="E175" s="118">
        <f>SUM(E171:E174)</f>
        <v>172612</v>
      </c>
      <c r="F175" s="91">
        <f>SUM(F171:F174)</f>
        <v>1</v>
      </c>
      <c r="G175" s="115"/>
      <c r="H175" s="118">
        <f>SUM(H171:H174)</f>
        <v>9238</v>
      </c>
      <c r="I175" s="91">
        <f>SUM(I171:I174)</f>
        <v>1</v>
      </c>
      <c r="J175" s="118">
        <f>SUM(J171:J174)</f>
        <v>7365</v>
      </c>
      <c r="K175" s="91">
        <f>SUM(K171:K174)</f>
        <v>1</v>
      </c>
      <c r="L175" s="117"/>
      <c r="M175" s="108"/>
      <c r="N175" s="6"/>
    </row>
    <row r="176" spans="1:14" ht="15.75">
      <c r="A176" s="26"/>
      <c r="B176" s="65" t="s">
        <v>122</v>
      </c>
      <c r="C176" s="118">
        <f>616+14474+195-11</f>
        <v>15274</v>
      </c>
      <c r="D176" s="119"/>
      <c r="E176" s="118">
        <f>3802+113822+2041</f>
        <v>119665</v>
      </c>
      <c r="F176" s="119"/>
      <c r="G176" s="115"/>
      <c r="H176" s="118">
        <v>4</v>
      </c>
      <c r="I176" s="119"/>
      <c r="J176" s="118">
        <v>6</v>
      </c>
      <c r="K176" s="119"/>
      <c r="L176" s="117"/>
      <c r="M176" s="108"/>
      <c r="N176" s="6"/>
    </row>
    <row r="177" spans="1:14" ht="15.75">
      <c r="A177" s="26"/>
      <c r="B177" s="65" t="s">
        <v>123</v>
      </c>
      <c r="C177" s="118">
        <f>SUM(C175:C176)</f>
        <v>43683</v>
      </c>
      <c r="D177" s="81"/>
      <c r="E177" s="118">
        <f>SUM(E175:E176)</f>
        <v>292277</v>
      </c>
      <c r="F177" s="91"/>
      <c r="G177" s="81"/>
      <c r="H177" s="118">
        <f>SUM(H175:H176)</f>
        <v>9242</v>
      </c>
      <c r="I177" s="81"/>
      <c r="J177" s="118">
        <f>SUM(J175:J176)</f>
        <v>7371</v>
      </c>
      <c r="K177" s="81"/>
      <c r="L177" s="81"/>
      <c r="M177" s="108"/>
      <c r="N177" s="6"/>
    </row>
    <row r="178" spans="1:14" ht="15.75">
      <c r="A178" s="26"/>
      <c r="B178" s="65"/>
      <c r="C178" s="118"/>
      <c r="D178" s="135"/>
      <c r="E178" s="118"/>
      <c r="F178" s="91"/>
      <c r="G178" s="115"/>
      <c r="H178" s="118"/>
      <c r="I178" s="91"/>
      <c r="J178" s="118"/>
      <c r="K178" s="91"/>
      <c r="L178" s="117"/>
      <c r="M178" s="108"/>
      <c r="N178" s="6"/>
    </row>
    <row r="179" spans="1:14" ht="15.75">
      <c r="A179" s="26"/>
      <c r="B179" s="65"/>
      <c r="C179" s="115"/>
      <c r="D179" s="114" t="s">
        <v>41</v>
      </c>
      <c r="E179" s="115"/>
      <c r="F179" s="136"/>
      <c r="G179" s="115"/>
      <c r="H179" s="114" t="s">
        <v>42</v>
      </c>
      <c r="I179" s="115"/>
      <c r="J179" s="116"/>
      <c r="K179" s="115"/>
      <c r="L179" s="117"/>
      <c r="M179" s="108"/>
      <c r="N179" s="6"/>
    </row>
    <row r="180" spans="1:14" ht="15.75">
      <c r="A180" s="26"/>
      <c r="B180" s="81"/>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1272</v>
      </c>
      <c r="D181" s="135">
        <f>C181/$C$185</f>
        <v>0.952808988764045</v>
      </c>
      <c r="E181" s="118">
        <v>23005</v>
      </c>
      <c r="F181" s="91">
        <f>E181/$E$185</f>
        <v>0.9807306987253271</v>
      </c>
      <c r="G181" s="115"/>
      <c r="H181" s="118">
        <v>6910</v>
      </c>
      <c r="I181" s="91">
        <f>H181/$H$185</f>
        <v>0.8761252694307088</v>
      </c>
      <c r="J181" s="118">
        <v>32617</v>
      </c>
      <c r="K181" s="91">
        <f>J181/J185</f>
        <v>0.956229844620346</v>
      </c>
      <c r="L181" s="117"/>
      <c r="M181" s="108"/>
      <c r="N181" s="6"/>
    </row>
    <row r="182" spans="1:15" ht="15.75">
      <c r="A182" s="26"/>
      <c r="B182" s="65" t="s">
        <v>118</v>
      </c>
      <c r="C182" s="118">
        <v>12</v>
      </c>
      <c r="D182" s="135">
        <f>C182/$C$185</f>
        <v>0.008988764044943821</v>
      </c>
      <c r="E182" s="118">
        <v>243</v>
      </c>
      <c r="F182" s="91">
        <f>E182/$E$185</f>
        <v>0.01035938099501215</v>
      </c>
      <c r="G182" s="115"/>
      <c r="H182" s="118">
        <v>99</v>
      </c>
      <c r="I182" s="91">
        <f>H182/$H$185</f>
        <v>0.012552301255230125</v>
      </c>
      <c r="J182" s="118">
        <v>365</v>
      </c>
      <c r="K182" s="91">
        <f>J182/$J$185</f>
        <v>0.01070067428906479</v>
      </c>
      <c r="L182" s="117"/>
      <c r="M182" s="108"/>
      <c r="N182" s="6"/>
      <c r="O182" s="69"/>
    </row>
    <row r="183" spans="1:14" ht="15.75">
      <c r="A183" s="26"/>
      <c r="B183" s="65" t="s">
        <v>119</v>
      </c>
      <c r="C183" s="118">
        <v>5</v>
      </c>
      <c r="D183" s="135">
        <f>C183/$C$185</f>
        <v>0.003745318352059925</v>
      </c>
      <c r="E183" s="118">
        <v>53</v>
      </c>
      <c r="F183" s="91">
        <f>E183/$E$185</f>
        <v>0.0022594534680479175</v>
      </c>
      <c r="G183" s="115"/>
      <c r="H183" s="118">
        <v>45</v>
      </c>
      <c r="I183" s="91">
        <f>H183/$H$185</f>
        <v>0.005705591479650057</v>
      </c>
      <c r="J183" s="118">
        <v>151</v>
      </c>
      <c r="K183" s="91">
        <f>J183/$J$185</f>
        <v>0.004426854294928174</v>
      </c>
      <c r="L183" s="117"/>
      <c r="M183" s="108"/>
      <c r="N183" s="6"/>
    </row>
    <row r="184" spans="1:14" ht="15.75">
      <c r="A184" s="26"/>
      <c r="B184" s="65" t="s">
        <v>120</v>
      </c>
      <c r="C184" s="118">
        <f>3+2+41</f>
        <v>46</v>
      </c>
      <c r="D184" s="135">
        <f>C184/$C$185</f>
        <v>0.03445692883895131</v>
      </c>
      <c r="E184" s="118">
        <f>23457-E183-E182-E181</f>
        <v>156</v>
      </c>
      <c r="F184" s="91">
        <f>E184/$E$185</f>
        <v>0.006650466811612738</v>
      </c>
      <c r="G184" s="115"/>
      <c r="H184" s="118">
        <f>33+20+14+11+11+9+6+7+7+715</f>
        <v>833</v>
      </c>
      <c r="I184" s="91">
        <f>H184/$H$185</f>
        <v>0.10561683783441106</v>
      </c>
      <c r="J184" s="118">
        <f>34110-J183-J182-J181</f>
        <v>977</v>
      </c>
      <c r="K184" s="91">
        <f>J184/$J$185</f>
        <v>0.028642626795661097</v>
      </c>
      <c r="L184" s="117"/>
      <c r="M184" s="108"/>
      <c r="N184" s="6"/>
    </row>
    <row r="185" spans="1:14" ht="15.75">
      <c r="A185" s="26"/>
      <c r="B185" s="65" t="str">
        <f>B175</f>
        <v>Total Performing  Assets</v>
      </c>
      <c r="C185" s="118">
        <f>SUM(C181:C184)</f>
        <v>1335</v>
      </c>
      <c r="D185" s="135">
        <f>SUM(D181:D184)</f>
        <v>1</v>
      </c>
      <c r="E185" s="118">
        <f>SUM(E181:E184)</f>
        <v>23457</v>
      </c>
      <c r="F185" s="91">
        <f>SUM(F181:F184)</f>
        <v>0.9999999999999999</v>
      </c>
      <c r="G185" s="115"/>
      <c r="H185" s="118">
        <f>SUM(H181:H184)</f>
        <v>7887</v>
      </c>
      <c r="I185" s="91">
        <f>SUM(I181:I184)</f>
        <v>1</v>
      </c>
      <c r="J185" s="118">
        <f>SUM(J181:J184)</f>
        <v>34110</v>
      </c>
      <c r="K185" s="91">
        <f>SUM(K181:K184)</f>
        <v>1</v>
      </c>
      <c r="L185" s="117"/>
      <c r="M185" s="108"/>
      <c r="N185" s="6"/>
    </row>
    <row r="186" spans="1:14" ht="15.75">
      <c r="A186" s="26"/>
      <c r="B186" s="65" t="s">
        <v>122</v>
      </c>
      <c r="C186" s="118">
        <v>1</v>
      </c>
      <c r="D186" s="121"/>
      <c r="E186" s="118">
        <v>11</v>
      </c>
      <c r="F186" s="119"/>
      <c r="G186" s="115"/>
      <c r="H186" s="118">
        <v>86</v>
      </c>
      <c r="I186" s="121"/>
      <c r="J186" s="118">
        <v>484</v>
      </c>
      <c r="K186" s="121"/>
      <c r="L186" s="117"/>
      <c r="M186" s="108"/>
      <c r="N186" s="6"/>
    </row>
    <row r="187" spans="1:13" ht="15.75">
      <c r="A187" s="26"/>
      <c r="B187" s="65" t="s">
        <v>123</v>
      </c>
      <c r="C187" s="118">
        <f>SUM(C185:C186)</f>
        <v>1336</v>
      </c>
      <c r="D187" s="81"/>
      <c r="E187" s="118">
        <f>SUM(E185:E186)</f>
        <v>23468</v>
      </c>
      <c r="F187" s="120"/>
      <c r="G187" s="81"/>
      <c r="H187" s="118">
        <f>SUM(H185:H186)</f>
        <v>7973</v>
      </c>
      <c r="I187" s="81"/>
      <c r="J187" s="118">
        <f>SUM(J185:J186)</f>
        <v>34594</v>
      </c>
      <c r="K187" s="81"/>
      <c r="L187" s="81"/>
      <c r="M187" s="140"/>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357710</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5"/>
      <c r="J193" s="118">
        <f>J185+E185+J175+E175</f>
        <v>237544</v>
      </c>
      <c r="K193" s="115"/>
      <c r="L193" s="117"/>
      <c r="M193" s="108"/>
      <c r="N193" s="6"/>
    </row>
    <row r="194" spans="1:14" ht="15.75">
      <c r="A194" s="26"/>
      <c r="B194" s="65" t="s">
        <v>126</v>
      </c>
      <c r="C194" s="115"/>
      <c r="D194" s="116"/>
      <c r="E194" s="115"/>
      <c r="F194" s="116"/>
      <c r="G194" s="115"/>
      <c r="H194" s="116"/>
      <c r="I194" s="115"/>
      <c r="J194" s="118">
        <f>L94</f>
        <v>29424</v>
      </c>
      <c r="K194" s="115"/>
      <c r="L194" s="117"/>
      <c r="M194" s="108"/>
      <c r="N194" s="124"/>
    </row>
    <row r="195" spans="1:14" ht="15.75">
      <c r="A195" s="26"/>
      <c r="B195" s="65" t="s">
        <v>127</v>
      </c>
      <c r="C195" s="115"/>
      <c r="D195" s="116"/>
      <c r="E195" s="115"/>
      <c r="F195" s="116"/>
      <c r="G195" s="115"/>
      <c r="H195" s="116"/>
      <c r="I195" s="115"/>
      <c r="J195" s="118">
        <v>-22268</v>
      </c>
      <c r="K195" s="115"/>
      <c r="L195" s="117"/>
      <c r="M195" s="108"/>
      <c r="N195" s="125"/>
    </row>
    <row r="196" spans="1:14" ht="15.75">
      <c r="A196" s="26"/>
      <c r="B196" s="65" t="s">
        <v>128</v>
      </c>
      <c r="C196" s="115"/>
      <c r="D196" s="116"/>
      <c r="E196" s="115"/>
      <c r="F196" s="116"/>
      <c r="G196" s="115"/>
      <c r="H196" s="116"/>
      <c r="I196" s="115"/>
      <c r="J196" s="118">
        <f>SUM(J193:J195)</f>
        <v>244700</v>
      </c>
      <c r="K196" s="115"/>
      <c r="L196" s="117"/>
      <c r="M196" s="108"/>
      <c r="N196" s="6"/>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
        <v>189</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13" man="1"/>
    <brk id="146" max="13" man="1"/>
    <brk id="213" max="0" man="1"/>
  </rowBreaks>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A1:O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6.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10.10546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4" ht="15.75">
      <c r="A15" s="7"/>
      <c r="B15" s="15" t="s">
        <v>7</v>
      </c>
      <c r="C15" s="15"/>
      <c r="D15" s="18" t="s">
        <v>137</v>
      </c>
      <c r="E15" s="19">
        <f>E175/($J$193+L94)</f>
        <v>0.5810097090287974</v>
      </c>
      <c r="F15" s="18" t="s">
        <v>147</v>
      </c>
      <c r="G15" s="19">
        <f>J175/($J$193+L94)</f>
        <v>0.02969644301938809</v>
      </c>
      <c r="H15" s="18" t="s">
        <v>153</v>
      </c>
      <c r="I15" s="19">
        <f>E185/($J$193+L$94)</f>
        <v>0.15186838872074557</v>
      </c>
      <c r="J15" s="18" t="s">
        <v>162</v>
      </c>
      <c r="K15" s="19">
        <f>J185/($J$193+L$94)</f>
        <v>0.11796919480986486</v>
      </c>
      <c r="L15" s="17"/>
      <c r="M15" s="16"/>
      <c r="N15" s="6"/>
    </row>
    <row r="16" spans="1:14" ht="15.75">
      <c r="A16" s="7"/>
      <c r="B16" s="15" t="s">
        <v>8</v>
      </c>
      <c r="C16" s="15"/>
      <c r="D16" s="16"/>
      <c r="E16" s="16"/>
      <c r="F16" s="16"/>
      <c r="G16" s="16"/>
      <c r="H16" s="16"/>
      <c r="I16" s="16"/>
      <c r="J16" s="16"/>
      <c r="K16" s="16"/>
      <c r="L16" s="18" t="s">
        <v>184</v>
      </c>
      <c r="M16" s="9"/>
      <c r="N16" s="6"/>
    </row>
    <row r="17" spans="1:14" ht="15.75">
      <c r="A17" s="7"/>
      <c r="B17" s="15" t="s">
        <v>9</v>
      </c>
      <c r="C17" s="15"/>
      <c r="D17" s="16"/>
      <c r="E17" s="16"/>
      <c r="F17" s="16"/>
      <c r="G17" s="16"/>
      <c r="H17" s="16"/>
      <c r="I17" s="16"/>
      <c r="J17" s="16"/>
      <c r="K17" s="16"/>
      <c r="L17" s="20">
        <v>37546</v>
      </c>
      <c r="M17" s="9"/>
      <c r="N17" s="6"/>
    </row>
    <row r="18" spans="1:14" ht="15.75">
      <c r="A18" s="7"/>
      <c r="B18" s="9"/>
      <c r="C18" s="9"/>
      <c r="D18" s="9"/>
      <c r="E18" s="9"/>
      <c r="F18" s="9"/>
      <c r="G18" s="9"/>
      <c r="H18" s="9"/>
      <c r="I18" s="9"/>
      <c r="J18" s="9"/>
      <c r="K18" s="9"/>
      <c r="L18" s="21"/>
      <c r="M18" s="9"/>
      <c r="N18" s="6"/>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46"/>
      <c r="D33" s="34" t="s">
        <v>143</v>
      </c>
      <c r="E33" s="27"/>
      <c r="F33" s="34" t="s">
        <v>159</v>
      </c>
      <c r="G33" s="34"/>
      <c r="H33" s="34" t="s">
        <v>170</v>
      </c>
      <c r="I33" s="34"/>
      <c r="J33" s="34"/>
      <c r="K33" s="30"/>
      <c r="L33" s="30"/>
      <c r="M33" s="27"/>
      <c r="N33" s="6"/>
    </row>
    <row r="34" spans="1:14" ht="15.75">
      <c r="A34" s="26"/>
      <c r="B34" s="27" t="s">
        <v>22</v>
      </c>
      <c r="C34" s="46"/>
      <c r="D34" s="47">
        <v>0.0444813</v>
      </c>
      <c r="E34" s="48"/>
      <c r="F34" s="47">
        <v>0.0526813</v>
      </c>
      <c r="G34" s="47"/>
      <c r="H34" s="47">
        <v>0.0681813</v>
      </c>
      <c r="I34" s="49"/>
      <c r="J34" s="47"/>
      <c r="K34" s="30"/>
      <c r="L34" s="49">
        <f>SUMPRODUCT(D34:J34,D32:J32)/L32</f>
        <v>0.049462542337556197</v>
      </c>
      <c r="M34" s="27"/>
      <c r="N34" s="6"/>
    </row>
    <row r="35" spans="1:14" ht="15.75">
      <c r="A35" s="26"/>
      <c r="B35" s="27" t="s">
        <v>23</v>
      </c>
      <c r="C35" s="46"/>
      <c r="D35" s="47">
        <v>0.0453578</v>
      </c>
      <c r="E35" s="48"/>
      <c r="F35" s="47">
        <v>0.0535578</v>
      </c>
      <c r="G35" s="47"/>
      <c r="H35" s="47">
        <v>0.0690578</v>
      </c>
      <c r="I35" s="49"/>
      <c r="J35" s="47"/>
      <c r="K35" s="30"/>
      <c r="L35" s="30"/>
      <c r="M35" s="27"/>
      <c r="N35" s="6"/>
    </row>
    <row r="36" spans="1:14" ht="15.75">
      <c r="A36" s="26"/>
      <c r="B36" s="27" t="s">
        <v>24</v>
      </c>
      <c r="C36" s="46"/>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27"/>
      <c r="E43" s="27"/>
      <c r="F43" s="48"/>
      <c r="G43" s="27"/>
      <c r="H43" s="27"/>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37544</v>
      </c>
      <c r="M45" s="31"/>
      <c r="N45" s="6"/>
    </row>
    <row r="46" spans="1:14" ht="15.75">
      <c r="A46" s="26"/>
      <c r="B46" s="27" t="s">
        <v>32</v>
      </c>
      <c r="C46" s="27"/>
      <c r="D46" s="27"/>
      <c r="E46" s="27"/>
      <c r="F46" s="27"/>
      <c r="G46" s="27"/>
      <c r="H46" s="30"/>
      <c r="I46" s="27">
        <f>L46-J46+1</f>
        <v>91</v>
      </c>
      <c r="J46" s="56">
        <v>37361</v>
      </c>
      <c r="K46" s="57"/>
      <c r="L46" s="56">
        <v>37451</v>
      </c>
      <c r="M46" s="27"/>
      <c r="N46" s="6"/>
    </row>
    <row r="47" spans="1:14" ht="15.75">
      <c r="A47" s="26"/>
      <c r="B47" s="27" t="s">
        <v>33</v>
      </c>
      <c r="C47" s="27"/>
      <c r="D47" s="27"/>
      <c r="E47" s="27"/>
      <c r="F47" s="27"/>
      <c r="G47" s="27"/>
      <c r="H47" s="30"/>
      <c r="I47" s="27">
        <f>L47-J47+1</f>
        <v>92</v>
      </c>
      <c r="J47" s="56">
        <v>37452</v>
      </c>
      <c r="K47" s="57"/>
      <c r="L47" s="56">
        <v>37543</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37530</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190</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292278</v>
      </c>
      <c r="E57" s="63"/>
      <c r="F57" s="63">
        <f>213+13550+767+16+2</f>
        <v>14548</v>
      </c>
      <c r="G57" s="63"/>
      <c r="H57" s="63">
        <v>0</v>
      </c>
      <c r="I57" s="63"/>
      <c r="J57" s="63">
        <v>0</v>
      </c>
      <c r="K57" s="63"/>
      <c r="L57" s="64">
        <f>D57-F57+H57-J57</f>
        <v>277730</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7371</v>
      </c>
      <c r="E60" s="63"/>
      <c r="F60" s="63">
        <v>3791</v>
      </c>
      <c r="G60" s="63"/>
      <c r="H60" s="63">
        <v>4392</v>
      </c>
      <c r="I60" s="63"/>
      <c r="J60" s="63">
        <f>SUM(J57:J59)</f>
        <v>0</v>
      </c>
      <c r="K60" s="63"/>
      <c r="L60" s="64">
        <f>D60-F60+H60-J60</f>
        <v>7972</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23468</v>
      </c>
      <c r="E63" s="63"/>
      <c r="F63" s="63">
        <v>3525</v>
      </c>
      <c r="G63" s="63"/>
      <c r="H63" s="63">
        <v>20612</v>
      </c>
      <c r="I63" s="63"/>
      <c r="J63" s="63">
        <v>0</v>
      </c>
      <c r="K63" s="63"/>
      <c r="L63" s="64">
        <f>D63-F63+H63-J63</f>
        <v>40555</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34594</v>
      </c>
      <c r="E66" s="63"/>
      <c r="F66" s="63">
        <f>5445+454</f>
        <v>5899</v>
      </c>
      <c r="G66" s="63"/>
      <c r="H66" s="63">
        <v>3219</v>
      </c>
      <c r="I66" s="63"/>
      <c r="J66" s="63">
        <v>0</v>
      </c>
      <c r="K66" s="63"/>
      <c r="L66" s="64">
        <f>D66-F66+H66-J66</f>
        <v>31914</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4" ht="15.75">
      <c r="A69" s="26"/>
      <c r="B69" s="27" t="s">
        <v>43</v>
      </c>
      <c r="C69" s="63">
        <f>SUM(C57:C67)</f>
        <v>382317</v>
      </c>
      <c r="D69" s="63">
        <f>SUM(D57:D68)</f>
        <v>357711</v>
      </c>
      <c r="E69" s="63"/>
      <c r="F69" s="63">
        <f>SUM(F57:F67)</f>
        <v>27763</v>
      </c>
      <c r="G69" s="63"/>
      <c r="H69" s="63">
        <f>SUM(H57:H67)</f>
        <v>28223</v>
      </c>
      <c r="I69" s="63"/>
      <c r="J69" s="63">
        <f>SUM(J64:J68)</f>
        <v>0</v>
      </c>
      <c r="K69" s="63"/>
      <c r="L69" s="63">
        <f>SUM(L57:L68)</f>
        <v>358171</v>
      </c>
      <c r="M69" s="27"/>
      <c r="N69" s="6"/>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-142435</v>
      </c>
      <c r="E71" s="63"/>
      <c r="F71" s="63">
        <f>2969-43</f>
        <v>2926</v>
      </c>
      <c r="G71" s="63"/>
      <c r="H71" s="63"/>
      <c r="I71" s="63"/>
      <c r="J71" s="63"/>
      <c r="K71" s="63"/>
      <c r="L71" s="63">
        <f>D71-F71</f>
        <v>-145361</v>
      </c>
      <c r="M71" s="27"/>
      <c r="N71" s="6"/>
    </row>
    <row r="72" spans="1:14" ht="15.75">
      <c r="A72" s="26"/>
      <c r="B72" s="27" t="s">
        <v>45</v>
      </c>
      <c r="C72" s="63">
        <v>0</v>
      </c>
      <c r="D72" s="65">
        <v>29424</v>
      </c>
      <c r="E72" s="63"/>
      <c r="F72" s="63">
        <f>SUM(F69:F71)</f>
        <v>30689</v>
      </c>
      <c r="G72" s="63"/>
      <c r="H72" s="63">
        <f>-H69</f>
        <v>-28223</v>
      </c>
      <c r="I72" s="63"/>
      <c r="J72" s="63"/>
      <c r="K72" s="63"/>
      <c r="L72" s="65">
        <f>D72+F72+H72</f>
        <v>31890</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68"/>
      <c r="I75" s="63"/>
      <c r="J75" s="63"/>
      <c r="K75" s="63"/>
      <c r="L75" s="65">
        <v>0</v>
      </c>
      <c r="M75" s="27"/>
      <c r="N75" s="6"/>
    </row>
    <row r="76" spans="1:14" ht="15.75">
      <c r="A76" s="26"/>
      <c r="B76" s="27" t="s">
        <v>20</v>
      </c>
      <c r="C76" s="65">
        <f>SUM(C69:C75)</f>
        <v>244700</v>
      </c>
      <c r="D76" s="65">
        <f>SUM(D69:D75)</f>
        <v>244700</v>
      </c>
      <c r="E76" s="63"/>
      <c r="F76" s="63">
        <f>F72-F75-F74</f>
        <v>30689</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46003-528</f>
        <v>45475</v>
      </c>
      <c r="M79" s="27"/>
      <c r="N79" s="6"/>
    </row>
    <row r="80" spans="1:14" ht="15.75">
      <c r="A80" s="26"/>
      <c r="B80" s="27" t="s">
        <v>51</v>
      </c>
      <c r="C80" s="51"/>
      <c r="D80" s="55"/>
      <c r="E80" s="27"/>
      <c r="F80" s="27"/>
      <c r="G80" s="27"/>
      <c r="H80" s="27"/>
      <c r="I80" s="27"/>
      <c r="J80" s="63"/>
      <c r="K80" s="27"/>
      <c r="L80" s="64">
        <f>840+270+70</f>
        <v>1180</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39530</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-766-192</f>
        <v>-958</v>
      </c>
      <c r="M87" s="27"/>
      <c r="N87" s="6"/>
      <c r="O87" s="69"/>
    </row>
    <row r="88" spans="1:15" ht="15.75">
      <c r="A88" s="26">
        <f t="shared" si="0"/>
        <v>3</v>
      </c>
      <c r="B88" s="27" t="s">
        <v>58</v>
      </c>
      <c r="C88" s="27"/>
      <c r="D88" s="27"/>
      <c r="E88" s="27"/>
      <c r="F88" s="27"/>
      <c r="G88" s="27"/>
      <c r="H88" s="27"/>
      <c r="I88" s="27"/>
      <c r="J88" s="27"/>
      <c r="K88" s="27"/>
      <c r="L88" s="64">
        <v>-1140</v>
      </c>
      <c r="M88" s="27"/>
      <c r="N88" s="6"/>
      <c r="O88" s="69"/>
    </row>
    <row r="89" spans="1:15" ht="15.75">
      <c r="A89" s="26">
        <f t="shared" si="0"/>
        <v>4</v>
      </c>
      <c r="B89" s="27" t="s">
        <v>59</v>
      </c>
      <c r="C89" s="27"/>
      <c r="D89" s="27"/>
      <c r="E89" s="27"/>
      <c r="F89" s="27"/>
      <c r="G89" s="27"/>
      <c r="H89" s="27"/>
      <c r="I89" s="27"/>
      <c r="J89" s="27"/>
      <c r="K89" s="27"/>
      <c r="L89" s="64">
        <v>-1647</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-941</v>
      </c>
      <c r="M91" s="27"/>
      <c r="N91" s="6"/>
      <c r="O91" s="69"/>
    </row>
    <row r="92" spans="1:15" ht="15.75">
      <c r="A92" s="26">
        <f t="shared" si="0"/>
        <v>7</v>
      </c>
      <c r="B92" s="27" t="s">
        <v>62</v>
      </c>
      <c r="C92" s="27"/>
      <c r="D92" s="27"/>
      <c r="E92" s="27"/>
      <c r="F92" s="27"/>
      <c r="G92" s="27"/>
      <c r="H92" s="27"/>
      <c r="I92" s="27"/>
      <c r="J92" s="27"/>
      <c r="K92" s="27"/>
      <c r="L92" s="64">
        <v>-462</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31891</v>
      </c>
      <c r="M94" s="27"/>
      <c r="N94" s="6"/>
      <c r="O94" s="69"/>
    </row>
    <row r="95" spans="1:14" ht="15.75">
      <c r="A95" s="26">
        <f t="shared" si="0"/>
        <v>10</v>
      </c>
      <c r="B95" s="27" t="s">
        <v>64</v>
      </c>
      <c r="C95" s="27"/>
      <c r="D95" s="27"/>
      <c r="E95" s="27"/>
      <c r="F95" s="27"/>
      <c r="G95" s="27"/>
      <c r="H95" s="27"/>
      <c r="I95" s="27"/>
      <c r="J95" s="27"/>
      <c r="K95" s="27"/>
      <c r="L95" s="64">
        <f>J193+SUM(L83:L92)+J195-J198</f>
        <v>2482</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SEPTEMBER 2002</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79"/>
      <c r="H111" s="9"/>
      <c r="I111" s="9"/>
      <c r="J111" s="9"/>
      <c r="K111" s="9"/>
      <c r="L111" s="80"/>
      <c r="M111" s="9"/>
      <c r="N111" s="6"/>
    </row>
    <row r="112" spans="1:14" ht="15.75">
      <c r="A112" s="7"/>
      <c r="B112" s="14"/>
      <c r="C112" s="18" t="s">
        <v>137</v>
      </c>
      <c r="D112" s="18" t="s">
        <v>147</v>
      </c>
      <c r="E112" s="18" t="s">
        <v>153</v>
      </c>
      <c r="F112" s="18" t="s">
        <v>162</v>
      </c>
      <c r="G112" s="79"/>
      <c r="H112" s="79"/>
      <c r="I112" s="9"/>
      <c r="J112" s="9"/>
      <c r="K112" s="9"/>
      <c r="L112" s="80"/>
      <c r="M112" s="9"/>
      <c r="N112" s="6"/>
    </row>
    <row r="113" spans="1:14" ht="15.75">
      <c r="A113" s="26"/>
      <c r="B113" s="27" t="s">
        <v>199</v>
      </c>
      <c r="C113" s="27">
        <f>3016-22-41</f>
        <v>2953</v>
      </c>
      <c r="D113" s="27">
        <v>38</v>
      </c>
      <c r="E113" s="27">
        <v>0</v>
      </c>
      <c r="F113" s="27">
        <v>-63</v>
      </c>
      <c r="G113" s="81"/>
      <c r="H113" s="81"/>
      <c r="I113" s="27"/>
      <c r="J113" s="27"/>
      <c r="K113" s="27"/>
      <c r="L113" s="64">
        <f>SUM(C113:F113)</f>
        <v>2928</v>
      </c>
      <c r="M113" s="27"/>
      <c r="N113" s="6"/>
    </row>
    <row r="114" spans="1:14" ht="15.75">
      <c r="A114" s="26"/>
      <c r="B114" s="27" t="s">
        <v>72</v>
      </c>
      <c r="C114" s="27">
        <f>767+16</f>
        <v>783</v>
      </c>
      <c r="D114" s="27">
        <v>0</v>
      </c>
      <c r="E114" s="27">
        <v>0</v>
      </c>
      <c r="F114" s="27">
        <v>453</v>
      </c>
      <c r="G114" s="81"/>
      <c r="H114" s="81"/>
      <c r="I114" s="27"/>
      <c r="J114" s="27"/>
      <c r="K114" s="27"/>
      <c r="L114" s="64">
        <f>SUM(C114:F114)</f>
        <v>1236</v>
      </c>
      <c r="M114" s="27"/>
      <c r="N114" s="6"/>
    </row>
    <row r="115" spans="1:14" ht="15.75">
      <c r="A115" s="26"/>
      <c r="B115" s="27" t="s">
        <v>73</v>
      </c>
      <c r="C115" s="27"/>
      <c r="D115" s="27"/>
      <c r="E115" s="27"/>
      <c r="F115" s="27"/>
      <c r="G115" s="27"/>
      <c r="H115" s="27"/>
      <c r="I115" s="27"/>
      <c r="J115" s="27"/>
      <c r="K115" s="27"/>
      <c r="L115" s="64">
        <f>SUM(L113:L114)</f>
        <v>4164</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358171</v>
      </c>
      <c r="M117" s="27"/>
      <c r="N117" s="6"/>
    </row>
    <row r="118" spans="1:14" ht="15.75">
      <c r="A118" s="26"/>
      <c r="B118" s="27" t="s">
        <v>76</v>
      </c>
      <c r="C118" s="82"/>
      <c r="D118" s="27"/>
      <c r="E118" s="27"/>
      <c r="F118" s="27"/>
      <c r="G118" s="27"/>
      <c r="H118" s="27"/>
      <c r="I118" s="27"/>
      <c r="J118" s="27"/>
      <c r="K118" s="27"/>
      <c r="L118" s="64">
        <f>L72</f>
        <v>31890</v>
      </c>
      <c r="M118" s="27"/>
      <c r="N118" s="6"/>
    </row>
    <row r="119" spans="1:15" ht="15.75">
      <c r="A119" s="26"/>
      <c r="B119" s="27" t="s">
        <v>77</v>
      </c>
      <c r="C119" s="82"/>
      <c r="D119" s="27"/>
      <c r="E119" s="27"/>
      <c r="F119" s="27"/>
      <c r="G119" s="27"/>
      <c r="H119" s="27"/>
      <c r="I119" s="27"/>
      <c r="J119" s="27"/>
      <c r="K119" s="27"/>
      <c r="L119" s="64">
        <f>L118+L117+L74+L75</f>
        <v>390061</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4" ht="15.75">
      <c r="A121" s="26"/>
      <c r="B121" s="27"/>
      <c r="C121" s="27"/>
      <c r="D121" s="27"/>
      <c r="E121" s="27"/>
      <c r="F121" s="27"/>
      <c r="G121" s="27"/>
      <c r="H121" s="27"/>
      <c r="I121" s="27"/>
      <c r="J121" s="27"/>
      <c r="K121" s="27"/>
      <c r="L121" s="83"/>
      <c r="M121" s="27"/>
      <c r="N121" s="6"/>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v>0</v>
      </c>
      <c r="I124" s="27"/>
      <c r="J124" s="84" t="s">
        <v>177</v>
      </c>
      <c r="K124" s="27"/>
      <c r="L124" s="64">
        <f>H124</f>
        <v>0</v>
      </c>
      <c r="M124" s="27"/>
      <c r="N124" s="6"/>
    </row>
    <row r="125" spans="1:14" ht="15.75">
      <c r="A125" s="26"/>
      <c r="B125" s="27" t="s">
        <v>82</v>
      </c>
      <c r="C125" s="27"/>
      <c r="D125" s="27"/>
      <c r="E125" s="27"/>
      <c r="F125" s="27"/>
      <c r="G125" s="27"/>
      <c r="H125" s="64">
        <v>0</v>
      </c>
      <c r="I125" s="27"/>
      <c r="J125" s="84" t="s">
        <v>177</v>
      </c>
      <c r="K125" s="27"/>
      <c r="L125" s="64">
        <f>H125</f>
        <v>0</v>
      </c>
      <c r="M125" s="27"/>
      <c r="N125" s="6"/>
    </row>
    <row r="126" spans="1:14" ht="15.75">
      <c r="A126" s="26"/>
      <c r="B126" s="27" t="s">
        <v>83</v>
      </c>
      <c r="C126" s="27"/>
      <c r="D126" s="27"/>
      <c r="E126" s="27"/>
      <c r="F126" s="27"/>
      <c r="G126" s="27"/>
      <c r="H126" s="64">
        <f>SUM(H124:H125)</f>
        <v>0</v>
      </c>
      <c r="I126" s="27"/>
      <c r="J126" s="84" t="s">
        <v>177</v>
      </c>
      <c r="K126" s="27"/>
      <c r="L126" s="64">
        <f>H126</f>
        <v>0</v>
      </c>
      <c r="M126" s="27"/>
      <c r="N126" s="6"/>
    </row>
    <row r="127" spans="1:14" ht="15.75">
      <c r="A127" s="26"/>
      <c r="B127" s="27" t="s">
        <v>84</v>
      </c>
      <c r="C127" s="27"/>
      <c r="D127" s="27"/>
      <c r="E127" s="27"/>
      <c r="F127" s="27"/>
      <c r="G127" s="27"/>
      <c r="H127" s="64">
        <f>H123-H126</f>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37529</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0.1642</v>
      </c>
      <c r="K134" s="27"/>
      <c r="L134" s="27"/>
      <c r="M134" s="27"/>
      <c r="N134" s="6"/>
    </row>
    <row r="135" spans="1:14" ht="15.75">
      <c r="A135" s="87"/>
      <c r="B135" s="88" t="s">
        <v>90</v>
      </c>
      <c r="C135" s="89"/>
      <c r="D135" s="89"/>
      <c r="E135" s="89"/>
      <c r="F135" s="89"/>
      <c r="G135" s="90"/>
      <c r="H135" s="90"/>
      <c r="I135" s="90"/>
      <c r="J135" s="91">
        <f>L34</f>
        <v>0.049462542337556197</v>
      </c>
      <c r="K135" s="27"/>
      <c r="L135" s="27"/>
      <c r="M135" s="27"/>
      <c r="N135" s="6"/>
    </row>
    <row r="136" spans="1:14" ht="15.75">
      <c r="A136" s="87"/>
      <c r="B136" s="88" t="s">
        <v>91</v>
      </c>
      <c r="C136" s="89"/>
      <c r="D136" s="89"/>
      <c r="E136" s="89"/>
      <c r="F136" s="89"/>
      <c r="G136" s="90"/>
      <c r="H136" s="90"/>
      <c r="I136" s="90"/>
      <c r="J136" s="91">
        <f>J134-J135</f>
        <v>0.11473745766244381</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12.01</v>
      </c>
      <c r="K141" s="27"/>
      <c r="L141" s="27"/>
      <c r="M141" s="27"/>
      <c r="N141" s="6"/>
    </row>
    <row r="142" spans="1:14" ht="15.75">
      <c r="A142" s="87"/>
      <c r="B142" s="88" t="s">
        <v>97</v>
      </c>
      <c r="C142" s="89"/>
      <c r="D142" s="89"/>
      <c r="E142" s="89"/>
      <c r="F142" s="89"/>
      <c r="G142" s="90"/>
      <c r="H142" s="90"/>
      <c r="I142" s="90"/>
      <c r="J142" s="91">
        <v>0.0687</v>
      </c>
      <c r="K142" s="27"/>
      <c r="L142" s="27"/>
      <c r="M142" s="27"/>
      <c r="N142" s="6"/>
    </row>
    <row r="143" spans="1:14" ht="15.75">
      <c r="A143" s="87"/>
      <c r="B143" s="88" t="s">
        <v>98</v>
      </c>
      <c r="C143" s="89"/>
      <c r="D143" s="89"/>
      <c r="E143" s="89"/>
      <c r="F143" s="89"/>
      <c r="G143" s="90"/>
      <c r="H143" s="90"/>
      <c r="I143" s="90"/>
      <c r="J143" s="91">
        <v>0.2418</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SEPTEMBER 2002</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5382</v>
      </c>
      <c r="J148" s="64">
        <v>46120</v>
      </c>
      <c r="K148" s="64"/>
      <c r="L148" s="94"/>
      <c r="M148" s="104"/>
      <c r="N148" s="6"/>
    </row>
    <row r="149" spans="1:14" ht="15.75">
      <c r="A149" s="103"/>
      <c r="B149" s="88" t="s">
        <v>101</v>
      </c>
      <c r="C149" s="65"/>
      <c r="D149" s="65"/>
      <c r="E149" s="65"/>
      <c r="F149" s="27"/>
      <c r="G149" s="27"/>
      <c r="H149" s="27"/>
      <c r="I149" s="27">
        <v>31</v>
      </c>
      <c r="J149" s="64">
        <v>105</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28223</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4164</v>
      </c>
      <c r="K153" s="27"/>
      <c r="L153" s="94"/>
      <c r="M153" s="108"/>
      <c r="N153" s="6"/>
    </row>
    <row r="154" spans="1:14" ht="15.75">
      <c r="A154" s="103"/>
      <c r="B154" s="88" t="s">
        <v>106</v>
      </c>
      <c r="C154" s="65"/>
      <c r="D154" s="65"/>
      <c r="E154" s="65"/>
      <c r="F154" s="65"/>
      <c r="G154" s="27"/>
      <c r="H154" s="27"/>
      <c r="I154" s="27"/>
      <c r="J154" s="64">
        <f>'June 02'!J154+J153</f>
        <v>11941</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163</v>
      </c>
      <c r="K164" s="113"/>
      <c r="L164" s="34"/>
      <c r="M164" s="94"/>
      <c r="N164" s="6"/>
    </row>
    <row r="165" spans="1:14" ht="15.75">
      <c r="A165" s="103"/>
      <c r="B165" s="88" t="s">
        <v>110</v>
      </c>
      <c r="C165" s="65"/>
      <c r="D165" s="65"/>
      <c r="E165" s="111"/>
      <c r="F165" s="109"/>
      <c r="G165" s="110"/>
      <c r="H165" s="27"/>
      <c r="I165" s="34"/>
      <c r="J165" s="113">
        <v>3</v>
      </c>
      <c r="K165" s="113"/>
      <c r="L165" s="34"/>
      <c r="M165" s="94"/>
      <c r="N165" s="6"/>
    </row>
    <row r="166" spans="1:14" ht="15.75">
      <c r="A166" s="103"/>
      <c r="B166" s="88" t="s">
        <v>115</v>
      </c>
      <c r="C166" s="65"/>
      <c r="D166" s="65"/>
      <c r="E166" s="111"/>
      <c r="F166" s="109"/>
      <c r="G166" s="110"/>
      <c r="H166" s="27"/>
      <c r="I166" s="34"/>
      <c r="J166" s="113">
        <v>52</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81"/>
      <c r="D169" s="114" t="s">
        <v>148</v>
      </c>
      <c r="E169" s="115"/>
      <c r="F169" s="116"/>
      <c r="G169" s="115"/>
      <c r="H169" s="114" t="s">
        <v>40</v>
      </c>
      <c r="I169" s="115"/>
      <c r="J169" s="116"/>
      <c r="K169" s="115"/>
      <c r="L169" s="117"/>
      <c r="M169" s="108"/>
      <c r="N169" s="6"/>
    </row>
    <row r="170" spans="1:14" ht="15.75">
      <c r="A170" s="26"/>
      <c r="B170" s="81"/>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f>227+21884-150</f>
        <v>21961</v>
      </c>
      <c r="D171" s="91">
        <f>C171/$C$175</f>
        <v>0.8438748847217953</v>
      </c>
      <c r="E171" s="118">
        <f>904+129643-1596</f>
        <v>128951</v>
      </c>
      <c r="F171" s="91">
        <f>E171/$E$175</f>
        <v>0.8313465840591576</v>
      </c>
      <c r="G171" s="115"/>
      <c r="H171" s="118">
        <v>9023</v>
      </c>
      <c r="I171" s="91">
        <f>H171/$H$175</f>
        <v>0.9661634007923761</v>
      </c>
      <c r="J171" s="118">
        <v>7522</v>
      </c>
      <c r="K171" s="91">
        <f>J171/$J$175</f>
        <v>0.9487891019172553</v>
      </c>
      <c r="L171" s="117"/>
      <c r="M171" s="108"/>
      <c r="N171" s="6"/>
    </row>
    <row r="172" spans="1:14" ht="15.75">
      <c r="A172" s="26"/>
      <c r="B172" s="65" t="s">
        <v>118</v>
      </c>
      <c r="C172" s="118">
        <f>17+459-7</f>
        <v>469</v>
      </c>
      <c r="D172" s="91">
        <f>C172/$C$175</f>
        <v>0.018021826006762987</v>
      </c>
      <c r="E172" s="118">
        <f>61+3350-72</f>
        <v>3339</v>
      </c>
      <c r="F172" s="91">
        <f>E172/$E$175</f>
        <v>0.021526519718137335</v>
      </c>
      <c r="G172" s="115"/>
      <c r="H172" s="118">
        <v>77</v>
      </c>
      <c r="I172" s="91">
        <f>H172/$H$175</f>
        <v>0.008244994110718492</v>
      </c>
      <c r="J172" s="118">
        <v>90</v>
      </c>
      <c r="K172" s="91">
        <f>J172/$J$175</f>
        <v>0.011352169525731584</v>
      </c>
      <c r="L172" s="117"/>
      <c r="M172" s="108"/>
      <c r="N172" s="6"/>
    </row>
    <row r="173" spans="1:14" ht="15.75">
      <c r="A173" s="26"/>
      <c r="B173" s="65" t="s">
        <v>119</v>
      </c>
      <c r="C173" s="118">
        <f>5+377-5</f>
        <v>377</v>
      </c>
      <c r="D173" s="91">
        <f>C173/$C$175</f>
        <v>0.014486627728250845</v>
      </c>
      <c r="E173" s="118">
        <f>12+2865-92</f>
        <v>2785</v>
      </c>
      <c r="F173" s="91">
        <f>E173/$E$175</f>
        <v>0.01795488392183662</v>
      </c>
      <c r="G173" s="115"/>
      <c r="H173" s="118">
        <v>38</v>
      </c>
      <c r="I173" s="91">
        <f>H173/$H$175</f>
        <v>0.004068958132562373</v>
      </c>
      <c r="J173" s="118">
        <v>41</v>
      </c>
      <c r="K173" s="91">
        <f>J173/$J$175</f>
        <v>0.005171543895055499</v>
      </c>
      <c r="L173" s="117"/>
      <c r="M173" s="108"/>
      <c r="N173" s="6"/>
    </row>
    <row r="174" spans="1:14" ht="15.75">
      <c r="A174" s="26"/>
      <c r="B174" s="65" t="s">
        <v>120</v>
      </c>
      <c r="C174" s="118">
        <f>2+365+10+289+7+286+8+315+11+292+4+287+12+265+9+309+10+265+89+401-19</f>
        <v>3217</v>
      </c>
      <c r="D174" s="91">
        <f>C174/$C$175</f>
        <v>0.1236166615431909</v>
      </c>
      <c r="E174" s="118">
        <f>5164+272566-122619-E173-E172-E171</f>
        <v>20036</v>
      </c>
      <c r="F174" s="91">
        <f>E174/$E$175</f>
        <v>0.12917201230086842</v>
      </c>
      <c r="G174" s="115"/>
      <c r="H174" s="118">
        <f>39+25+33+16+10+13+24+31+10</f>
        <v>201</v>
      </c>
      <c r="I174" s="91">
        <f>H174/$H$175</f>
        <v>0.021522646964343077</v>
      </c>
      <c r="J174" s="118">
        <v>275</v>
      </c>
      <c r="K174" s="91">
        <f>J174/$J$175</f>
        <v>0.03468718466195762</v>
      </c>
      <c r="L174" s="117"/>
      <c r="M174" s="108"/>
      <c r="N174" s="6"/>
    </row>
    <row r="175" spans="1:14" ht="15.75">
      <c r="A175" s="26"/>
      <c r="B175" s="65" t="s">
        <v>121</v>
      </c>
      <c r="C175" s="118">
        <f>SUM(C171:C174)</f>
        <v>26024</v>
      </c>
      <c r="D175" s="91">
        <f>SUM(D171:D174)</f>
        <v>1</v>
      </c>
      <c r="E175" s="118">
        <f>SUM(E171:E174)</f>
        <v>155111</v>
      </c>
      <c r="F175" s="91">
        <f>SUM(F171:F174)</f>
        <v>1</v>
      </c>
      <c r="G175" s="115"/>
      <c r="H175" s="118">
        <f>SUM(H171:H174)</f>
        <v>9339</v>
      </c>
      <c r="I175" s="91">
        <f>SUM(I171:I174)</f>
        <v>0.9999999999999999</v>
      </c>
      <c r="J175" s="118">
        <f>SUM(J171:J174)</f>
        <v>7928</v>
      </c>
      <c r="K175" s="91">
        <f>SUM(K171:K174)</f>
        <v>1</v>
      </c>
      <c r="L175" s="117"/>
      <c r="M175" s="108"/>
      <c r="N175" s="6"/>
    </row>
    <row r="176" spans="1:15" ht="15.75">
      <c r="A176" s="26"/>
      <c r="B176" s="65" t="s">
        <v>122</v>
      </c>
      <c r="C176" s="118">
        <f>611+14847+195-14</f>
        <v>15639</v>
      </c>
      <c r="D176" s="119"/>
      <c r="E176" s="118">
        <f>3780+116839+2000</f>
        <v>122619</v>
      </c>
      <c r="F176" s="119"/>
      <c r="G176" s="115"/>
      <c r="H176" s="118">
        <v>24</v>
      </c>
      <c r="I176" s="119"/>
      <c r="J176" s="118">
        <v>44</v>
      </c>
      <c r="K176" s="119"/>
      <c r="L176" s="117"/>
      <c r="M176" s="108"/>
      <c r="N176" s="6"/>
      <c r="O176" s="69"/>
    </row>
    <row r="177" spans="1:15" ht="15.75">
      <c r="A177" s="26"/>
      <c r="B177" s="65" t="s">
        <v>123</v>
      </c>
      <c r="C177" s="118">
        <f>SUM(C175:C176)</f>
        <v>41663</v>
      </c>
      <c r="D177" s="81"/>
      <c r="E177" s="118">
        <f>SUM(E175:E176)</f>
        <v>277730</v>
      </c>
      <c r="F177" s="91"/>
      <c r="G177" s="81"/>
      <c r="H177" s="118">
        <f>SUM(H175:H176)</f>
        <v>9363</v>
      </c>
      <c r="I177" s="81"/>
      <c r="J177" s="118">
        <f>SUM(J175:J176)</f>
        <v>7972</v>
      </c>
      <c r="K177" s="81"/>
      <c r="L177" s="81"/>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81"/>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2102</v>
      </c>
      <c r="D181" s="91">
        <f>C181/$C$185</f>
        <v>0.9659926470588235</v>
      </c>
      <c r="E181" s="118">
        <v>39930</v>
      </c>
      <c r="F181" s="91">
        <f>E181/$E$185</f>
        <v>0.9848559589581689</v>
      </c>
      <c r="G181" s="115"/>
      <c r="H181" s="118">
        <v>6321</v>
      </c>
      <c r="I181" s="91">
        <f>H181/$H$185</f>
        <v>0.8353376503237743</v>
      </c>
      <c r="J181" s="118">
        <v>30167</v>
      </c>
      <c r="K181" s="91">
        <f>J181/$J$185</f>
        <v>0.9578649901568552</v>
      </c>
      <c r="L181" s="117"/>
      <c r="M181" s="108"/>
      <c r="N181" s="6"/>
    </row>
    <row r="182" spans="1:14" ht="15.75">
      <c r="A182" s="26"/>
      <c r="B182" s="65" t="s">
        <v>118</v>
      </c>
      <c r="C182" s="118">
        <v>23</v>
      </c>
      <c r="D182" s="91">
        <f>C182/$C$185</f>
        <v>0.010569852941176471</v>
      </c>
      <c r="E182" s="118">
        <v>337</v>
      </c>
      <c r="F182" s="91">
        <f>E182/$E$185</f>
        <v>0.008311957379636938</v>
      </c>
      <c r="G182" s="115"/>
      <c r="H182" s="118">
        <v>70</v>
      </c>
      <c r="I182" s="91">
        <f>H182/$H$185</f>
        <v>0.009250693802035153</v>
      </c>
      <c r="J182" s="118">
        <v>309</v>
      </c>
      <c r="K182" s="91">
        <f>J182/$J$185</f>
        <v>0.009811392646218327</v>
      </c>
      <c r="L182" s="117"/>
      <c r="M182" s="108"/>
      <c r="N182" s="6"/>
    </row>
    <row r="183" spans="1:14" ht="15.75">
      <c r="A183" s="26"/>
      <c r="B183" s="65" t="s">
        <v>119</v>
      </c>
      <c r="C183" s="118">
        <v>8</v>
      </c>
      <c r="D183" s="91">
        <f>C183/$C$185</f>
        <v>0.003676470588235294</v>
      </c>
      <c r="E183" s="118">
        <v>138</v>
      </c>
      <c r="F183" s="91">
        <f>E183/$E$185</f>
        <v>0.00340370955011839</v>
      </c>
      <c r="G183" s="115"/>
      <c r="H183" s="118">
        <v>26</v>
      </c>
      <c r="I183" s="91">
        <f>H183/$H$185</f>
        <v>0.003435971983613057</v>
      </c>
      <c r="J183" s="118">
        <v>103</v>
      </c>
      <c r="K183" s="91">
        <f>J183/$J$185</f>
        <v>0.003270464215406109</v>
      </c>
      <c r="L183" s="117"/>
      <c r="M183" s="108"/>
      <c r="N183" s="6"/>
    </row>
    <row r="184" spans="1:14" ht="15.75">
      <c r="A184" s="26"/>
      <c r="B184" s="65" t="s">
        <v>120</v>
      </c>
      <c r="C184" s="118">
        <f>5+1+1+36</f>
        <v>43</v>
      </c>
      <c r="D184" s="91">
        <f>C184/$C$185</f>
        <v>0.019761029411764705</v>
      </c>
      <c r="E184" s="118">
        <f>40544-E183-E182-E181</f>
        <v>139</v>
      </c>
      <c r="F184" s="91">
        <f>E184/$E$185</f>
        <v>0.0034283741120757693</v>
      </c>
      <c r="G184" s="115"/>
      <c r="H184" s="118">
        <f>23+13+11+14+10+6+3+4+6+1060</f>
        <v>1150</v>
      </c>
      <c r="I184" s="91">
        <f>H184/$H$185</f>
        <v>0.1519756838905775</v>
      </c>
      <c r="J184" s="118">
        <f>31494-J183-J182-J181</f>
        <v>915</v>
      </c>
      <c r="K184" s="91">
        <f>J184/$J$185</f>
        <v>0.02905315298152029</v>
      </c>
      <c r="L184" s="117"/>
      <c r="M184" s="108"/>
      <c r="N184" s="6"/>
    </row>
    <row r="185" spans="1:14" ht="15.75">
      <c r="A185" s="26"/>
      <c r="B185" s="65" t="str">
        <f>B175</f>
        <v>Total Performing  Assets</v>
      </c>
      <c r="C185" s="118">
        <f>SUM(C181:C184)</f>
        <v>2176</v>
      </c>
      <c r="D185" s="91">
        <f>SUM(D181:D184)</f>
        <v>1</v>
      </c>
      <c r="E185" s="118">
        <f>SUM(E181:E184)</f>
        <v>40544</v>
      </c>
      <c r="F185" s="91">
        <f>SUM(F181:F184)</f>
        <v>1</v>
      </c>
      <c r="G185" s="115"/>
      <c r="H185" s="118">
        <f>SUM(H181:H184)</f>
        <v>7567</v>
      </c>
      <c r="I185" s="91">
        <f>SUM(I181:I184)</f>
        <v>0.9999999999999999</v>
      </c>
      <c r="J185" s="118">
        <f>SUM(J181:J184)</f>
        <v>31494</v>
      </c>
      <c r="K185" s="91">
        <f>SUM(K181:K184)</f>
        <v>1</v>
      </c>
      <c r="L185" s="117"/>
      <c r="M185" s="108"/>
      <c r="N185" s="6"/>
    </row>
    <row r="186" spans="1:15" ht="15.75">
      <c r="A186" s="26"/>
      <c r="B186" s="65" t="s">
        <v>122</v>
      </c>
      <c r="C186" s="118">
        <v>1</v>
      </c>
      <c r="D186" s="121"/>
      <c r="E186" s="118">
        <v>11</v>
      </c>
      <c r="F186" s="119"/>
      <c r="G186" s="115"/>
      <c r="H186" s="118">
        <v>76</v>
      </c>
      <c r="I186" s="121"/>
      <c r="J186" s="118">
        <v>421</v>
      </c>
      <c r="K186" s="121"/>
      <c r="L186" s="117"/>
      <c r="M186" s="108"/>
      <c r="N186" s="6"/>
      <c r="O186" s="69"/>
    </row>
    <row r="187" spans="1:13" ht="15.75">
      <c r="A187" s="26"/>
      <c r="B187" s="65" t="s">
        <v>123</v>
      </c>
      <c r="C187" s="118">
        <f>SUM(C185:C186)</f>
        <v>2177</v>
      </c>
      <c r="D187" s="81"/>
      <c r="E187" s="118">
        <f>SUM(E185:E186)</f>
        <v>40555</v>
      </c>
      <c r="F187" s="120"/>
      <c r="G187" s="81"/>
      <c r="H187" s="118">
        <f>SUM(H185:H186)</f>
        <v>7643</v>
      </c>
      <c r="I187" s="81"/>
      <c r="J187" s="118">
        <f>SUM(J185:J186)</f>
        <v>31915</v>
      </c>
      <c r="K187" s="81"/>
      <c r="L187" s="81"/>
      <c r="M187" s="140"/>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358172</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5" ht="15.75">
      <c r="A191" s="26"/>
      <c r="B191" s="123" t="s">
        <v>124</v>
      </c>
      <c r="C191" s="115"/>
      <c r="D191" s="116"/>
      <c r="E191" s="115"/>
      <c r="F191" s="116"/>
      <c r="G191" s="115"/>
      <c r="H191" s="116"/>
      <c r="I191" s="115"/>
      <c r="J191" s="118"/>
      <c r="K191" s="115"/>
      <c r="L191" s="117"/>
      <c r="M191" s="108"/>
      <c r="N191" s="6"/>
      <c r="O191" s="69">
        <f>E176+J176+J186+E186</f>
        <v>123095</v>
      </c>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5"/>
      <c r="J193" s="118">
        <f>E175+J175+E185+J185</f>
        <v>235077</v>
      </c>
      <c r="K193" s="115"/>
      <c r="L193" s="117"/>
      <c r="M193" s="108"/>
      <c r="N193" s="6"/>
    </row>
    <row r="194" spans="1:14" ht="15.75">
      <c r="A194" s="26"/>
      <c r="B194" s="65" t="s">
        <v>126</v>
      </c>
      <c r="C194" s="115"/>
      <c r="D194" s="116"/>
      <c r="E194" s="115"/>
      <c r="F194" s="116"/>
      <c r="G194" s="115"/>
      <c r="H194" s="116"/>
      <c r="I194" s="115"/>
      <c r="J194" s="118">
        <f>L94</f>
        <v>31891</v>
      </c>
      <c r="K194" s="115"/>
      <c r="L194" s="117"/>
      <c r="M194" s="108"/>
      <c r="N194" s="124"/>
    </row>
    <row r="195" spans="1:14" ht="15.75">
      <c r="A195" s="26"/>
      <c r="B195" s="65" t="s">
        <v>127</v>
      </c>
      <c r="C195" s="115"/>
      <c r="D195" s="116"/>
      <c r="E195" s="115"/>
      <c r="F195" s="116"/>
      <c r="G195" s="115"/>
      <c r="H195" s="116"/>
      <c r="I195" s="115"/>
      <c r="J195" s="118">
        <v>-22268</v>
      </c>
      <c r="K195" s="115"/>
      <c r="L195" s="117"/>
      <c r="M195" s="108"/>
      <c r="N195" s="125"/>
    </row>
    <row r="196" spans="1:14" ht="15.75">
      <c r="A196" s="26"/>
      <c r="B196" s="65" t="s">
        <v>128</v>
      </c>
      <c r="C196" s="115"/>
      <c r="D196" s="116"/>
      <c r="E196" s="115"/>
      <c r="F196" s="116"/>
      <c r="G196" s="115"/>
      <c r="H196" s="116"/>
      <c r="I196" s="115"/>
      <c r="J196" s="118">
        <f>SUM(J193:J195)</f>
        <v>244700</v>
      </c>
      <c r="K196" s="115"/>
      <c r="L196" s="117"/>
      <c r="M196" s="108"/>
      <c r="N196" s="6"/>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SEPTEMBER 2002</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13" man="1"/>
    <brk id="213" max="0" man="1"/>
  </rowBreaks>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Q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6.664062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9.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4" ht="15.75">
      <c r="A15" s="7"/>
      <c r="B15" s="15" t="s">
        <v>7</v>
      </c>
      <c r="C15" s="15"/>
      <c r="D15" s="18" t="s">
        <v>137</v>
      </c>
      <c r="E15" s="19">
        <f>E175/($J$193+L94)</f>
        <v>0.5213583650474963</v>
      </c>
      <c r="F15" s="18" t="s">
        <v>147</v>
      </c>
      <c r="G15" s="19">
        <f>J175/(J$193+L94)</f>
        <v>0.030366935363039766</v>
      </c>
      <c r="H15" s="18" t="s">
        <v>153</v>
      </c>
      <c r="I15" s="19">
        <f>E185/(J$193+L$94)</f>
        <v>0.20908498396811603</v>
      </c>
      <c r="J15" s="18" t="s">
        <v>162</v>
      </c>
      <c r="K15" s="19">
        <f>J185/(J$193+L$94)</f>
        <v>0.200529651493812</v>
      </c>
      <c r="L15" s="17"/>
      <c r="M15" s="16"/>
      <c r="N15" s="6"/>
    </row>
    <row r="16" spans="1:14" ht="15.75">
      <c r="A16" s="7"/>
      <c r="B16" s="15" t="s">
        <v>8</v>
      </c>
      <c r="C16" s="15"/>
      <c r="D16" s="16"/>
      <c r="E16" s="16"/>
      <c r="F16" s="16"/>
      <c r="G16" s="16"/>
      <c r="H16" s="16"/>
      <c r="I16" s="16"/>
      <c r="J16" s="16"/>
      <c r="K16" s="16"/>
      <c r="L16" s="18" t="s">
        <v>184</v>
      </c>
      <c r="M16" s="9"/>
      <c r="N16" s="6"/>
    </row>
    <row r="17" spans="1:14" ht="15.75">
      <c r="A17" s="7"/>
      <c r="B17" s="15" t="s">
        <v>9</v>
      </c>
      <c r="C17" s="15"/>
      <c r="D17" s="16"/>
      <c r="E17" s="16"/>
      <c r="F17" s="16"/>
      <c r="G17" s="16"/>
      <c r="H17" s="16"/>
      <c r="I17" s="16"/>
      <c r="J17" s="16"/>
      <c r="K17" s="16"/>
      <c r="L17" s="20">
        <v>37645</v>
      </c>
      <c r="M17" s="9"/>
      <c r="N17" s="6"/>
    </row>
    <row r="18" spans="1:14" ht="15.75">
      <c r="A18" s="7"/>
      <c r="B18" s="9"/>
      <c r="C18" s="9"/>
      <c r="D18" s="9"/>
      <c r="E18" s="9"/>
      <c r="F18" s="9"/>
      <c r="G18" s="9"/>
      <c r="H18" s="9"/>
      <c r="I18" s="9"/>
      <c r="J18" s="9"/>
      <c r="K18" s="9"/>
      <c r="L18" s="21"/>
      <c r="M18" s="9"/>
      <c r="N18" s="6"/>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24"/>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46"/>
      <c r="D33" s="34" t="s">
        <v>143</v>
      </c>
      <c r="E33" s="27"/>
      <c r="F33" s="34" t="s">
        <v>159</v>
      </c>
      <c r="G33" s="34"/>
      <c r="H33" s="34" t="s">
        <v>170</v>
      </c>
      <c r="I33" s="34"/>
      <c r="J33" s="34"/>
      <c r="K33" s="30"/>
      <c r="L33" s="30"/>
      <c r="M33" s="27"/>
      <c r="N33" s="6"/>
    </row>
    <row r="34" spans="1:14" ht="15.75">
      <c r="A34" s="26"/>
      <c r="B34" s="27" t="s">
        <v>22</v>
      </c>
      <c r="C34" s="46"/>
      <c r="D34" s="47">
        <v>0.043675</v>
      </c>
      <c r="E34" s="48"/>
      <c r="F34" s="47">
        <v>0.051875</v>
      </c>
      <c r="G34" s="47"/>
      <c r="H34" s="47">
        <v>0.067375</v>
      </c>
      <c r="I34" s="49"/>
      <c r="J34" s="47"/>
      <c r="K34" s="30"/>
      <c r="L34" s="49">
        <f>SUMPRODUCT(D34:J34,D32:J32)/L32</f>
        <v>0.048656242337556194</v>
      </c>
      <c r="M34" s="27"/>
      <c r="N34" s="6"/>
    </row>
    <row r="35" spans="1:14" ht="15.75">
      <c r="A35" s="26"/>
      <c r="B35" s="27" t="s">
        <v>23</v>
      </c>
      <c r="C35" s="46"/>
      <c r="D35" s="47">
        <v>0.0444813</v>
      </c>
      <c r="E35" s="48"/>
      <c r="F35" s="47">
        <v>0.0526813</v>
      </c>
      <c r="G35" s="47"/>
      <c r="H35" s="47">
        <v>0.0681813</v>
      </c>
      <c r="I35" s="49"/>
      <c r="J35" s="47"/>
      <c r="K35" s="30"/>
      <c r="L35" s="30"/>
      <c r="M35" s="27"/>
      <c r="N35" s="6"/>
    </row>
    <row r="36" spans="1:14" ht="15.75">
      <c r="A36" s="26"/>
      <c r="B36" s="27" t="s">
        <v>24</v>
      </c>
      <c r="C36" s="46"/>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27"/>
      <c r="E43" s="27"/>
      <c r="F43" s="48"/>
      <c r="G43" s="27"/>
      <c r="H43" s="27"/>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37636</v>
      </c>
      <c r="M45" s="31"/>
      <c r="N45" s="6"/>
    </row>
    <row r="46" spans="1:14" ht="15.75">
      <c r="A46" s="26"/>
      <c r="B46" s="27" t="s">
        <v>32</v>
      </c>
      <c r="C46" s="27"/>
      <c r="D46" s="27"/>
      <c r="E46" s="27"/>
      <c r="F46" s="27"/>
      <c r="G46" s="27"/>
      <c r="H46" s="30"/>
      <c r="I46" s="27">
        <f>L46-J46+1</f>
        <v>92</v>
      </c>
      <c r="J46" s="56">
        <v>37452</v>
      </c>
      <c r="K46" s="57"/>
      <c r="L46" s="56">
        <v>37543</v>
      </c>
      <c r="M46" s="27"/>
      <c r="N46" s="6"/>
    </row>
    <row r="47" spans="1:14" ht="15.75">
      <c r="A47" s="26"/>
      <c r="B47" s="27" t="s">
        <v>33</v>
      </c>
      <c r="C47" s="27"/>
      <c r="D47" s="27"/>
      <c r="E47" s="27"/>
      <c r="F47" s="27"/>
      <c r="G47" s="27"/>
      <c r="H47" s="30"/>
      <c r="I47" s="27">
        <f>L47-J47+1</f>
        <v>92</v>
      </c>
      <c r="J47" s="56">
        <v>37544</v>
      </c>
      <c r="K47" s="57"/>
      <c r="L47" s="56">
        <v>37635</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37623</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191</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277730</v>
      </c>
      <c r="E57" s="63"/>
      <c r="F57" s="63">
        <f>250+13010+1453+30</f>
        <v>14743</v>
      </c>
      <c r="G57" s="63"/>
      <c r="H57" s="63">
        <v>0</v>
      </c>
      <c r="I57" s="63"/>
      <c r="J57" s="63">
        <v>0</v>
      </c>
      <c r="K57" s="63"/>
      <c r="L57" s="64">
        <f>D57-F57+H57-J57</f>
        <v>262987</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7972</v>
      </c>
      <c r="E60" s="63"/>
      <c r="F60" s="63">
        <v>3611</v>
      </c>
      <c r="G60" s="63"/>
      <c r="H60" s="63">
        <v>3852</v>
      </c>
      <c r="I60" s="63"/>
      <c r="J60" s="63">
        <f>SUM(J57:J59)</f>
        <v>0</v>
      </c>
      <c r="K60" s="63"/>
      <c r="L60" s="64">
        <f>D60-F60+H60-J60</f>
        <v>8213</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40555</v>
      </c>
      <c r="E63" s="63"/>
      <c r="F63" s="63">
        <v>5986</v>
      </c>
      <c r="G63" s="63"/>
      <c r="H63" s="63">
        <v>21250</v>
      </c>
      <c r="I63" s="63"/>
      <c r="J63" s="63">
        <v>0</v>
      </c>
      <c r="K63" s="63"/>
      <c r="L63" s="64">
        <f>D63-F63+H63-J63</f>
        <v>55819</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31914</v>
      </c>
      <c r="E66" s="63"/>
      <c r="F66" s="63">
        <f>5513+353</f>
        <v>5866</v>
      </c>
      <c r="G66" s="63"/>
      <c r="H66" s="63">
        <f>6300+21555</f>
        <v>27855</v>
      </c>
      <c r="I66" s="63"/>
      <c r="J66" s="63">
        <v>0</v>
      </c>
      <c r="K66" s="63"/>
      <c r="L66" s="64">
        <f>D66-F66+H66-J66</f>
        <v>53903</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4" ht="15.75">
      <c r="A69" s="26"/>
      <c r="B69" s="27" t="s">
        <v>43</v>
      </c>
      <c r="C69" s="63">
        <f>SUM(C57:C67)</f>
        <v>382317</v>
      </c>
      <c r="D69" s="63">
        <f>SUM(D57:D68)</f>
        <v>358171</v>
      </c>
      <c r="E69" s="63"/>
      <c r="F69" s="63">
        <f>SUM(F57:F67)</f>
        <v>30206</v>
      </c>
      <c r="G69" s="63"/>
      <c r="H69" s="63">
        <f>SUM(H57:H67)</f>
        <v>52957</v>
      </c>
      <c r="I69" s="63"/>
      <c r="J69" s="63">
        <f>SUM(J64:J68)</f>
        <v>0</v>
      </c>
      <c r="K69" s="63"/>
      <c r="L69" s="63">
        <f>SUM(L57:L68)</f>
        <v>380922</v>
      </c>
      <c r="M69" s="27"/>
      <c r="N69" s="6"/>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-145361</v>
      </c>
      <c r="E71" s="63"/>
      <c r="F71" s="63">
        <f>1248-66</f>
        <v>1182</v>
      </c>
      <c r="G71" s="63"/>
      <c r="H71" s="63"/>
      <c r="I71" s="63"/>
      <c r="J71" s="63"/>
      <c r="K71" s="63"/>
      <c r="L71" s="63">
        <f>D71-F71</f>
        <v>-146543</v>
      </c>
      <c r="M71" s="27"/>
      <c r="N71" s="6"/>
    </row>
    <row r="72" spans="1:14" ht="15.75">
      <c r="A72" s="26"/>
      <c r="B72" s="27" t="s">
        <v>45</v>
      </c>
      <c r="C72" s="63">
        <v>0</v>
      </c>
      <c r="D72" s="65">
        <v>31890</v>
      </c>
      <c r="E72" s="63"/>
      <c r="F72" s="63">
        <f>SUM(F69:F71)</f>
        <v>31388</v>
      </c>
      <c r="G72" s="63"/>
      <c r="H72" s="63">
        <f>-H69</f>
        <v>-52957</v>
      </c>
      <c r="I72" s="63"/>
      <c r="J72" s="63"/>
      <c r="K72" s="63"/>
      <c r="L72" s="65">
        <f>D72+F72+H72</f>
        <v>10321</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68"/>
      <c r="I75" s="63"/>
      <c r="J75" s="63"/>
      <c r="K75" s="63"/>
      <c r="L75" s="65">
        <v>0</v>
      </c>
      <c r="M75" s="27"/>
      <c r="N75" s="6"/>
    </row>
    <row r="76" spans="1:14" ht="15.75">
      <c r="A76" s="26"/>
      <c r="B76" s="27" t="s">
        <v>20</v>
      </c>
      <c r="C76" s="65">
        <f>SUM(C69:C75)</f>
        <v>244700</v>
      </c>
      <c r="D76" s="65">
        <f>SUM(D69:D75)</f>
        <v>244700</v>
      </c>
      <c r="E76" s="63"/>
      <c r="F76" s="63">
        <f>F72-F75-F74</f>
        <v>31388</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25781-475-18+9</f>
        <v>25297</v>
      </c>
      <c r="M79" s="27"/>
      <c r="N79" s="6"/>
    </row>
    <row r="80" spans="1:14" ht="15.75">
      <c r="A80" s="26"/>
      <c r="B80" s="27" t="s">
        <v>51</v>
      </c>
      <c r="C80" s="51"/>
      <c r="D80" s="55"/>
      <c r="E80" s="27"/>
      <c r="F80" s="27"/>
      <c r="G80" s="27"/>
      <c r="H80" s="27"/>
      <c r="I80" s="27"/>
      <c r="J80" s="63"/>
      <c r="K80" s="27"/>
      <c r="L80" s="64">
        <f>562+60+31+36</f>
        <v>689</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18861</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-767-188</f>
        <v>-955</v>
      </c>
      <c r="M87" s="27"/>
      <c r="N87" s="6"/>
      <c r="O87" s="69"/>
    </row>
    <row r="88" spans="1:15" ht="15.75">
      <c r="A88" s="26">
        <f t="shared" si="0"/>
        <v>3</v>
      </c>
      <c r="B88" s="27" t="s">
        <v>58</v>
      </c>
      <c r="C88" s="27"/>
      <c r="D88" s="27"/>
      <c r="E88" s="27"/>
      <c r="F88" s="27"/>
      <c r="G88" s="27"/>
      <c r="H88" s="27"/>
      <c r="I88" s="27"/>
      <c r="J88" s="27"/>
      <c r="K88" s="27"/>
      <c r="L88" s="64">
        <v>-1043</v>
      </c>
      <c r="M88" s="27"/>
      <c r="N88" s="6"/>
      <c r="O88" s="69"/>
    </row>
    <row r="89" spans="1:15" ht="15.75">
      <c r="A89" s="26">
        <f t="shared" si="0"/>
        <v>4</v>
      </c>
      <c r="B89" s="27" t="s">
        <v>59</v>
      </c>
      <c r="C89" s="27"/>
      <c r="D89" s="27"/>
      <c r="E89" s="27"/>
      <c r="F89" s="27"/>
      <c r="G89" s="27"/>
      <c r="H89" s="27"/>
      <c r="I89" s="27"/>
      <c r="J89" s="27"/>
      <c r="K89" s="27"/>
      <c r="L89" s="64">
        <v>-1617</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-927</v>
      </c>
      <c r="M91" s="27"/>
      <c r="N91" s="6"/>
      <c r="O91" s="69"/>
    </row>
    <row r="92" spans="1:15" ht="15.75">
      <c r="A92" s="26">
        <f t="shared" si="0"/>
        <v>7</v>
      </c>
      <c r="B92" s="27" t="s">
        <v>62</v>
      </c>
      <c r="C92" s="27"/>
      <c r="D92" s="27"/>
      <c r="E92" s="27"/>
      <c r="F92" s="27"/>
      <c r="G92" s="27"/>
      <c r="H92" s="27"/>
      <c r="I92" s="27"/>
      <c r="J92" s="27"/>
      <c r="K92" s="27"/>
      <c r="L92" s="64">
        <v>-457</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10321</v>
      </c>
      <c r="M94" s="27"/>
      <c r="N94" s="6"/>
      <c r="O94" s="69"/>
    </row>
    <row r="95" spans="1:14" ht="15.75">
      <c r="A95" s="26">
        <f t="shared" si="0"/>
        <v>10</v>
      </c>
      <c r="B95" s="27" t="s">
        <v>64</v>
      </c>
      <c r="C95" s="27"/>
      <c r="D95" s="27"/>
      <c r="E95" s="27"/>
      <c r="F95" s="27"/>
      <c r="G95" s="27"/>
      <c r="H95" s="27"/>
      <c r="I95" s="27"/>
      <c r="J95" s="27"/>
      <c r="K95" s="27"/>
      <c r="L95" s="64">
        <f>J193+SUM(L83:L92)+J195-J198</f>
        <v>3532</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DECEMBER 2002</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79"/>
      <c r="H111" s="9"/>
      <c r="I111" s="9"/>
      <c r="J111" s="9"/>
      <c r="K111" s="9"/>
      <c r="L111" s="80"/>
      <c r="M111" s="9"/>
      <c r="N111" s="6"/>
    </row>
    <row r="112" spans="1:14" ht="15.75">
      <c r="A112" s="7"/>
      <c r="B112" s="14"/>
      <c r="C112" s="18" t="s">
        <v>137</v>
      </c>
      <c r="D112" s="18" t="s">
        <v>147</v>
      </c>
      <c r="E112" s="18" t="s">
        <v>153</v>
      </c>
      <c r="F112" s="18" t="s">
        <v>162</v>
      </c>
      <c r="G112" s="79"/>
      <c r="H112" s="79"/>
      <c r="I112" s="9"/>
      <c r="J112" s="9"/>
      <c r="K112" s="9"/>
      <c r="L112" s="80"/>
      <c r="M112" s="9"/>
      <c r="N112" s="6"/>
    </row>
    <row r="113" spans="1:14" ht="15.75">
      <c r="A113" s="26"/>
      <c r="B113" s="27" t="s">
        <v>199</v>
      </c>
      <c r="C113" s="27">
        <f>1414-165-66-1</f>
        <v>1182</v>
      </c>
      <c r="D113" s="27">
        <v>63</v>
      </c>
      <c r="E113" s="27">
        <v>-11</v>
      </c>
      <c r="F113" s="27">
        <v>-52</v>
      </c>
      <c r="G113" s="81"/>
      <c r="H113" s="81"/>
      <c r="I113" s="27"/>
      <c r="J113" s="27"/>
      <c r="K113" s="27"/>
      <c r="L113" s="64">
        <f>SUM(C113:F113)</f>
        <v>1182</v>
      </c>
      <c r="M113" s="27"/>
      <c r="N113" s="6"/>
    </row>
    <row r="114" spans="1:14" ht="15.75">
      <c r="A114" s="26"/>
      <c r="B114" s="27" t="s">
        <v>72</v>
      </c>
      <c r="C114" s="27">
        <f>1454+30</f>
        <v>1484</v>
      </c>
      <c r="D114" s="27">
        <v>0</v>
      </c>
      <c r="E114" s="27">
        <v>0</v>
      </c>
      <c r="F114" s="27">
        <v>354</v>
      </c>
      <c r="G114" s="81"/>
      <c r="H114" s="81"/>
      <c r="I114" s="27"/>
      <c r="J114" s="27"/>
      <c r="K114" s="27"/>
      <c r="L114" s="64">
        <f>SUM(C114:F114)</f>
        <v>1838</v>
      </c>
      <c r="M114" s="27"/>
      <c r="N114" s="6"/>
    </row>
    <row r="115" spans="1:14" ht="15.75">
      <c r="A115" s="26"/>
      <c r="B115" s="27" t="s">
        <v>73</v>
      </c>
      <c r="C115" s="27"/>
      <c r="D115" s="27"/>
      <c r="E115" s="27"/>
      <c r="F115" s="27"/>
      <c r="G115" s="27"/>
      <c r="H115" s="27"/>
      <c r="I115" s="27"/>
      <c r="J115" s="27"/>
      <c r="K115" s="27"/>
      <c r="L115" s="64">
        <f>SUM(L113:L114)</f>
        <v>3020</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380922</v>
      </c>
      <c r="M117" s="27"/>
      <c r="N117" s="6"/>
    </row>
    <row r="118" spans="1:14" ht="15.75">
      <c r="A118" s="26"/>
      <c r="B118" s="27" t="s">
        <v>76</v>
      </c>
      <c r="C118" s="82"/>
      <c r="D118" s="27"/>
      <c r="E118" s="27"/>
      <c r="F118" s="27"/>
      <c r="G118" s="27"/>
      <c r="H118" s="27"/>
      <c r="I118" s="27"/>
      <c r="J118" s="27"/>
      <c r="K118" s="27"/>
      <c r="L118" s="64">
        <f>L72</f>
        <v>10321</v>
      </c>
      <c r="M118" s="27"/>
      <c r="N118" s="6"/>
    </row>
    <row r="119" spans="1:15" ht="15.75">
      <c r="A119" s="26"/>
      <c r="B119" s="27" t="s">
        <v>77</v>
      </c>
      <c r="C119" s="82"/>
      <c r="D119" s="27"/>
      <c r="E119" s="27"/>
      <c r="F119" s="27"/>
      <c r="G119" s="27"/>
      <c r="H119" s="27"/>
      <c r="I119" s="27"/>
      <c r="J119" s="27"/>
      <c r="K119" s="27"/>
      <c r="L119" s="64">
        <f>L118+L117+L74+L75</f>
        <v>391243</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v>0</v>
      </c>
      <c r="I124" s="27"/>
      <c r="J124" s="84" t="s">
        <v>177</v>
      </c>
      <c r="K124" s="27"/>
      <c r="L124" s="64">
        <f>H124</f>
        <v>0</v>
      </c>
      <c r="M124" s="27"/>
      <c r="N124" s="6"/>
    </row>
    <row r="125" spans="1:14" ht="15.75">
      <c r="A125" s="26"/>
      <c r="B125" s="27" t="s">
        <v>82</v>
      </c>
      <c r="C125" s="27"/>
      <c r="D125" s="27"/>
      <c r="E125" s="27"/>
      <c r="F125" s="27"/>
      <c r="G125" s="27"/>
      <c r="H125" s="64">
        <v>0</v>
      </c>
      <c r="I125" s="27"/>
      <c r="J125" s="84" t="s">
        <v>177</v>
      </c>
      <c r="K125" s="27"/>
      <c r="L125" s="64">
        <f>H125</f>
        <v>0</v>
      </c>
      <c r="M125" s="27"/>
      <c r="N125" s="6"/>
    </row>
    <row r="126" spans="1:14" ht="15.75">
      <c r="A126" s="26"/>
      <c r="B126" s="27" t="s">
        <v>83</v>
      </c>
      <c r="C126" s="27"/>
      <c r="D126" s="27"/>
      <c r="E126" s="27"/>
      <c r="F126" s="27"/>
      <c r="G126" s="27"/>
      <c r="H126" s="64">
        <f>SUM(H124:H125)</f>
        <v>0</v>
      </c>
      <c r="I126" s="27"/>
      <c r="J126" s="84" t="s">
        <v>177</v>
      </c>
      <c r="K126" s="27"/>
      <c r="L126" s="64">
        <f>H126</f>
        <v>0</v>
      </c>
      <c r="M126" s="27"/>
      <c r="N126" s="6"/>
    </row>
    <row r="127" spans="1:14" ht="15.75">
      <c r="A127" s="26"/>
      <c r="B127" s="27" t="s">
        <v>84</v>
      </c>
      <c r="C127" s="27"/>
      <c r="D127" s="27"/>
      <c r="E127" s="27"/>
      <c r="F127" s="27"/>
      <c r="G127" s="27"/>
      <c r="H127" s="64">
        <f>H123-H126</f>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37621</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0.1571</v>
      </c>
      <c r="K134" s="27"/>
      <c r="L134" s="27"/>
      <c r="M134" s="27"/>
      <c r="N134" s="6"/>
    </row>
    <row r="135" spans="1:14" ht="15.75">
      <c r="A135" s="87"/>
      <c r="B135" s="88" t="s">
        <v>90</v>
      </c>
      <c r="C135" s="89"/>
      <c r="D135" s="89"/>
      <c r="E135" s="89"/>
      <c r="F135" s="89"/>
      <c r="G135" s="90"/>
      <c r="H135" s="90"/>
      <c r="I135" s="90"/>
      <c r="J135" s="91">
        <f>L34</f>
        <v>0.048656242337556194</v>
      </c>
      <c r="K135" s="27"/>
      <c r="L135" s="27"/>
      <c r="M135" s="27"/>
      <c r="N135" s="6"/>
    </row>
    <row r="136" spans="1:14" ht="15.75">
      <c r="A136" s="87"/>
      <c r="B136" s="88" t="s">
        <v>91</v>
      </c>
      <c r="C136" s="89"/>
      <c r="D136" s="89"/>
      <c r="E136" s="89"/>
      <c r="F136" s="89"/>
      <c r="G136" s="90"/>
      <c r="H136" s="90"/>
      <c r="I136" s="90"/>
      <c r="J136" s="91">
        <f>J134-J135</f>
        <v>0.1084437576624438</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11.76</v>
      </c>
      <c r="K141" s="27"/>
      <c r="L141" s="27"/>
      <c r="M141" s="27"/>
      <c r="N141" s="6"/>
    </row>
    <row r="142" spans="1:14" ht="15.75">
      <c r="A142" s="87"/>
      <c r="B142" s="88" t="s">
        <v>97</v>
      </c>
      <c r="C142" s="89"/>
      <c r="D142" s="89"/>
      <c r="E142" s="89"/>
      <c r="F142" s="89"/>
      <c r="G142" s="90"/>
      <c r="H142" s="90"/>
      <c r="I142" s="90"/>
      <c r="J142" s="91">
        <v>0.069</v>
      </c>
      <c r="K142" s="27"/>
      <c r="L142" s="27"/>
      <c r="M142" s="27"/>
      <c r="N142" s="6"/>
    </row>
    <row r="143" spans="1:14" ht="15.75">
      <c r="A143" s="87"/>
      <c r="B143" s="88" t="s">
        <v>98</v>
      </c>
      <c r="C143" s="89"/>
      <c r="D143" s="89"/>
      <c r="E143" s="89"/>
      <c r="F143" s="89"/>
      <c r="G143" s="90"/>
      <c r="H143" s="90"/>
      <c r="I143" s="90"/>
      <c r="J143" s="91">
        <v>0.2436</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DECEMBER 2002</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5483</v>
      </c>
      <c r="J148" s="64">
        <v>46967</v>
      </c>
      <c r="K148" s="64"/>
      <c r="L148" s="94"/>
      <c r="M148" s="104"/>
      <c r="N148" s="6"/>
    </row>
    <row r="149" spans="1:14" ht="15.75">
      <c r="A149" s="103"/>
      <c r="B149" s="88" t="s">
        <v>101</v>
      </c>
      <c r="C149" s="65"/>
      <c r="D149" s="65"/>
      <c r="E149" s="65"/>
      <c r="F149" s="27"/>
      <c r="G149" s="27"/>
      <c r="H149" s="27"/>
      <c r="I149" s="27">
        <v>35</v>
      </c>
      <c r="J149" s="64">
        <v>187</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52957</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3020</v>
      </c>
      <c r="K153" s="27"/>
      <c r="L153" s="94"/>
      <c r="M153" s="108"/>
      <c r="N153" s="6"/>
    </row>
    <row r="154" spans="1:14" ht="15.75">
      <c r="A154" s="103"/>
      <c r="B154" s="88" t="s">
        <v>106</v>
      </c>
      <c r="C154" s="65"/>
      <c r="D154" s="65"/>
      <c r="E154" s="65"/>
      <c r="F154" s="65"/>
      <c r="G154" s="27"/>
      <c r="H154" s="27"/>
      <c r="I154" s="27"/>
      <c r="J154" s="64">
        <f>'Sept 02'!J154+J153</f>
        <v>14961</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96</v>
      </c>
      <c r="K164" s="113"/>
      <c r="L164" s="34"/>
      <c r="M164" s="94"/>
      <c r="N164" s="6"/>
    </row>
    <row r="165" spans="1:14" ht="15.75">
      <c r="A165" s="103"/>
      <c r="B165" s="88" t="s">
        <v>110</v>
      </c>
      <c r="C165" s="65"/>
      <c r="D165" s="65"/>
      <c r="E165" s="111"/>
      <c r="F165" s="109"/>
      <c r="G165" s="110"/>
      <c r="H165" s="27"/>
      <c r="I165" s="34"/>
      <c r="J165" s="113">
        <v>3</v>
      </c>
      <c r="K165" s="113"/>
      <c r="L165" s="34"/>
      <c r="M165" s="94"/>
      <c r="N165" s="6"/>
    </row>
    <row r="166" spans="1:14" ht="15.75">
      <c r="A166" s="103"/>
      <c r="B166" s="88" t="s">
        <v>115</v>
      </c>
      <c r="C166" s="65"/>
      <c r="D166" s="65"/>
      <c r="E166" s="111"/>
      <c r="F166" s="109"/>
      <c r="G166" s="110"/>
      <c r="H166" s="27"/>
      <c r="I166" s="34"/>
      <c r="J166" s="113">
        <v>35</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81"/>
      <c r="D169" s="114" t="s">
        <v>148</v>
      </c>
      <c r="E169" s="115"/>
      <c r="F169" s="116"/>
      <c r="G169" s="115"/>
      <c r="H169" s="114" t="s">
        <v>40</v>
      </c>
      <c r="I169" s="115"/>
      <c r="J169" s="116"/>
      <c r="K169" s="115"/>
      <c r="L169" s="117"/>
      <c r="M169" s="108"/>
      <c r="N169" s="6"/>
    </row>
    <row r="170" spans="1:14" ht="15.75">
      <c r="A170" s="26"/>
      <c r="B170" s="81"/>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f>184+19926-150</f>
        <v>19960</v>
      </c>
      <c r="D171" s="91">
        <f>C171/C$175</f>
        <v>0.8348669901288271</v>
      </c>
      <c r="E171" s="118">
        <f>753+115659-1548</f>
        <v>114864</v>
      </c>
      <c r="F171" s="91">
        <f>E171/E$175</f>
        <v>0.8252554136191859</v>
      </c>
      <c r="G171" s="115"/>
      <c r="H171" s="118">
        <v>8808</v>
      </c>
      <c r="I171" s="91">
        <f>H171/H$175</f>
        <v>0.9661072721289898</v>
      </c>
      <c r="J171" s="118">
        <v>7740</v>
      </c>
      <c r="K171" s="91">
        <f>J171/J$175</f>
        <v>0.9547304798322438</v>
      </c>
      <c r="L171" s="117"/>
      <c r="M171" s="108"/>
      <c r="N171" s="6"/>
    </row>
    <row r="172" spans="1:17" ht="15.75">
      <c r="A172" s="26"/>
      <c r="B172" s="65" t="s">
        <v>118</v>
      </c>
      <c r="C172" s="118">
        <f>7+439-5</f>
        <v>441</v>
      </c>
      <c r="D172" s="91">
        <f>C172/C$175</f>
        <v>0.01844570854943952</v>
      </c>
      <c r="E172" s="118">
        <f>13+3116-47</f>
        <v>3082</v>
      </c>
      <c r="F172" s="91">
        <f>E172/E$175</f>
        <v>0.02214303162674407</v>
      </c>
      <c r="G172" s="115"/>
      <c r="H172" s="118">
        <v>61</v>
      </c>
      <c r="I172" s="91">
        <f>H172/H$175</f>
        <v>0.006690797411429198</v>
      </c>
      <c r="J172" s="118">
        <v>73</v>
      </c>
      <c r="K172" s="91">
        <f>J172/J$175</f>
        <v>0.009004563957074134</v>
      </c>
      <c r="L172" s="117"/>
      <c r="M172" s="108"/>
      <c r="N172" s="6"/>
      <c r="Q172" s="69"/>
    </row>
    <row r="173" spans="1:17" ht="15.75">
      <c r="A173" s="26"/>
      <c r="B173" s="65" t="s">
        <v>119</v>
      </c>
      <c r="C173" s="118">
        <f>12+337-5</f>
        <v>344</v>
      </c>
      <c r="D173" s="91">
        <f>C173/C$175</f>
        <v>0.014388489208633094</v>
      </c>
      <c r="E173" s="118">
        <f>18+2570-102</f>
        <v>2486</v>
      </c>
      <c r="F173" s="91">
        <f>E173/E$175</f>
        <v>0.01786099176641329</v>
      </c>
      <c r="G173" s="115"/>
      <c r="H173" s="118">
        <v>48</v>
      </c>
      <c r="I173" s="91">
        <f>H173/H$175</f>
        <v>0.0052648897663705166</v>
      </c>
      <c r="J173" s="118">
        <v>47</v>
      </c>
      <c r="K173" s="91">
        <f>J173/J$175</f>
        <v>0.005797458986061429</v>
      </c>
      <c r="L173" s="117"/>
      <c r="M173" s="108"/>
      <c r="N173" s="6"/>
      <c r="Q173" s="69"/>
    </row>
    <row r="174" spans="1:17" ht="15.75">
      <c r="A174" s="26"/>
      <c r="B174" s="65" t="s">
        <v>120</v>
      </c>
      <c r="C174" s="118">
        <f>4+319+9+297+8+261+7+266+8+292+3+265+7+284+15+292+6+258+125+456-19</f>
        <v>3163</v>
      </c>
      <c r="D174" s="91">
        <f>C174/C$175</f>
        <v>0.1322988121131002</v>
      </c>
      <c r="E174" s="118">
        <f>4884+258102-123800-E173-E172-E171</f>
        <v>18754</v>
      </c>
      <c r="F174" s="91">
        <f>E174/$E$175</f>
        <v>0.1347405629876568</v>
      </c>
      <c r="G174" s="115"/>
      <c r="H174" s="118">
        <f>34+20+40+23+18+17+20+7+21</f>
        <v>200</v>
      </c>
      <c r="I174" s="91">
        <f>H174/H$175</f>
        <v>0.021937040693210487</v>
      </c>
      <c r="J174" s="118">
        <f>8107-J173-J172-J171</f>
        <v>247</v>
      </c>
      <c r="K174" s="91">
        <f>J174/J$175</f>
        <v>0.030467497224620697</v>
      </c>
      <c r="L174" s="117"/>
      <c r="M174" s="108"/>
      <c r="N174" s="6"/>
      <c r="Q174" s="69"/>
    </row>
    <row r="175" spans="1:17" ht="15.75">
      <c r="A175" s="26"/>
      <c r="B175" s="65" t="s">
        <v>121</v>
      </c>
      <c r="C175" s="118">
        <f>SUM(C171:C174)</f>
        <v>23908</v>
      </c>
      <c r="D175" s="91">
        <f>SUM(D171:D174)</f>
        <v>1</v>
      </c>
      <c r="E175" s="118">
        <f>SUM(E171:E174)</f>
        <v>139186</v>
      </c>
      <c r="F175" s="91">
        <f>SUM(F171:F174)</f>
        <v>1</v>
      </c>
      <c r="G175" s="115"/>
      <c r="H175" s="118">
        <f>SUM(H171:H174)</f>
        <v>9117</v>
      </c>
      <c r="I175" s="91">
        <f>SUM(I171:I174)</f>
        <v>1</v>
      </c>
      <c r="J175" s="118">
        <f>SUM(J171:J174)</f>
        <v>8107</v>
      </c>
      <c r="K175" s="91">
        <f>SUM(K171:K174)</f>
        <v>1</v>
      </c>
      <c r="L175" s="117"/>
      <c r="M175" s="108"/>
      <c r="N175" s="6"/>
      <c r="Q175" s="69"/>
    </row>
    <row r="176" spans="1:17" ht="15.75">
      <c r="A176" s="26"/>
      <c r="B176" s="65" t="s">
        <v>122</v>
      </c>
      <c r="C176" s="118">
        <f>596+15041+193-14</f>
        <v>15816</v>
      </c>
      <c r="D176" s="119"/>
      <c r="E176" s="118">
        <f>3614+118253+1933</f>
        <v>123800</v>
      </c>
      <c r="F176" s="119"/>
      <c r="G176" s="115"/>
      <c r="H176" s="118">
        <v>60</v>
      </c>
      <c r="I176" s="119"/>
      <c r="J176" s="118">
        <v>107</v>
      </c>
      <c r="K176" s="119"/>
      <c r="L176" s="117"/>
      <c r="M176" s="108"/>
      <c r="N176" s="6"/>
      <c r="O176" s="69"/>
      <c r="Q176" s="69"/>
    </row>
    <row r="177" spans="1:15" ht="15.75">
      <c r="A177" s="26"/>
      <c r="B177" s="65" t="s">
        <v>123</v>
      </c>
      <c r="C177" s="118">
        <f>SUM(C175:C176)</f>
        <v>39724</v>
      </c>
      <c r="D177" s="81"/>
      <c r="E177" s="118">
        <f>SUM(E175:E176)</f>
        <v>262986</v>
      </c>
      <c r="F177" s="91"/>
      <c r="G177" s="81"/>
      <c r="H177" s="118">
        <f>SUM(H175:H176)</f>
        <v>9177</v>
      </c>
      <c r="I177" s="81"/>
      <c r="J177" s="118">
        <f>SUM(J175:J176)</f>
        <v>8214</v>
      </c>
      <c r="K177" s="81"/>
      <c r="L177" s="81"/>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81"/>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2799</v>
      </c>
      <c r="D181" s="91">
        <f>C181/C$185</f>
        <v>0.9468876860622463</v>
      </c>
      <c r="E181" s="118">
        <v>54406</v>
      </c>
      <c r="F181" s="91">
        <f>E181/E$185</f>
        <v>0.9746860388039915</v>
      </c>
      <c r="G181" s="115"/>
      <c r="H181" s="118">
        <v>9190</v>
      </c>
      <c r="I181" s="91">
        <f>H181/H$185</f>
        <v>0.8641278796426892</v>
      </c>
      <c r="J181" s="118">
        <v>52227</v>
      </c>
      <c r="K181" s="91">
        <f>J181/J$185</f>
        <v>0.9755673858223592</v>
      </c>
      <c r="L181" s="117"/>
      <c r="M181" s="108"/>
      <c r="N181" s="6"/>
    </row>
    <row r="182" spans="1:14" ht="15.75">
      <c r="A182" s="26"/>
      <c r="B182" s="65" t="s">
        <v>118</v>
      </c>
      <c r="C182" s="118">
        <v>45</v>
      </c>
      <c r="D182" s="91">
        <f>C182/C$185</f>
        <v>0.015223274695534507</v>
      </c>
      <c r="E182" s="118">
        <v>977</v>
      </c>
      <c r="F182" s="91">
        <f>E182/E$185</f>
        <v>0.017503000770347013</v>
      </c>
      <c r="G182" s="115"/>
      <c r="H182" s="118">
        <v>77</v>
      </c>
      <c r="I182" s="91">
        <f>H182/H$185</f>
        <v>0.007240244475787494</v>
      </c>
      <c r="J182" s="118">
        <v>379</v>
      </c>
      <c r="K182" s="91">
        <f>J182/J$185</f>
        <v>0.007079480713551882</v>
      </c>
      <c r="L182" s="117"/>
      <c r="M182" s="108"/>
      <c r="N182" s="6"/>
    </row>
    <row r="183" spans="1:14" ht="15.75">
      <c r="A183" s="26"/>
      <c r="B183" s="65" t="s">
        <v>119</v>
      </c>
      <c r="C183" s="118">
        <v>10</v>
      </c>
      <c r="D183" s="91">
        <f>C183/C$185</f>
        <v>0.0033829499323410014</v>
      </c>
      <c r="E183" s="118">
        <v>148</v>
      </c>
      <c r="F183" s="91">
        <f>E183/E$185</f>
        <v>0.002651426933481431</v>
      </c>
      <c r="G183" s="115"/>
      <c r="H183" s="118">
        <v>29</v>
      </c>
      <c r="I183" s="91">
        <f>H183/H$185</f>
        <v>0.0027268453220498355</v>
      </c>
      <c r="J183" s="118">
        <v>123</v>
      </c>
      <c r="K183" s="91">
        <f>J183/J$185</f>
        <v>0.002297562342392827</v>
      </c>
      <c r="L183" s="117"/>
      <c r="M183" s="108"/>
      <c r="N183" s="6"/>
    </row>
    <row r="184" spans="1:14" ht="15.75">
      <c r="A184" s="26"/>
      <c r="B184" s="65" t="s">
        <v>120</v>
      </c>
      <c r="C184" s="118">
        <f>6+6+1+1+1+87</f>
        <v>102</v>
      </c>
      <c r="D184" s="91">
        <f>C184/C$185</f>
        <v>0.03450608930987822</v>
      </c>
      <c r="E184" s="118">
        <f>55819-E183-E182-E181</f>
        <v>288</v>
      </c>
      <c r="F184" s="91">
        <f>E184/E$185</f>
        <v>0.005159533492180082</v>
      </c>
      <c r="G184" s="115"/>
      <c r="H184" s="118">
        <f>15+17+8+8+8+2+3+6+3+1269</f>
        <v>1339</v>
      </c>
      <c r="I184" s="91">
        <f>H184/H$185</f>
        <v>0.12590503055947344</v>
      </c>
      <c r="J184" s="118">
        <f>53535-J183-J182-J181</f>
        <v>806</v>
      </c>
      <c r="K184" s="91">
        <f>J184/J$185</f>
        <v>0.015055571121696087</v>
      </c>
      <c r="L184" s="117"/>
      <c r="M184" s="108"/>
      <c r="N184" s="6"/>
    </row>
    <row r="185" spans="1:14" ht="15.75">
      <c r="A185" s="26"/>
      <c r="B185" s="65" t="str">
        <f>B175</f>
        <v>Total Performing  Assets</v>
      </c>
      <c r="C185" s="118">
        <f>SUM(C181:C184)</f>
        <v>2956</v>
      </c>
      <c r="D185" s="91">
        <f>SUM(D181:D184)</f>
        <v>1</v>
      </c>
      <c r="E185" s="118">
        <f>SUM(E181:E184)</f>
        <v>55819</v>
      </c>
      <c r="F185" s="91">
        <f>SUM(F181:F184)</f>
        <v>1</v>
      </c>
      <c r="G185" s="115"/>
      <c r="H185" s="118">
        <f>SUM(H181:H184)</f>
        <v>10635</v>
      </c>
      <c r="I185" s="91">
        <f>SUM(I181:I184)</f>
        <v>1</v>
      </c>
      <c r="J185" s="118">
        <f>SUM(J181:J184)</f>
        <v>53535</v>
      </c>
      <c r="K185" s="91">
        <f>SUM(K181:K184)</f>
        <v>1</v>
      </c>
      <c r="L185" s="117"/>
      <c r="M185" s="108"/>
      <c r="N185" s="6"/>
    </row>
    <row r="186" spans="1:15" ht="15.75">
      <c r="A186" s="26"/>
      <c r="B186" s="65" t="s">
        <v>122</v>
      </c>
      <c r="C186" s="118">
        <v>0</v>
      </c>
      <c r="D186" s="121"/>
      <c r="E186" s="118">
        <v>0</v>
      </c>
      <c r="F186" s="119"/>
      <c r="G186" s="115"/>
      <c r="H186" s="118">
        <v>70</v>
      </c>
      <c r="I186" s="121"/>
      <c r="J186" s="118">
        <v>368</v>
      </c>
      <c r="K186" s="121"/>
      <c r="L186" s="117"/>
      <c r="M186" s="108"/>
      <c r="N186" s="6"/>
      <c r="O186" s="69"/>
    </row>
    <row r="187" spans="1:13" ht="15.75">
      <c r="A187" s="26"/>
      <c r="B187" s="65" t="s">
        <v>123</v>
      </c>
      <c r="C187" s="118">
        <f>SUM(C185:C186)</f>
        <v>2956</v>
      </c>
      <c r="D187" s="81"/>
      <c r="E187" s="118">
        <f>SUM(E185:E186)</f>
        <v>55819</v>
      </c>
      <c r="F187" s="120"/>
      <c r="G187" s="81"/>
      <c r="H187" s="118">
        <f>SUM(H185:H186)</f>
        <v>10705</v>
      </c>
      <c r="I187" s="81"/>
      <c r="J187" s="118">
        <f>SUM(J185:J186)</f>
        <v>53903</v>
      </c>
      <c r="K187" s="81"/>
      <c r="L187" s="81"/>
      <c r="M187" s="140"/>
    </row>
    <row r="188" spans="1:15" ht="15.75">
      <c r="A188" s="26"/>
      <c r="B188" s="65"/>
      <c r="C188" s="115"/>
      <c r="D188" s="116"/>
      <c r="E188" s="115"/>
      <c r="F188" s="116"/>
      <c r="G188" s="115"/>
      <c r="H188" s="122"/>
      <c r="I188" s="115"/>
      <c r="J188" s="118"/>
      <c r="K188" s="115"/>
      <c r="L188" s="117"/>
      <c r="M188" s="108"/>
      <c r="N188" s="6"/>
      <c r="O188" s="69"/>
    </row>
    <row r="189" spans="1:14" ht="15.75">
      <c r="A189" s="26"/>
      <c r="B189" s="65" t="s">
        <v>123</v>
      </c>
      <c r="C189" s="115"/>
      <c r="D189" s="116"/>
      <c r="E189" s="116"/>
      <c r="F189" s="116"/>
      <c r="G189" s="115"/>
      <c r="H189" s="122"/>
      <c r="I189" s="121"/>
      <c r="J189" s="118">
        <f>E177+J177+E187+J187</f>
        <v>380922</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5"/>
      <c r="J193" s="118">
        <f>E175+J175+E185+J185</f>
        <v>256647</v>
      </c>
      <c r="K193" s="115"/>
      <c r="L193" s="117"/>
      <c r="M193" s="108"/>
      <c r="N193" s="6"/>
    </row>
    <row r="194" spans="1:14" ht="15.75">
      <c r="A194" s="26"/>
      <c r="B194" s="65" t="s">
        <v>126</v>
      </c>
      <c r="C194" s="115"/>
      <c r="D194" s="116"/>
      <c r="E194" s="115"/>
      <c r="F194" s="116"/>
      <c r="G194" s="115"/>
      <c r="H194" s="116"/>
      <c r="I194" s="115"/>
      <c r="J194" s="118">
        <f>L94</f>
        <v>10321</v>
      </c>
      <c r="K194" s="115"/>
      <c r="L194" s="117"/>
      <c r="M194" s="108"/>
      <c r="N194" s="124"/>
    </row>
    <row r="195" spans="1:14" ht="15.75">
      <c r="A195" s="26"/>
      <c r="B195" s="65" t="s">
        <v>127</v>
      </c>
      <c r="C195" s="115"/>
      <c r="D195" s="116"/>
      <c r="E195" s="115"/>
      <c r="F195" s="116"/>
      <c r="G195" s="115"/>
      <c r="H195" s="116"/>
      <c r="I195" s="115"/>
      <c r="J195" s="118">
        <v>-22268</v>
      </c>
      <c r="K195" s="115"/>
      <c r="L195" s="117"/>
      <c r="M195" s="108"/>
      <c r="N195" s="125"/>
    </row>
    <row r="196" spans="1:14" ht="15.75">
      <c r="A196" s="26"/>
      <c r="B196" s="65" t="s">
        <v>128</v>
      </c>
      <c r="C196" s="115"/>
      <c r="D196" s="116"/>
      <c r="E196" s="115"/>
      <c r="F196" s="116"/>
      <c r="G196" s="115"/>
      <c r="H196" s="116"/>
      <c r="I196" s="115"/>
      <c r="J196" s="118">
        <f>SUM(J193:J195)</f>
        <v>244700</v>
      </c>
      <c r="K196" s="115"/>
      <c r="L196" s="117"/>
      <c r="M196" s="108"/>
      <c r="N196" s="6"/>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DECEMBER 2002</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13" man="1"/>
    <brk id="146" max="13" man="1"/>
    <brk id="213" max="0" man="1"/>
  </rowBreaks>
  <drawing r:id="rId1"/>
</worksheet>
</file>

<file path=xl/worksheets/sheet5.xml><?xml version="1.0" encoding="utf-8"?>
<worksheet xmlns="http://schemas.openxmlformats.org/spreadsheetml/2006/main" xmlns:r="http://schemas.openxmlformats.org/officeDocument/2006/relationships">
  <dimension ref="A1:Q212"/>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6.105468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7.66406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E175/($J$193+L94)</f>
        <v>0.46410431212729614</v>
      </c>
      <c r="F15" s="18" t="s">
        <v>147</v>
      </c>
      <c r="G15" s="19">
        <f>J175/(J$193+L94)</f>
        <v>0.03780977495430164</v>
      </c>
      <c r="H15" s="18" t="s">
        <v>153</v>
      </c>
      <c r="I15" s="19">
        <f>E185/(J$193+L$94)</f>
        <v>0.22180560966108298</v>
      </c>
      <c r="J15" s="18" t="s">
        <v>162</v>
      </c>
      <c r="K15" s="19">
        <f>J185/(J$193+L$94)</f>
        <v>0.22834571933714903</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37733</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24"/>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46"/>
      <c r="D33" s="34" t="s">
        <v>143</v>
      </c>
      <c r="E33" s="27"/>
      <c r="F33" s="34" t="s">
        <v>159</v>
      </c>
      <c r="G33" s="34"/>
      <c r="H33" s="34" t="s">
        <v>170</v>
      </c>
      <c r="I33" s="34"/>
      <c r="J33" s="34"/>
      <c r="K33" s="30"/>
      <c r="L33" s="30"/>
      <c r="M33" s="27"/>
      <c r="N33" s="6"/>
    </row>
    <row r="34" spans="1:14" ht="15.75">
      <c r="A34" s="26"/>
      <c r="B34" s="27" t="s">
        <v>22</v>
      </c>
      <c r="C34" s="46"/>
      <c r="D34" s="47">
        <v>0.043925</v>
      </c>
      <c r="E34" s="48"/>
      <c r="F34" s="47">
        <v>0.052125</v>
      </c>
      <c r="G34" s="47"/>
      <c r="H34" s="47">
        <v>0.067625</v>
      </c>
      <c r="I34" s="49"/>
      <c r="J34" s="47"/>
      <c r="K34" s="30"/>
      <c r="L34" s="49">
        <f>SUMPRODUCT(D34:J34,D32:J32)/L32</f>
        <v>0.04890624233755619</v>
      </c>
      <c r="M34" s="27"/>
      <c r="N34" s="6"/>
    </row>
    <row r="35" spans="1:14" ht="15.75">
      <c r="A35" s="26"/>
      <c r="B35" s="27" t="s">
        <v>23</v>
      </c>
      <c r="C35" s="46"/>
      <c r="D35" s="47">
        <v>0.043675</v>
      </c>
      <c r="E35" s="48"/>
      <c r="F35" s="47">
        <v>0.051875</v>
      </c>
      <c r="G35" s="47"/>
      <c r="H35" s="47">
        <v>0.067375</v>
      </c>
      <c r="I35" s="49"/>
      <c r="J35" s="47"/>
      <c r="K35" s="30"/>
      <c r="L35" s="30"/>
      <c r="M35" s="27"/>
      <c r="N35" s="6"/>
    </row>
    <row r="36" spans="1:14" ht="15.75">
      <c r="A36" s="26"/>
      <c r="B36" s="27" t="s">
        <v>24</v>
      </c>
      <c r="C36" s="46"/>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27"/>
      <c r="E43" s="27"/>
      <c r="F43" s="48"/>
      <c r="G43" s="27"/>
      <c r="H43" s="27"/>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37726</v>
      </c>
      <c r="M45" s="31"/>
      <c r="N45" s="6"/>
    </row>
    <row r="46" spans="1:14" ht="15.75">
      <c r="A46" s="26"/>
      <c r="B46" s="27" t="s">
        <v>32</v>
      </c>
      <c r="C46" s="27"/>
      <c r="D46" s="27"/>
      <c r="E46" s="27"/>
      <c r="F46" s="27"/>
      <c r="G46" s="27"/>
      <c r="H46" s="30"/>
      <c r="I46" s="27">
        <f>L46-J46+1</f>
        <v>92</v>
      </c>
      <c r="J46" s="56">
        <v>37544</v>
      </c>
      <c r="K46" s="57"/>
      <c r="L46" s="56">
        <v>37635</v>
      </c>
      <c r="M46" s="27"/>
      <c r="N46" s="6"/>
    </row>
    <row r="47" spans="1:14" ht="15.75">
      <c r="A47" s="26"/>
      <c r="B47" s="27" t="s">
        <v>33</v>
      </c>
      <c r="C47" s="27"/>
      <c r="D47" s="27"/>
      <c r="E47" s="27"/>
      <c r="F47" s="27"/>
      <c r="G47" s="27"/>
      <c r="H47" s="30"/>
      <c r="I47" s="27">
        <f>L47-J47+1</f>
        <v>90</v>
      </c>
      <c r="J47" s="56">
        <v>37636</v>
      </c>
      <c r="K47" s="57"/>
      <c r="L47" s="56">
        <v>37725</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37712</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192</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262987</v>
      </c>
      <c r="E57" s="63"/>
      <c r="F57" s="63">
        <f>206+12173+791+1+186+309</f>
        <v>13666</v>
      </c>
      <c r="G57" s="63"/>
      <c r="H57" s="63">
        <v>0</v>
      </c>
      <c r="I57" s="63"/>
      <c r="J57" s="63">
        <v>0</v>
      </c>
      <c r="K57" s="63"/>
      <c r="L57" s="64">
        <f>D57-F57+H57-J57</f>
        <v>249321</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8213</v>
      </c>
      <c r="E60" s="63"/>
      <c r="F60" s="63">
        <f>3871+3</f>
        <v>3874</v>
      </c>
      <c r="G60" s="63"/>
      <c r="H60" s="63">
        <v>5879</v>
      </c>
      <c r="I60" s="63"/>
      <c r="J60" s="63">
        <f>SUM(J57:J59)</f>
        <v>0</v>
      </c>
      <c r="K60" s="63"/>
      <c r="L60" s="64">
        <f>D60-F60+H60-J60</f>
        <v>10218</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55819</v>
      </c>
      <c r="E63" s="63"/>
      <c r="F63" s="63">
        <f>7841+1+117</f>
        <v>7959</v>
      </c>
      <c r="G63" s="63"/>
      <c r="H63" s="63">
        <v>11360</v>
      </c>
      <c r="I63" s="63"/>
      <c r="J63" s="63">
        <v>0</v>
      </c>
      <c r="K63" s="63"/>
      <c r="L63" s="64">
        <f>D63-F63+H63-J63</f>
        <v>59220</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53903</v>
      </c>
      <c r="E66" s="63"/>
      <c r="F66" s="63">
        <f>7613+252+517</f>
        <v>8382</v>
      </c>
      <c r="G66" s="63"/>
      <c r="H66" s="63">
        <f>10507+5343</f>
        <v>15850</v>
      </c>
      <c r="I66" s="63"/>
      <c r="J66" s="63">
        <v>0</v>
      </c>
      <c r="K66" s="63"/>
      <c r="L66" s="64">
        <f>D66-F66+H66-J66</f>
        <v>61371</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380922</v>
      </c>
      <c r="E69" s="63"/>
      <c r="F69" s="63">
        <f>SUM(F57:F67)</f>
        <v>33881</v>
      </c>
      <c r="G69" s="63"/>
      <c r="H69" s="63">
        <f>SUM(H57:H67)</f>
        <v>33089</v>
      </c>
      <c r="I69" s="63"/>
      <c r="J69" s="63">
        <f>SUM(J64:J68)</f>
        <v>0</v>
      </c>
      <c r="K69" s="63"/>
      <c r="L69" s="63">
        <f>SUM(L57:L68)</f>
        <v>380130</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-146543</v>
      </c>
      <c r="E71" s="63"/>
      <c r="F71" s="63">
        <f>1753-70</f>
        <v>1683</v>
      </c>
      <c r="G71" s="63"/>
      <c r="H71" s="63"/>
      <c r="I71" s="63"/>
      <c r="J71" s="63"/>
      <c r="K71" s="63"/>
      <c r="L71" s="63">
        <f>D71-F71</f>
        <v>-148226</v>
      </c>
      <c r="M71" s="27"/>
      <c r="N71" s="6"/>
    </row>
    <row r="72" spans="1:14" ht="15.75">
      <c r="A72" s="26"/>
      <c r="B72" s="27" t="s">
        <v>45</v>
      </c>
      <c r="C72" s="63">
        <v>0</v>
      </c>
      <c r="D72" s="65">
        <v>10321</v>
      </c>
      <c r="E72" s="63"/>
      <c r="F72" s="63">
        <f>SUM(F69:F71)</f>
        <v>35564</v>
      </c>
      <c r="G72" s="63"/>
      <c r="H72" s="63">
        <f>-H69</f>
        <v>-33089</v>
      </c>
      <c r="I72" s="63"/>
      <c r="J72" s="63"/>
      <c r="K72" s="63"/>
      <c r="L72" s="65">
        <f>D72+F72+H72</f>
        <v>12796</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68"/>
      <c r="I75" s="63"/>
      <c r="J75" s="63"/>
      <c r="K75" s="63"/>
      <c r="L75" s="65">
        <v>0</v>
      </c>
      <c r="M75" s="27"/>
      <c r="N75" s="6"/>
    </row>
    <row r="76" spans="1:14" ht="15.75">
      <c r="A76" s="26"/>
      <c r="B76" s="27" t="s">
        <v>20</v>
      </c>
      <c r="C76" s="65">
        <f>SUM(C69:C75)</f>
        <v>244700</v>
      </c>
      <c r="D76" s="65">
        <f>SUM(D69:D75)</f>
        <v>244700</v>
      </c>
      <c r="E76" s="63"/>
      <c r="F76" s="63">
        <f>F72-F75-F74</f>
        <v>35564</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27375-434-11</f>
        <v>26930</v>
      </c>
      <c r="M79" s="27"/>
      <c r="N79" s="6"/>
    </row>
    <row r="80" spans="1:14" ht="15.75">
      <c r="A80" s="26"/>
      <c r="B80" s="27" t="s">
        <v>51</v>
      </c>
      <c r="C80" s="51"/>
      <c r="D80" s="55"/>
      <c r="E80" s="27"/>
      <c r="F80" s="27"/>
      <c r="G80" s="27"/>
      <c r="H80" s="27"/>
      <c r="I80" s="27"/>
      <c r="J80" s="63"/>
      <c r="K80" s="27"/>
      <c r="L80" s="64">
        <f>1275+45+31+6+44</f>
        <v>1401</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21206</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-798-240</f>
        <v>-1038</v>
      </c>
      <c r="M87" s="27"/>
      <c r="N87" s="6"/>
      <c r="O87" s="69"/>
    </row>
    <row r="88" spans="1:15" ht="15.75">
      <c r="A88" s="26">
        <f t="shared" si="0"/>
        <v>3</v>
      </c>
      <c r="B88" s="27" t="s">
        <v>58</v>
      </c>
      <c r="C88" s="27"/>
      <c r="D88" s="27"/>
      <c r="E88" s="27"/>
      <c r="F88" s="27"/>
      <c r="G88" s="27"/>
      <c r="H88" s="27"/>
      <c r="I88" s="27"/>
      <c r="J88" s="27"/>
      <c r="K88" s="27"/>
      <c r="L88" s="64">
        <v>-892</v>
      </c>
      <c r="M88" s="27"/>
      <c r="N88" s="6"/>
      <c r="O88" s="69"/>
    </row>
    <row r="89" spans="1:15" ht="15.75">
      <c r="A89" s="26">
        <f t="shared" si="0"/>
        <v>4</v>
      </c>
      <c r="B89" s="27" t="s">
        <v>59</v>
      </c>
      <c r="C89" s="27"/>
      <c r="D89" s="27"/>
      <c r="E89" s="27"/>
      <c r="F89" s="27"/>
      <c r="G89" s="27"/>
      <c r="H89" s="27"/>
      <c r="I89" s="27"/>
      <c r="J89" s="27"/>
      <c r="K89" s="27"/>
      <c r="L89" s="64">
        <v>-1591</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-911</v>
      </c>
      <c r="M91" s="27"/>
      <c r="N91" s="6"/>
      <c r="O91" s="69"/>
    </row>
    <row r="92" spans="1:15" ht="15.75">
      <c r="A92" s="26">
        <f t="shared" si="0"/>
        <v>7</v>
      </c>
      <c r="B92" s="27" t="s">
        <v>62</v>
      </c>
      <c r="C92" s="27"/>
      <c r="D92" s="27"/>
      <c r="E92" s="27"/>
      <c r="F92" s="27"/>
      <c r="G92" s="27"/>
      <c r="H92" s="27"/>
      <c r="I92" s="27"/>
      <c r="J92" s="27"/>
      <c r="K92" s="27"/>
      <c r="L92" s="64">
        <v>-449</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12797</v>
      </c>
      <c r="M94" s="27"/>
      <c r="N94" s="6"/>
      <c r="O94" s="69"/>
    </row>
    <row r="95" spans="1:14" ht="15.75">
      <c r="A95" s="26">
        <f t="shared" si="0"/>
        <v>10</v>
      </c>
      <c r="B95" s="27" t="s">
        <v>64</v>
      </c>
      <c r="C95" s="27"/>
      <c r="D95" s="27"/>
      <c r="E95" s="27"/>
      <c r="F95" s="27"/>
      <c r="G95" s="27"/>
      <c r="H95" s="27"/>
      <c r="I95" s="27"/>
      <c r="J95" s="27"/>
      <c r="K95" s="27"/>
      <c r="L95" s="64">
        <f>J193+SUM(L83:L92)+J195-J198</f>
        <v>3519</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MARCH 2003</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79"/>
      <c r="H111" s="9"/>
      <c r="I111" s="9"/>
      <c r="J111" s="9"/>
      <c r="K111" s="9"/>
      <c r="L111" s="80"/>
      <c r="M111" s="9"/>
      <c r="N111" s="6"/>
    </row>
    <row r="112" spans="1:14" ht="15.75">
      <c r="A112" s="7"/>
      <c r="B112" s="14"/>
      <c r="C112" s="18" t="s">
        <v>137</v>
      </c>
      <c r="D112" s="18" t="s">
        <v>147</v>
      </c>
      <c r="E112" s="18" t="s">
        <v>153</v>
      </c>
      <c r="F112" s="18" t="s">
        <v>162</v>
      </c>
      <c r="G112" s="79"/>
      <c r="H112" s="79"/>
      <c r="I112" s="9"/>
      <c r="J112" s="9"/>
      <c r="K112" s="9"/>
      <c r="L112" s="80"/>
      <c r="M112" s="9"/>
      <c r="N112" s="6"/>
    </row>
    <row r="113" spans="1:14" ht="15.75">
      <c r="A113" s="26"/>
      <c r="B113" s="27" t="s">
        <v>199</v>
      </c>
      <c r="C113" s="27">
        <f>-29+1718-70</f>
        <v>1619</v>
      </c>
      <c r="D113" s="27">
        <v>17</v>
      </c>
      <c r="E113" s="27">
        <v>5</v>
      </c>
      <c r="F113" s="27">
        <v>42</v>
      </c>
      <c r="G113" s="81"/>
      <c r="H113" s="81"/>
      <c r="I113" s="27"/>
      <c r="J113" s="27"/>
      <c r="K113" s="27"/>
      <c r="L113" s="64">
        <f>SUM(C113:F113)</f>
        <v>1683</v>
      </c>
      <c r="M113" s="27"/>
      <c r="N113" s="6"/>
    </row>
    <row r="114" spans="1:14" ht="15.75">
      <c r="A114" s="26"/>
      <c r="B114" s="27" t="s">
        <v>72</v>
      </c>
      <c r="C114" s="27">
        <f>791+1+186+309</f>
        <v>1287</v>
      </c>
      <c r="D114" s="27">
        <v>3</v>
      </c>
      <c r="E114" s="27">
        <v>117</v>
      </c>
      <c r="F114" s="27">
        <f>252+517</f>
        <v>769</v>
      </c>
      <c r="G114" s="81"/>
      <c r="H114" s="81"/>
      <c r="I114" s="27"/>
      <c r="J114" s="27"/>
      <c r="K114" s="27"/>
      <c r="L114" s="64">
        <f>SUM(C114:F114)</f>
        <v>2176</v>
      </c>
      <c r="M114" s="27"/>
      <c r="N114" s="6"/>
    </row>
    <row r="115" spans="1:14" ht="15.75">
      <c r="A115" s="26"/>
      <c r="B115" s="27" t="s">
        <v>73</v>
      </c>
      <c r="C115" s="27"/>
      <c r="D115" s="27"/>
      <c r="E115" s="27"/>
      <c r="F115" s="27"/>
      <c r="G115" s="27"/>
      <c r="H115" s="27"/>
      <c r="I115" s="27"/>
      <c r="J115" s="27"/>
      <c r="K115" s="27"/>
      <c r="L115" s="64">
        <f>SUM(L113:L114)</f>
        <v>3859</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380130</v>
      </c>
      <c r="M117" s="27"/>
      <c r="N117" s="6"/>
    </row>
    <row r="118" spans="1:14" ht="15.75">
      <c r="A118" s="26"/>
      <c r="B118" s="27" t="s">
        <v>76</v>
      </c>
      <c r="C118" s="82"/>
      <c r="D118" s="27"/>
      <c r="E118" s="27"/>
      <c r="F118" s="27"/>
      <c r="G118" s="27"/>
      <c r="H118" s="27"/>
      <c r="I118" s="27"/>
      <c r="J118" s="27"/>
      <c r="K118" s="27"/>
      <c r="L118" s="64">
        <f>L72</f>
        <v>12796</v>
      </c>
      <c r="M118" s="27"/>
      <c r="N118" s="6"/>
    </row>
    <row r="119" spans="1:15" ht="15.75">
      <c r="A119" s="26"/>
      <c r="B119" s="27" t="s">
        <v>77</v>
      </c>
      <c r="C119" s="82"/>
      <c r="D119" s="27"/>
      <c r="E119" s="27"/>
      <c r="F119" s="27"/>
      <c r="G119" s="27"/>
      <c r="H119" s="27"/>
      <c r="I119" s="27"/>
      <c r="J119" s="27"/>
      <c r="K119" s="27"/>
      <c r="L119" s="64">
        <f>L118+L117+L74+L75</f>
        <v>392926</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v>0</v>
      </c>
      <c r="I124" s="27"/>
      <c r="J124" s="84" t="s">
        <v>177</v>
      </c>
      <c r="K124" s="27"/>
      <c r="L124" s="64">
        <f>H124</f>
        <v>0</v>
      </c>
      <c r="M124" s="27"/>
      <c r="N124" s="6"/>
    </row>
    <row r="125" spans="1:14" ht="15.75">
      <c r="A125" s="26"/>
      <c r="B125" s="27" t="s">
        <v>82</v>
      </c>
      <c r="C125" s="27"/>
      <c r="D125" s="27"/>
      <c r="E125" s="27"/>
      <c r="F125" s="27"/>
      <c r="G125" s="27"/>
      <c r="H125" s="64">
        <v>0</v>
      </c>
      <c r="I125" s="27"/>
      <c r="J125" s="84" t="s">
        <v>177</v>
      </c>
      <c r="K125" s="27"/>
      <c r="L125" s="64">
        <f>H125</f>
        <v>0</v>
      </c>
      <c r="M125" s="27"/>
      <c r="N125" s="6"/>
    </row>
    <row r="126" spans="1:14" ht="15.75">
      <c r="A126" s="26"/>
      <c r="B126" s="27" t="s">
        <v>83</v>
      </c>
      <c r="C126" s="27"/>
      <c r="D126" s="27"/>
      <c r="E126" s="27"/>
      <c r="F126" s="27"/>
      <c r="G126" s="27"/>
      <c r="H126" s="64">
        <f>SUM(H124:H125)</f>
        <v>0</v>
      </c>
      <c r="I126" s="27"/>
      <c r="J126" s="84" t="s">
        <v>177</v>
      </c>
      <c r="K126" s="27"/>
      <c r="L126" s="64">
        <f>H126</f>
        <v>0</v>
      </c>
      <c r="M126" s="27"/>
      <c r="N126" s="6"/>
    </row>
    <row r="127" spans="1:14" ht="15.75">
      <c r="A127" s="26"/>
      <c r="B127" s="27" t="s">
        <v>84</v>
      </c>
      <c r="C127" s="27"/>
      <c r="D127" s="27"/>
      <c r="E127" s="27"/>
      <c r="F127" s="27"/>
      <c r="G127" s="27"/>
      <c r="H127" s="64">
        <f>H123-H126</f>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37711</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0.154</v>
      </c>
      <c r="K134" s="27"/>
      <c r="L134" s="27"/>
      <c r="M134" s="27"/>
      <c r="N134" s="6"/>
    </row>
    <row r="135" spans="1:14" ht="15.75">
      <c r="A135" s="87"/>
      <c r="B135" s="88" t="s">
        <v>90</v>
      </c>
      <c r="C135" s="89"/>
      <c r="D135" s="89"/>
      <c r="E135" s="89"/>
      <c r="F135" s="89"/>
      <c r="G135" s="90"/>
      <c r="H135" s="90"/>
      <c r="I135" s="90"/>
      <c r="J135" s="91">
        <f>L34</f>
        <v>0.04890624233755619</v>
      </c>
      <c r="K135" s="27"/>
      <c r="L135" s="27"/>
      <c r="M135" s="27"/>
      <c r="N135" s="6"/>
    </row>
    <row r="136" spans="1:14" ht="15.75">
      <c r="A136" s="87"/>
      <c r="B136" s="88" t="s">
        <v>91</v>
      </c>
      <c r="C136" s="89"/>
      <c r="D136" s="89"/>
      <c r="E136" s="89"/>
      <c r="F136" s="89"/>
      <c r="G136" s="90"/>
      <c r="H136" s="90"/>
      <c r="I136" s="90"/>
      <c r="J136" s="91">
        <f>J134-J135</f>
        <v>0.1050937576624438</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11.63</v>
      </c>
      <c r="K141" s="27"/>
      <c r="L141" s="27"/>
      <c r="M141" s="27"/>
      <c r="N141" s="6"/>
    </row>
    <row r="142" spans="1:14" ht="15.75">
      <c r="A142" s="87"/>
      <c r="B142" s="88" t="s">
        <v>97</v>
      </c>
      <c r="C142" s="89"/>
      <c r="D142" s="89"/>
      <c r="E142" s="89"/>
      <c r="F142" s="89"/>
      <c r="G142" s="90"/>
      <c r="H142" s="90"/>
      <c r="I142" s="90"/>
      <c r="J142" s="91">
        <v>0.0766</v>
      </c>
      <c r="K142" s="27"/>
      <c r="L142" s="27"/>
      <c r="M142" s="27"/>
      <c r="N142" s="6"/>
    </row>
    <row r="143" spans="1:14" ht="15.75">
      <c r="A143" s="87"/>
      <c r="B143" s="88" t="s">
        <v>98</v>
      </c>
      <c r="C143" s="89"/>
      <c r="D143" s="89"/>
      <c r="E143" s="89"/>
      <c r="F143" s="89"/>
      <c r="G143" s="90"/>
      <c r="H143" s="90"/>
      <c r="I143" s="90"/>
      <c r="J143" s="91">
        <v>0.2495</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MARCH 2003</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5493</v>
      </c>
      <c r="J148" s="64">
        <v>46974</v>
      </c>
      <c r="K148" s="64"/>
      <c r="L148" s="94"/>
      <c r="M148" s="104"/>
      <c r="N148" s="6"/>
    </row>
    <row r="149" spans="1:14" ht="15.75">
      <c r="A149" s="103"/>
      <c r="B149" s="88" t="s">
        <v>101</v>
      </c>
      <c r="C149" s="65"/>
      <c r="D149" s="65"/>
      <c r="E149" s="65"/>
      <c r="F149" s="27"/>
      <c r="G149" s="27"/>
      <c r="H149" s="27"/>
      <c r="I149" s="27">
        <v>24</v>
      </c>
      <c r="J149" s="64">
        <v>119</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33089</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3859</v>
      </c>
      <c r="K153" s="27"/>
      <c r="L153" s="94"/>
      <c r="M153" s="108"/>
      <c r="N153" s="6"/>
    </row>
    <row r="154" spans="1:14" ht="15.75">
      <c r="A154" s="103"/>
      <c r="B154" s="88" t="s">
        <v>106</v>
      </c>
      <c r="C154" s="65"/>
      <c r="D154" s="65"/>
      <c r="E154" s="65"/>
      <c r="F154" s="65"/>
      <c r="G154" s="27"/>
      <c r="H154" s="27"/>
      <c r="I154" s="27"/>
      <c r="J154" s="64">
        <f>'Dec 02'!J154+J153</f>
        <v>18820</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83</v>
      </c>
      <c r="K164" s="113"/>
      <c r="L164" s="34"/>
      <c r="M164" s="94"/>
      <c r="N164" s="6"/>
    </row>
    <row r="165" spans="1:14" ht="15.75">
      <c r="A165" s="103"/>
      <c r="B165" s="88" t="s">
        <v>110</v>
      </c>
      <c r="C165" s="65"/>
      <c r="D165" s="65"/>
      <c r="E165" s="111"/>
      <c r="F165" s="109"/>
      <c r="G165" s="110"/>
      <c r="H165" s="27"/>
      <c r="I165" s="34"/>
      <c r="J165" s="113">
        <v>2.44</v>
      </c>
      <c r="K165" s="113"/>
      <c r="L165" s="34"/>
      <c r="M165" s="94"/>
      <c r="N165" s="6"/>
    </row>
    <row r="166" spans="1:14" ht="15.75">
      <c r="A166" s="103"/>
      <c r="B166" s="88" t="s">
        <v>115</v>
      </c>
      <c r="C166" s="65"/>
      <c r="D166" s="65"/>
      <c r="E166" s="111"/>
      <c r="F166" s="109"/>
      <c r="G166" s="110"/>
      <c r="H166" s="27"/>
      <c r="I166" s="34"/>
      <c r="J166" s="113">
        <v>25.1</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81"/>
      <c r="D169" s="114" t="s">
        <v>148</v>
      </c>
      <c r="E169" s="115"/>
      <c r="F169" s="116"/>
      <c r="G169" s="115"/>
      <c r="H169" s="114" t="s">
        <v>40</v>
      </c>
      <c r="I169" s="115"/>
      <c r="J169" s="116"/>
      <c r="K169" s="115"/>
      <c r="L169" s="117"/>
      <c r="M169" s="108"/>
      <c r="N169" s="6"/>
    </row>
    <row r="170" spans="1:14" ht="15.75">
      <c r="A170" s="26"/>
      <c r="B170" s="81"/>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v>18096</v>
      </c>
      <c r="D171" s="91">
        <f>C171/$C$175</f>
        <v>0.8540280334135636</v>
      </c>
      <c r="E171" s="118">
        <v>102287</v>
      </c>
      <c r="F171" s="91">
        <f>E171/$E$175</f>
        <v>0.8255542731697081</v>
      </c>
      <c r="G171" s="115"/>
      <c r="H171" s="118">
        <v>10807</v>
      </c>
      <c r="I171" s="91">
        <f>H171/$H$175</f>
        <v>0.9694115536419089</v>
      </c>
      <c r="J171" s="118">
        <v>9688</v>
      </c>
      <c r="K171" s="91">
        <f>J171/$J$175</f>
        <v>0.9597780859916782</v>
      </c>
      <c r="L171" s="117"/>
      <c r="M171" s="108"/>
      <c r="N171" s="6"/>
    </row>
    <row r="172" spans="1:17" ht="15.75">
      <c r="A172" s="26"/>
      <c r="B172" s="65" t="s">
        <v>118</v>
      </c>
      <c r="C172" s="118">
        <v>363</v>
      </c>
      <c r="D172" s="91">
        <f>C172/$C$175</f>
        <v>0.017131530511114258</v>
      </c>
      <c r="E172" s="118">
        <v>2443</v>
      </c>
      <c r="F172" s="91">
        <f>E172/$E$175</f>
        <v>0.01971735498502837</v>
      </c>
      <c r="G172" s="115"/>
      <c r="H172" s="118">
        <v>82</v>
      </c>
      <c r="I172" s="91">
        <f>H172/$H$175</f>
        <v>0.007355579476139218</v>
      </c>
      <c r="J172" s="118">
        <v>83</v>
      </c>
      <c r="K172" s="91">
        <f>J172/$J$175</f>
        <v>0.008222706558351497</v>
      </c>
      <c r="L172" s="117"/>
      <c r="M172" s="108"/>
      <c r="N172" s="6"/>
      <c r="Q172" s="69"/>
    </row>
    <row r="173" spans="1:17" ht="15.75">
      <c r="A173" s="26"/>
      <c r="B173" s="65" t="s">
        <v>119</v>
      </c>
      <c r="C173" s="118">
        <v>312</v>
      </c>
      <c r="D173" s="91">
        <f>C173/$C$175</f>
        <v>0.014724621265751097</v>
      </c>
      <c r="E173" s="118">
        <v>2250</v>
      </c>
      <c r="F173" s="91">
        <f>E173/$E$175</f>
        <v>0.01815965972833149</v>
      </c>
      <c r="G173" s="115"/>
      <c r="H173" s="118">
        <v>50</v>
      </c>
      <c r="I173" s="91">
        <f>H173/$H$175</f>
        <v>0.004485109436670255</v>
      </c>
      <c r="J173" s="118">
        <v>64</v>
      </c>
      <c r="K173" s="91">
        <f>J173/$J$175</f>
        <v>0.006340400237765009</v>
      </c>
      <c r="L173" s="117"/>
      <c r="M173" s="108"/>
      <c r="N173" s="6"/>
      <c r="Q173" s="69"/>
    </row>
    <row r="174" spans="1:17" ht="15.75">
      <c r="A174" s="26"/>
      <c r="B174" s="65" t="s">
        <v>120</v>
      </c>
      <c r="C174" s="118">
        <v>2418</v>
      </c>
      <c r="D174" s="91">
        <f>C174/$C$175</f>
        <v>0.114115814809571</v>
      </c>
      <c r="E174" s="118">
        <f>123901-E173-E172-E171</f>
        <v>16921</v>
      </c>
      <c r="F174" s="91">
        <f>E174/$E$175</f>
        <v>0.13656871211693206</v>
      </c>
      <c r="G174" s="115"/>
      <c r="H174" s="118">
        <v>209</v>
      </c>
      <c r="I174" s="91">
        <f>H174/$H$175</f>
        <v>0.018747757445281666</v>
      </c>
      <c r="J174" s="118">
        <f>10094-J173-J172-J171</f>
        <v>259</v>
      </c>
      <c r="K174" s="91">
        <f>J174/$J$175</f>
        <v>0.02565880721220527</v>
      </c>
      <c r="L174" s="117"/>
      <c r="M174" s="108"/>
      <c r="N174" s="6"/>
      <c r="Q174" s="69"/>
    </row>
    <row r="175" spans="1:17" ht="15.75">
      <c r="A175" s="26"/>
      <c r="B175" s="65" t="s">
        <v>121</v>
      </c>
      <c r="C175" s="118">
        <f>SUM(C171:C174)</f>
        <v>21189</v>
      </c>
      <c r="D175" s="91">
        <f>SUM(D171:D174)</f>
        <v>1</v>
      </c>
      <c r="E175" s="118">
        <f>SUM(E171:E174)</f>
        <v>123901</v>
      </c>
      <c r="F175" s="91">
        <f>SUM(F171:F174)</f>
        <v>1</v>
      </c>
      <c r="G175" s="115"/>
      <c r="H175" s="118">
        <f>SUM(H171:H174)</f>
        <v>11148</v>
      </c>
      <c r="I175" s="91">
        <f>SUM(I171:I174)</f>
        <v>1</v>
      </c>
      <c r="J175" s="118">
        <f>SUM(J171:J174)</f>
        <v>10094</v>
      </c>
      <c r="K175" s="91">
        <f>SUM(K171:K174)</f>
        <v>1</v>
      </c>
      <c r="L175" s="117"/>
      <c r="M175" s="108"/>
      <c r="N175" s="6"/>
      <c r="Q175" s="69"/>
    </row>
    <row r="176" spans="1:17" ht="15.75">
      <c r="A176" s="26"/>
      <c r="B176" s="65" t="s">
        <v>122</v>
      </c>
      <c r="C176" s="118">
        <v>16057</v>
      </c>
      <c r="D176" s="119"/>
      <c r="E176" s="118">
        <v>125419</v>
      </c>
      <c r="F176" s="119"/>
      <c r="G176" s="115"/>
      <c r="H176" s="118">
        <v>72</v>
      </c>
      <c r="I176" s="119"/>
      <c r="J176" s="118">
        <v>125</v>
      </c>
      <c r="K176" s="119"/>
      <c r="L176" s="117"/>
      <c r="M176" s="108"/>
      <c r="N176" s="6"/>
      <c r="O176" s="69"/>
      <c r="Q176" s="69"/>
    </row>
    <row r="177" spans="1:15" ht="15.75">
      <c r="A177" s="26"/>
      <c r="B177" s="65" t="s">
        <v>123</v>
      </c>
      <c r="C177" s="118">
        <f>SUM(C175:C176)</f>
        <v>37246</v>
      </c>
      <c r="D177" s="81"/>
      <c r="E177" s="118">
        <f>SUM(E175:E176)</f>
        <v>249320</v>
      </c>
      <c r="F177" s="91"/>
      <c r="G177" s="81"/>
      <c r="H177" s="118">
        <f>SUM(H175:H176)</f>
        <v>11220</v>
      </c>
      <c r="I177" s="81"/>
      <c r="J177" s="118">
        <f>SUM(J175:J176)</f>
        <v>10219</v>
      </c>
      <c r="K177" s="81"/>
      <c r="L177" s="81"/>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81"/>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2837</v>
      </c>
      <c r="D181" s="91">
        <f>C181/$C$185</f>
        <v>0.9633276740237691</v>
      </c>
      <c r="E181" s="118">
        <v>57453</v>
      </c>
      <c r="F181" s="91">
        <f>E181/$E$185</f>
        <v>0.9702440260069239</v>
      </c>
      <c r="G181" s="115"/>
      <c r="H181" s="118">
        <v>10536</v>
      </c>
      <c r="I181" s="91">
        <f>H181/H$185</f>
        <v>0.9829275118947663</v>
      </c>
      <c r="J181" s="118">
        <v>60061</v>
      </c>
      <c r="K181" s="91">
        <f>J181/$J$185</f>
        <v>0.9852364626564525</v>
      </c>
      <c r="L181" s="117"/>
      <c r="M181" s="108"/>
      <c r="N181" s="6"/>
    </row>
    <row r="182" spans="1:14" ht="15.75">
      <c r="A182" s="26"/>
      <c r="B182" s="65" t="s">
        <v>118</v>
      </c>
      <c r="C182" s="118">
        <v>58</v>
      </c>
      <c r="D182" s="91">
        <f>C182/$C$185</f>
        <v>0.01969439728353141</v>
      </c>
      <c r="E182" s="118">
        <v>1060</v>
      </c>
      <c r="F182" s="91">
        <f>E182/$E$185</f>
        <v>0.0179008697120662</v>
      </c>
      <c r="G182" s="115"/>
      <c r="H182" s="118">
        <v>80</v>
      </c>
      <c r="I182" s="91">
        <f>H182/H$185</f>
        <v>0.007463382778244239</v>
      </c>
      <c r="J182" s="118">
        <v>415</v>
      </c>
      <c r="K182" s="91">
        <f>J182/$J$185</f>
        <v>0.006807631108413576</v>
      </c>
      <c r="L182" s="117"/>
      <c r="M182" s="108"/>
      <c r="N182" s="6"/>
    </row>
    <row r="183" spans="1:14" ht="15.75">
      <c r="A183" s="26"/>
      <c r="B183" s="65" t="s">
        <v>119</v>
      </c>
      <c r="C183" s="118">
        <v>22</v>
      </c>
      <c r="D183" s="91">
        <f>C183/$C$185</f>
        <v>0.007470288624787776</v>
      </c>
      <c r="E183" s="118">
        <v>351</v>
      </c>
      <c r="F183" s="91">
        <f>E183/$E$185</f>
        <v>0.005927552140504939</v>
      </c>
      <c r="G183" s="115"/>
      <c r="H183" s="118">
        <v>27</v>
      </c>
      <c r="I183" s="91">
        <f>H183/H$185</f>
        <v>0.0025188916876574307</v>
      </c>
      <c r="J183" s="118">
        <v>173</v>
      </c>
      <c r="K183" s="91">
        <f>J183/$J$185</f>
        <v>0.0028378799560374664</v>
      </c>
      <c r="L183" s="117"/>
      <c r="M183" s="108"/>
      <c r="N183" s="6"/>
    </row>
    <row r="184" spans="1:14" ht="15.75">
      <c r="A184" s="26"/>
      <c r="B184" s="65" t="s">
        <v>120</v>
      </c>
      <c r="C184" s="118">
        <v>28</v>
      </c>
      <c r="D184" s="91">
        <f>C184/$C$185</f>
        <v>0.009507640067911714</v>
      </c>
      <c r="E184" s="118">
        <f>59215-E183-E182-E181</f>
        <v>351</v>
      </c>
      <c r="F184" s="91">
        <f>E184/$E$185</f>
        <v>0.005927552140504939</v>
      </c>
      <c r="G184" s="115"/>
      <c r="H184" s="118">
        <v>76</v>
      </c>
      <c r="I184" s="91">
        <f>H184/H$185</f>
        <v>0.007090213639332027</v>
      </c>
      <c r="J184" s="118">
        <f>60961-J183-J182-J181</f>
        <v>312</v>
      </c>
      <c r="K184" s="91">
        <f>J184/$J$185</f>
        <v>0.005118026279096471</v>
      </c>
      <c r="L184" s="117"/>
      <c r="M184" s="108"/>
      <c r="N184" s="6"/>
    </row>
    <row r="185" spans="1:14" ht="15.75">
      <c r="A185" s="26"/>
      <c r="B185" s="65" t="str">
        <f>B175</f>
        <v>Total Performing  Assets</v>
      </c>
      <c r="C185" s="118">
        <f>SUM(C181:C184)</f>
        <v>2945</v>
      </c>
      <c r="D185" s="91">
        <f>SUM(D181:D184)</f>
        <v>1</v>
      </c>
      <c r="E185" s="118">
        <f>SUM(E181:E184)</f>
        <v>59215</v>
      </c>
      <c r="F185" s="91">
        <f>SUM(F181:F184)</f>
        <v>0.9999999999999999</v>
      </c>
      <c r="G185" s="115"/>
      <c r="H185" s="118">
        <f>SUM(H181:H184)</f>
        <v>10719</v>
      </c>
      <c r="I185" s="91">
        <f>SUM(I181:I184)</f>
        <v>1</v>
      </c>
      <c r="J185" s="118">
        <f>SUM(J181:J184)</f>
        <v>60961</v>
      </c>
      <c r="K185" s="91">
        <f>SUM(K181:K184)</f>
        <v>1</v>
      </c>
      <c r="L185" s="117"/>
      <c r="M185" s="108"/>
      <c r="N185" s="6"/>
    </row>
    <row r="186" spans="1:14" ht="15.75">
      <c r="A186" s="26"/>
      <c r="B186" s="65" t="s">
        <v>122</v>
      </c>
      <c r="C186" s="118">
        <v>1</v>
      </c>
      <c r="D186" s="121"/>
      <c r="E186" s="118">
        <v>4</v>
      </c>
      <c r="F186" s="119"/>
      <c r="G186" s="115"/>
      <c r="H186" s="118">
        <v>67</v>
      </c>
      <c r="I186" s="121"/>
      <c r="J186" s="118">
        <v>410</v>
      </c>
      <c r="K186" s="121"/>
      <c r="L186" s="117"/>
      <c r="M186" s="108"/>
      <c r="N186" s="6"/>
    </row>
    <row r="187" spans="1:13" ht="15.75">
      <c r="A187" s="26"/>
      <c r="B187" s="65" t="s">
        <v>123</v>
      </c>
      <c r="C187" s="118">
        <f>SUM(C185:C186)</f>
        <v>2946</v>
      </c>
      <c r="D187" s="81"/>
      <c r="E187" s="118">
        <f>SUM(E185:E186)</f>
        <v>59219</v>
      </c>
      <c r="F187" s="120"/>
      <c r="G187" s="81"/>
      <c r="H187" s="118">
        <f>SUM(H185:H186)</f>
        <v>10786</v>
      </c>
      <c r="I187" s="81"/>
      <c r="J187" s="118">
        <f>SUM(J185:J186)</f>
        <v>61371</v>
      </c>
      <c r="K187" s="81"/>
      <c r="L187" s="81"/>
      <c r="M187" s="140"/>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380129</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6"/>
      <c r="J193" s="118">
        <f>E175+J175+E185+J185</f>
        <v>254171</v>
      </c>
      <c r="K193" s="115"/>
      <c r="L193" s="117"/>
      <c r="M193" s="108"/>
      <c r="N193" s="6"/>
    </row>
    <row r="194" spans="1:15" ht="15.75">
      <c r="A194" s="26"/>
      <c r="B194" s="65" t="s">
        <v>126</v>
      </c>
      <c r="C194" s="115"/>
      <c r="D194" s="116"/>
      <c r="E194" s="115"/>
      <c r="F194" s="116"/>
      <c r="G194" s="115"/>
      <c r="H194" s="116"/>
      <c r="I194" s="115"/>
      <c r="J194" s="118">
        <f>L94</f>
        <v>12797</v>
      </c>
      <c r="K194" s="115"/>
      <c r="L194" s="117"/>
      <c r="M194" s="108"/>
      <c r="N194" s="124"/>
      <c r="O194" s="69"/>
    </row>
    <row r="195" spans="1:14" ht="15.75">
      <c r="A195" s="26"/>
      <c r="B195" s="65" t="s">
        <v>127</v>
      </c>
      <c r="C195" s="115"/>
      <c r="D195" s="116"/>
      <c r="E195" s="115"/>
      <c r="F195" s="116"/>
      <c r="G195" s="115"/>
      <c r="H195" s="116"/>
      <c r="I195" s="115"/>
      <c r="J195" s="118">
        <v>-22268</v>
      </c>
      <c r="K195" s="115"/>
      <c r="L195" s="117"/>
      <c r="M195" s="108"/>
      <c r="N195" s="125"/>
    </row>
    <row r="196" spans="1:15" ht="15.75">
      <c r="A196" s="26"/>
      <c r="B196" s="65" t="s">
        <v>128</v>
      </c>
      <c r="C196" s="115"/>
      <c r="D196" s="116"/>
      <c r="E196" s="115"/>
      <c r="F196" s="116"/>
      <c r="G196" s="115"/>
      <c r="H196" s="116"/>
      <c r="I196" s="115"/>
      <c r="J196" s="118">
        <f>SUM(J193:J195)</f>
        <v>244700</v>
      </c>
      <c r="K196" s="115"/>
      <c r="L196" s="117"/>
      <c r="M196" s="108"/>
      <c r="N196" s="6"/>
      <c r="O196" s="138"/>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MARCH 2003</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row r="212" ht="15">
      <c r="E212" s="69"/>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13" man="1"/>
    <brk id="213" max="13" man="1"/>
  </rowBreaks>
  <drawing r:id="rId1"/>
</worksheet>
</file>

<file path=xl/worksheets/sheet6.xml><?xml version="1.0" encoding="utf-8"?>
<worksheet xmlns="http://schemas.openxmlformats.org/spreadsheetml/2006/main" xmlns:r="http://schemas.openxmlformats.org/officeDocument/2006/relationships">
  <dimension ref="A1:Q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5.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E175/(J193+L94)</f>
        <v>0.4130382667585628</v>
      </c>
      <c r="F15" s="18" t="s">
        <v>147</v>
      </c>
      <c r="G15" s="19">
        <f>J175/(J193+L94)</f>
        <v>0.04970258607773216</v>
      </c>
      <c r="H15" s="18" t="s">
        <v>153</v>
      </c>
      <c r="I15" s="19">
        <f>E185/(J193+L94)</f>
        <v>0.28763372389200204</v>
      </c>
      <c r="J15" s="18" t="s">
        <v>162</v>
      </c>
      <c r="K15" s="19">
        <f>J185/(J193+L94)</f>
        <v>0.20379596056456203</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37824</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24"/>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46"/>
      <c r="D33" s="34" t="s">
        <v>143</v>
      </c>
      <c r="E33" s="27"/>
      <c r="F33" s="34" t="s">
        <v>159</v>
      </c>
      <c r="G33" s="34"/>
      <c r="H33" s="34" t="s">
        <v>170</v>
      </c>
      <c r="I33" s="34"/>
      <c r="J33" s="34"/>
      <c r="K33" s="30"/>
      <c r="L33" s="30"/>
      <c r="M33" s="27"/>
      <c r="N33" s="6"/>
    </row>
    <row r="34" spans="1:14" ht="15.75">
      <c r="A34" s="26"/>
      <c r="B34" s="27" t="s">
        <v>22</v>
      </c>
      <c r="C34" s="46"/>
      <c r="D34" s="47">
        <v>0.0405375</v>
      </c>
      <c r="E34" s="48"/>
      <c r="F34" s="47">
        <v>0.0487375</v>
      </c>
      <c r="G34" s="47"/>
      <c r="H34" s="47">
        <v>0.0642375</v>
      </c>
      <c r="I34" s="49"/>
      <c r="J34" s="47"/>
      <c r="K34" s="30"/>
      <c r="L34" s="49">
        <f>SUMPRODUCT(D34:J34,D32:J32)/L32</f>
        <v>0.04551874233755619</v>
      </c>
      <c r="M34" s="27"/>
      <c r="N34" s="6"/>
    </row>
    <row r="35" spans="1:14" ht="15.75">
      <c r="A35" s="26"/>
      <c r="B35" s="27" t="s">
        <v>23</v>
      </c>
      <c r="C35" s="46"/>
      <c r="D35" s="47">
        <v>0.043925</v>
      </c>
      <c r="E35" s="48"/>
      <c r="F35" s="47">
        <v>0.052125</v>
      </c>
      <c r="G35" s="47"/>
      <c r="H35" s="47">
        <v>0.067625</v>
      </c>
      <c r="I35" s="49"/>
      <c r="J35" s="47"/>
      <c r="K35" s="30"/>
      <c r="L35" s="30"/>
      <c r="M35" s="27"/>
      <c r="N35" s="6"/>
    </row>
    <row r="36" spans="1:14" ht="15.75">
      <c r="A36" s="26"/>
      <c r="B36" s="27" t="s">
        <v>24</v>
      </c>
      <c r="C36" s="46"/>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37817</v>
      </c>
      <c r="M45" s="31"/>
      <c r="N45" s="6"/>
    </row>
    <row r="46" spans="1:14" ht="15.75">
      <c r="A46" s="26"/>
      <c r="B46" s="27" t="s">
        <v>32</v>
      </c>
      <c r="C46" s="27"/>
      <c r="D46" s="27"/>
      <c r="E46" s="27"/>
      <c r="F46" s="27"/>
      <c r="G46" s="27"/>
      <c r="H46" s="30"/>
      <c r="I46" s="27">
        <f>L46-J46+1</f>
        <v>90</v>
      </c>
      <c r="J46" s="56">
        <v>37636</v>
      </c>
      <c r="K46" s="57"/>
      <c r="L46" s="56">
        <v>37725</v>
      </c>
      <c r="M46" s="27"/>
      <c r="N46" s="6"/>
    </row>
    <row r="47" spans="1:14" ht="15.75">
      <c r="A47" s="26"/>
      <c r="B47" s="27" t="s">
        <v>33</v>
      </c>
      <c r="C47" s="27"/>
      <c r="D47" s="27"/>
      <c r="E47" s="27"/>
      <c r="F47" s="27"/>
      <c r="G47" s="27"/>
      <c r="H47" s="30"/>
      <c r="I47" s="27">
        <f>L47-J47+1</f>
        <v>91</v>
      </c>
      <c r="J47" s="56">
        <v>37726</v>
      </c>
      <c r="K47" s="57"/>
      <c r="L47" s="56">
        <v>37816</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37803</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193</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249321</v>
      </c>
      <c r="E57" s="63"/>
      <c r="F57" s="63">
        <f>155+11370+550+2-1+304</f>
        <v>12380</v>
      </c>
      <c r="G57" s="63"/>
      <c r="H57" s="63">
        <v>0</v>
      </c>
      <c r="I57" s="63"/>
      <c r="J57" s="63">
        <v>0</v>
      </c>
      <c r="K57" s="63"/>
      <c r="L57" s="64">
        <f>D57-F57+H57-J57</f>
        <v>236941</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10218</v>
      </c>
      <c r="E60" s="63"/>
      <c r="F60" s="63">
        <f>4729+41</f>
        <v>4770</v>
      </c>
      <c r="G60" s="63"/>
      <c r="H60" s="63">
        <f>5092+2884+4</f>
        <v>7980</v>
      </c>
      <c r="I60" s="63"/>
      <c r="J60" s="63">
        <f>SUM(J57:J59)</f>
        <v>0</v>
      </c>
      <c r="K60" s="63"/>
      <c r="L60" s="64">
        <f>D60-F60+H60-J60</f>
        <v>13428</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59220</v>
      </c>
      <c r="E63" s="63"/>
      <c r="F63" s="63">
        <f>9327+2+39</f>
        <v>9368</v>
      </c>
      <c r="G63" s="63"/>
      <c r="H63" s="63">
        <f>6834+20102+6</f>
        <v>26942</v>
      </c>
      <c r="I63" s="63"/>
      <c r="J63" s="63">
        <v>0</v>
      </c>
      <c r="K63" s="63"/>
      <c r="L63" s="64">
        <f>D63-F63+H63-J63</f>
        <v>76794</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61371</v>
      </c>
      <c r="E66" s="63"/>
      <c r="F66" s="63">
        <f>8093+136+210</f>
        <v>8439</v>
      </c>
      <c r="G66" s="63"/>
      <c r="H66" s="63">
        <f>550+1210</f>
        <v>1760</v>
      </c>
      <c r="I66" s="63"/>
      <c r="J66" s="63">
        <v>0</v>
      </c>
      <c r="K66" s="63"/>
      <c r="L66" s="64">
        <f>D66-F66+H66-J66</f>
        <v>54692</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380130</v>
      </c>
      <c r="E69" s="63"/>
      <c r="F69" s="63">
        <f>SUM(F57:F67)</f>
        <v>34957</v>
      </c>
      <c r="G69" s="63"/>
      <c r="H69" s="63">
        <f>SUM(H57:H67)</f>
        <v>36682</v>
      </c>
      <c r="I69" s="63"/>
      <c r="J69" s="63">
        <f>SUM(J64:J68)</f>
        <v>0</v>
      </c>
      <c r="K69" s="63"/>
      <c r="L69" s="63">
        <f>SUM(L57:L68)</f>
        <v>381855</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-148226</v>
      </c>
      <c r="E71" s="63"/>
      <c r="F71" s="63">
        <f>1227-64</f>
        <v>1163</v>
      </c>
      <c r="G71" s="63"/>
      <c r="H71" s="63"/>
      <c r="I71" s="63"/>
      <c r="J71" s="63"/>
      <c r="K71" s="63"/>
      <c r="L71" s="63">
        <f>D71-F71</f>
        <v>-149389</v>
      </c>
      <c r="M71" s="27"/>
      <c r="N71" s="6"/>
    </row>
    <row r="72" spans="1:14" ht="15.75">
      <c r="A72" s="26"/>
      <c r="B72" s="27" t="s">
        <v>45</v>
      </c>
      <c r="C72" s="63">
        <v>0</v>
      </c>
      <c r="D72" s="65">
        <v>12796</v>
      </c>
      <c r="E72" s="63"/>
      <c r="F72" s="63">
        <f>SUM(F69:F71)</f>
        <v>36120</v>
      </c>
      <c r="G72" s="63"/>
      <c r="H72" s="63">
        <f>-H69</f>
        <v>-36682</v>
      </c>
      <c r="I72" s="63"/>
      <c r="J72" s="63"/>
      <c r="K72" s="63"/>
      <c r="L72" s="65">
        <f>D72+F72+H72</f>
        <v>12234</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68"/>
      <c r="I75" s="63"/>
      <c r="J75" s="63"/>
      <c r="K75" s="63"/>
      <c r="L75" s="65">
        <v>0</v>
      </c>
      <c r="M75" s="27"/>
      <c r="N75" s="6"/>
    </row>
    <row r="76" spans="1:14" ht="15.75">
      <c r="A76" s="26"/>
      <c r="B76" s="27" t="s">
        <v>20</v>
      </c>
      <c r="C76" s="65">
        <f>SUM(C69:C75)</f>
        <v>244700</v>
      </c>
      <c r="D76" s="65">
        <f>SUM(D69:D75)</f>
        <v>244700</v>
      </c>
      <c r="E76" s="63"/>
      <c r="F76" s="63">
        <f>F72-F75-F74</f>
        <v>36120</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28203-388-10</f>
        <v>27805</v>
      </c>
      <c r="M79" s="27"/>
      <c r="N79" s="6"/>
    </row>
    <row r="80" spans="1:14" ht="15.75">
      <c r="A80" s="26"/>
      <c r="B80" s="27" t="s">
        <v>51</v>
      </c>
      <c r="C80" s="51"/>
      <c r="D80" s="55"/>
      <c r="E80" s="27"/>
      <c r="F80" s="27"/>
      <c r="G80" s="27"/>
      <c r="H80" s="27"/>
      <c r="I80" s="27"/>
      <c r="J80" s="63"/>
      <c r="K80" s="27"/>
      <c r="L80" s="64">
        <f>1075+57+50+2-6</f>
        <v>1178</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21858</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-806-240</f>
        <v>-1046</v>
      </c>
      <c r="M87" s="27"/>
      <c r="N87" s="6"/>
      <c r="O87" s="69"/>
    </row>
    <row r="88" spans="1:15" ht="15.75">
      <c r="A88" s="26">
        <f t="shared" si="0"/>
        <v>3</v>
      </c>
      <c r="B88" s="27" t="s">
        <v>58</v>
      </c>
      <c r="C88" s="27"/>
      <c r="D88" s="27"/>
      <c r="E88" s="27"/>
      <c r="F88" s="27"/>
      <c r="G88" s="27"/>
      <c r="H88" s="27"/>
      <c r="I88" s="27"/>
      <c r="J88" s="27"/>
      <c r="K88" s="27"/>
      <c r="L88" s="64">
        <v>-908</v>
      </c>
      <c r="M88" s="27"/>
      <c r="N88" s="6"/>
      <c r="O88" s="69"/>
    </row>
    <row r="89" spans="1:15" ht="15.75">
      <c r="A89" s="26">
        <f t="shared" si="0"/>
        <v>4</v>
      </c>
      <c r="B89" s="27" t="s">
        <v>59</v>
      </c>
      <c r="C89" s="27"/>
      <c r="D89" s="27"/>
      <c r="E89" s="27"/>
      <c r="F89" s="27"/>
      <c r="G89" s="27"/>
      <c r="H89" s="27"/>
      <c r="I89" s="27"/>
      <c r="J89" s="27"/>
      <c r="K89" s="27"/>
      <c r="L89" s="64">
        <v>-1485</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-862</v>
      </c>
      <c r="M91" s="27"/>
      <c r="N91" s="6"/>
      <c r="O91" s="69"/>
    </row>
    <row r="92" spans="1:15" ht="15.75">
      <c r="A92" s="26">
        <f t="shared" si="0"/>
        <v>7</v>
      </c>
      <c r="B92" s="27" t="s">
        <v>62</v>
      </c>
      <c r="C92" s="27"/>
      <c r="D92" s="27"/>
      <c r="E92" s="27"/>
      <c r="F92" s="27"/>
      <c r="G92" s="27"/>
      <c r="H92" s="27"/>
      <c r="I92" s="27"/>
      <c r="J92" s="27"/>
      <c r="K92" s="27"/>
      <c r="L92" s="64">
        <v>-431</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12235</v>
      </c>
      <c r="M94" s="27"/>
      <c r="N94" s="6"/>
      <c r="O94" s="69"/>
    </row>
    <row r="95" spans="1:14" ht="15.75">
      <c r="A95" s="26">
        <f t="shared" si="0"/>
        <v>10</v>
      </c>
      <c r="B95" s="27" t="s">
        <v>64</v>
      </c>
      <c r="C95" s="27"/>
      <c r="D95" s="27"/>
      <c r="E95" s="27"/>
      <c r="F95" s="27"/>
      <c r="G95" s="27"/>
      <c r="H95" s="27"/>
      <c r="I95" s="27"/>
      <c r="J95" s="27"/>
      <c r="K95" s="27"/>
      <c r="L95" s="64">
        <f>J193+SUM(L83:L92)+J195-J198</f>
        <v>4882</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JUNE 2003</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79"/>
      <c r="H111" s="9"/>
      <c r="I111" s="9"/>
      <c r="J111" s="9"/>
      <c r="K111" s="9"/>
      <c r="L111" s="80"/>
      <c r="M111" s="9"/>
      <c r="N111" s="6"/>
    </row>
    <row r="112" spans="1:14" ht="15.75">
      <c r="A112" s="7"/>
      <c r="B112" s="14"/>
      <c r="C112" s="18" t="s">
        <v>137</v>
      </c>
      <c r="D112" s="18" t="s">
        <v>147</v>
      </c>
      <c r="E112" s="18" t="s">
        <v>153</v>
      </c>
      <c r="F112" s="18" t="s">
        <v>162</v>
      </c>
      <c r="G112" s="79"/>
      <c r="H112" s="79"/>
      <c r="I112" s="9"/>
      <c r="J112" s="9"/>
      <c r="K112" s="9"/>
      <c r="L112" s="80"/>
      <c r="M112" s="9"/>
      <c r="N112" s="6"/>
    </row>
    <row r="113" spans="1:14" ht="15.75">
      <c r="A113" s="26"/>
      <c r="B113" s="27" t="s">
        <v>199</v>
      </c>
      <c r="C113" s="63">
        <f>E176-'Mar 03'!E176</f>
        <v>1253</v>
      </c>
      <c r="D113" s="63">
        <f>J176-'Mar 03'!J176</f>
        <v>34</v>
      </c>
      <c r="E113" s="63">
        <f>E186-'Mar 03'!E186</f>
        <v>1</v>
      </c>
      <c r="F113" s="63">
        <f>J186-'Mar 03'!J186</f>
        <v>-125</v>
      </c>
      <c r="G113" s="81"/>
      <c r="H113" s="81"/>
      <c r="I113" s="27"/>
      <c r="J113" s="27"/>
      <c r="K113" s="27"/>
      <c r="L113" s="64">
        <f>SUM(C113:F113)</f>
        <v>1163</v>
      </c>
      <c r="M113" s="27"/>
      <c r="N113" s="6"/>
    </row>
    <row r="114" spans="1:14" ht="15.75">
      <c r="A114" s="26"/>
      <c r="B114" s="27" t="s">
        <v>72</v>
      </c>
      <c r="C114" s="27">
        <f>550+2+304-1</f>
        <v>855</v>
      </c>
      <c r="D114" s="27">
        <v>41</v>
      </c>
      <c r="E114" s="27">
        <f>2+39</f>
        <v>41</v>
      </c>
      <c r="F114" s="27">
        <f>135+210</f>
        <v>345</v>
      </c>
      <c r="G114" s="81"/>
      <c r="H114" s="81"/>
      <c r="I114" s="27"/>
      <c r="J114" s="27"/>
      <c r="K114" s="27"/>
      <c r="L114" s="64">
        <f>SUM(C114:F114)</f>
        <v>1282</v>
      </c>
      <c r="M114" s="27"/>
      <c r="N114" s="6"/>
    </row>
    <row r="115" spans="1:14" ht="15.75">
      <c r="A115" s="26"/>
      <c r="B115" s="27" t="s">
        <v>73</v>
      </c>
      <c r="C115" s="27"/>
      <c r="D115" s="27"/>
      <c r="E115" s="27"/>
      <c r="F115" s="27"/>
      <c r="G115" s="27"/>
      <c r="H115" s="27"/>
      <c r="I115" s="27"/>
      <c r="J115" s="27"/>
      <c r="K115" s="27"/>
      <c r="L115" s="64">
        <f>SUM(L113:L114)</f>
        <v>2445</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381855</v>
      </c>
      <c r="M117" s="27"/>
      <c r="N117" s="6"/>
    </row>
    <row r="118" spans="1:14" ht="15.75">
      <c r="A118" s="26"/>
      <c r="B118" s="27" t="s">
        <v>76</v>
      </c>
      <c r="C118" s="82"/>
      <c r="D118" s="27"/>
      <c r="E118" s="27"/>
      <c r="F118" s="27"/>
      <c r="G118" s="27"/>
      <c r="H118" s="27"/>
      <c r="I118" s="27"/>
      <c r="J118" s="27"/>
      <c r="K118" s="27"/>
      <c r="L118" s="64">
        <f>L72</f>
        <v>12234</v>
      </c>
      <c r="M118" s="27"/>
      <c r="N118" s="6"/>
    </row>
    <row r="119" spans="1:15" ht="15.75">
      <c r="A119" s="26"/>
      <c r="B119" s="27" t="s">
        <v>77</v>
      </c>
      <c r="C119" s="82"/>
      <c r="D119" s="27"/>
      <c r="E119" s="27"/>
      <c r="F119" s="27"/>
      <c r="G119" s="27"/>
      <c r="H119" s="27"/>
      <c r="I119" s="27"/>
      <c r="J119" s="27"/>
      <c r="K119" s="27"/>
      <c r="L119" s="64">
        <f>L118+L117+L74+L75</f>
        <v>394089</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v>0</v>
      </c>
      <c r="I124" s="27"/>
      <c r="J124" s="84" t="s">
        <v>177</v>
      </c>
      <c r="K124" s="27"/>
      <c r="L124" s="64">
        <f>H124</f>
        <v>0</v>
      </c>
      <c r="M124" s="27"/>
      <c r="N124" s="6"/>
    </row>
    <row r="125" spans="1:14" ht="15.75">
      <c r="A125" s="26"/>
      <c r="B125" s="27" t="s">
        <v>82</v>
      </c>
      <c r="C125" s="27"/>
      <c r="D125" s="27"/>
      <c r="E125" s="27"/>
      <c r="F125" s="27"/>
      <c r="G125" s="27"/>
      <c r="H125" s="64">
        <v>6</v>
      </c>
      <c r="I125" s="27"/>
      <c r="J125" s="84" t="s">
        <v>177</v>
      </c>
      <c r="K125" s="27"/>
      <c r="L125" s="64">
        <f>H125</f>
        <v>6</v>
      </c>
      <c r="M125" s="27"/>
      <c r="N125" s="6"/>
    </row>
    <row r="126" spans="1:14" ht="15.75">
      <c r="A126" s="26"/>
      <c r="B126" s="27" t="s">
        <v>83</v>
      </c>
      <c r="C126" s="27"/>
      <c r="D126" s="27"/>
      <c r="E126" s="27"/>
      <c r="F126" s="27"/>
      <c r="G126" s="27"/>
      <c r="H126" s="64">
        <f>SUM(H124:H125)</f>
        <v>6</v>
      </c>
      <c r="I126" s="27"/>
      <c r="J126" s="84" t="s">
        <v>177</v>
      </c>
      <c r="K126" s="27"/>
      <c r="L126" s="64">
        <f>H126</f>
        <v>6</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37802</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0.14979</v>
      </c>
      <c r="K134" s="27"/>
      <c r="L134" s="27"/>
      <c r="M134" s="27"/>
      <c r="N134" s="6"/>
    </row>
    <row r="135" spans="1:14" ht="15.75">
      <c r="A135" s="87"/>
      <c r="B135" s="88" t="s">
        <v>90</v>
      </c>
      <c r="C135" s="89"/>
      <c r="D135" s="89"/>
      <c r="E135" s="89"/>
      <c r="F135" s="89"/>
      <c r="G135" s="90"/>
      <c r="H135" s="90"/>
      <c r="I135" s="90"/>
      <c r="J135" s="91">
        <f>L34</f>
        <v>0.04551874233755619</v>
      </c>
      <c r="K135" s="27"/>
      <c r="L135" s="27"/>
      <c r="M135" s="27"/>
      <c r="N135" s="6"/>
    </row>
    <row r="136" spans="1:14" ht="15.75">
      <c r="A136" s="87"/>
      <c r="B136" s="88" t="s">
        <v>91</v>
      </c>
      <c r="C136" s="89"/>
      <c r="D136" s="89"/>
      <c r="E136" s="89"/>
      <c r="F136" s="89"/>
      <c r="G136" s="90"/>
      <c r="H136" s="90"/>
      <c r="I136" s="90"/>
      <c r="J136" s="91">
        <f>J134-J135</f>
        <v>0.10427125766244381</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12.036</v>
      </c>
      <c r="K141" s="27"/>
      <c r="L141" s="27"/>
      <c r="M141" s="27"/>
      <c r="N141" s="6"/>
    </row>
    <row r="142" spans="1:14" ht="15.75">
      <c r="A142" s="87"/>
      <c r="B142" s="88" t="s">
        <v>97</v>
      </c>
      <c r="C142" s="89"/>
      <c r="D142" s="89"/>
      <c r="E142" s="89"/>
      <c r="F142" s="89"/>
      <c r="G142" s="90"/>
      <c r="H142" s="90"/>
      <c r="I142" s="90"/>
      <c r="J142" s="91">
        <v>0.0806</v>
      </c>
      <c r="K142" s="27"/>
      <c r="L142" s="27"/>
      <c r="M142" s="27"/>
      <c r="N142" s="6"/>
    </row>
    <row r="143" spans="1:14" ht="15.75">
      <c r="A143" s="87"/>
      <c r="B143" s="88" t="s">
        <v>98</v>
      </c>
      <c r="C143" s="89"/>
      <c r="D143" s="89"/>
      <c r="E143" s="89"/>
      <c r="F143" s="89"/>
      <c r="G143" s="90"/>
      <c r="H143" s="90"/>
      <c r="I143" s="90"/>
      <c r="J143" s="91">
        <v>0.2556</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JUNE 2003</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5302</v>
      </c>
      <c r="J148" s="64">
        <v>45836</v>
      </c>
      <c r="K148" s="64"/>
      <c r="L148" s="94"/>
      <c r="M148" s="104"/>
      <c r="N148" s="6"/>
    </row>
    <row r="149" spans="1:14" ht="15.75">
      <c r="A149" s="103"/>
      <c r="B149" s="88" t="s">
        <v>101</v>
      </c>
      <c r="C149" s="65"/>
      <c r="D149" s="65"/>
      <c r="E149" s="65"/>
      <c r="F149" s="27"/>
      <c r="G149" s="27"/>
      <c r="H149" s="27"/>
      <c r="I149" s="27">
        <v>9</v>
      </c>
      <c r="J149" s="64">
        <v>63</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36682</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2445</v>
      </c>
      <c r="K153" s="27"/>
      <c r="L153" s="94"/>
      <c r="M153" s="108"/>
      <c r="N153" s="6"/>
    </row>
    <row r="154" spans="1:14" ht="15.75">
      <c r="A154" s="103"/>
      <c r="B154" s="88" t="s">
        <v>106</v>
      </c>
      <c r="C154" s="65"/>
      <c r="D154" s="65"/>
      <c r="E154" s="65"/>
      <c r="F154" s="65"/>
      <c r="G154" s="27"/>
      <c r="H154" s="27"/>
      <c r="I154" s="27"/>
      <c r="J154" s="64">
        <f>'Mar 03'!J154+J153</f>
        <v>21265</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75</v>
      </c>
      <c r="K164" s="113"/>
      <c r="L164" s="34"/>
      <c r="M164" s="94"/>
      <c r="N164" s="6"/>
    </row>
    <row r="165" spans="1:14" ht="15.75">
      <c r="A165" s="103"/>
      <c r="B165" s="88" t="s">
        <v>110</v>
      </c>
      <c r="C165" s="65"/>
      <c r="D165" s="65"/>
      <c r="E165" s="111"/>
      <c r="F165" s="109"/>
      <c r="G165" s="110"/>
      <c r="H165" s="27"/>
      <c r="I165" s="34"/>
      <c r="J165" s="113">
        <v>2.7</v>
      </c>
      <c r="K165" s="113"/>
      <c r="L165" s="34"/>
      <c r="M165" s="94"/>
      <c r="N165" s="6"/>
    </row>
    <row r="166" spans="1:14" ht="15.75">
      <c r="A166" s="103"/>
      <c r="B166" s="88" t="s">
        <v>115</v>
      </c>
      <c r="C166" s="65"/>
      <c r="D166" s="65"/>
      <c r="E166" s="111"/>
      <c r="F166" s="109"/>
      <c r="G166" s="110"/>
      <c r="H166" s="27"/>
      <c r="I166" s="34"/>
      <c r="J166" s="113">
        <v>28.8</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81"/>
      <c r="D169" s="114" t="s">
        <v>148</v>
      </c>
      <c r="E169" s="115"/>
      <c r="F169" s="116"/>
      <c r="G169" s="115"/>
      <c r="H169" s="114" t="s">
        <v>40</v>
      </c>
      <c r="I169" s="115"/>
      <c r="J169" s="116"/>
      <c r="K169" s="115"/>
      <c r="L169" s="117"/>
      <c r="M169" s="108"/>
      <c r="N169" s="6"/>
    </row>
    <row r="170" spans="1:14" ht="15.75">
      <c r="A170" s="26"/>
      <c r="B170" s="81"/>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v>16519</v>
      </c>
      <c r="D171" s="91">
        <f>C171/$C$175</f>
        <v>0.8530778764718033</v>
      </c>
      <c r="E171" s="118">
        <v>90740</v>
      </c>
      <c r="F171" s="91">
        <f>E171/$E$175</f>
        <v>0.8229041970471941</v>
      </c>
      <c r="G171" s="115"/>
      <c r="H171" s="118">
        <v>13493</v>
      </c>
      <c r="I171" s="91">
        <f>H171/H175</f>
        <v>0.9749981935110918</v>
      </c>
      <c r="J171" s="118">
        <v>12856</v>
      </c>
      <c r="K171" s="91">
        <f>J171/$J$175</f>
        <v>0.9688748210113799</v>
      </c>
      <c r="L171" s="117"/>
      <c r="M171" s="108"/>
      <c r="N171" s="6"/>
    </row>
    <row r="172" spans="1:17" ht="15.75">
      <c r="A172" s="26"/>
      <c r="B172" s="65" t="s">
        <v>118</v>
      </c>
      <c r="C172" s="118">
        <v>342</v>
      </c>
      <c r="D172" s="91">
        <f>C172/$C$175</f>
        <v>0.017661640156992356</v>
      </c>
      <c r="E172" s="118">
        <v>2216</v>
      </c>
      <c r="F172" s="91">
        <f>E172/$E$175</f>
        <v>0.020096492182682193</v>
      </c>
      <c r="G172" s="115"/>
      <c r="H172" s="118">
        <v>77</v>
      </c>
      <c r="I172" s="91">
        <f>H172/$H$175</f>
        <v>0.00556398583712696</v>
      </c>
      <c r="J172" s="118">
        <v>86</v>
      </c>
      <c r="K172" s="91">
        <f>J172/$J$175</f>
        <v>0.006481272138066169</v>
      </c>
      <c r="L172" s="117"/>
      <c r="M172" s="108"/>
      <c r="N172" s="6"/>
      <c r="Q172" s="69"/>
    </row>
    <row r="173" spans="1:17" ht="15.75">
      <c r="A173" s="26"/>
      <c r="B173" s="65" t="s">
        <v>119</v>
      </c>
      <c r="C173" s="118">
        <v>274</v>
      </c>
      <c r="D173" s="91">
        <f>C173/$C$175</f>
        <v>0.014149969014666391</v>
      </c>
      <c r="E173" s="118">
        <v>1678</v>
      </c>
      <c r="F173" s="91">
        <f>E173/$E$175</f>
        <v>0.015217470163601407</v>
      </c>
      <c r="G173" s="115"/>
      <c r="H173" s="118">
        <v>43</v>
      </c>
      <c r="I173" s="91">
        <f>H173/$H$175</f>
        <v>0.0031071609220319385</v>
      </c>
      <c r="J173" s="118">
        <v>46</v>
      </c>
      <c r="K173" s="91">
        <f>J173/$J$175</f>
        <v>0.0034667269575702764</v>
      </c>
      <c r="L173" s="117"/>
      <c r="M173" s="108"/>
      <c r="N173" s="6"/>
      <c r="Q173" s="69"/>
    </row>
    <row r="174" spans="1:17" ht="15.75">
      <c r="A174" s="26"/>
      <c r="B174" s="65" t="s">
        <v>120</v>
      </c>
      <c r="C174" s="118">
        <v>2229</v>
      </c>
      <c r="D174" s="91">
        <f>C174/$C$175</f>
        <v>0.11511051435653791</v>
      </c>
      <c r="E174" s="118">
        <v>15634</v>
      </c>
      <c r="F174" s="91">
        <f>E174/$E$175</f>
        <v>0.1417818406065223</v>
      </c>
      <c r="G174" s="115"/>
      <c r="H174" s="118">
        <v>226</v>
      </c>
      <c r="I174" s="91">
        <f>H174/$H$175</f>
        <v>0.01633065972974926</v>
      </c>
      <c r="J174" s="118">
        <v>281</v>
      </c>
      <c r="K174" s="91">
        <f>J174/$J$175</f>
        <v>0.021177179892983646</v>
      </c>
      <c r="L174" s="117"/>
      <c r="M174" s="108"/>
      <c r="N174" s="6"/>
      <c r="Q174" s="69"/>
    </row>
    <row r="175" spans="1:17" ht="15.75">
      <c r="A175" s="26"/>
      <c r="B175" s="65" t="s">
        <v>121</v>
      </c>
      <c r="C175" s="118">
        <f>SUM(C171:C174)</f>
        <v>19364</v>
      </c>
      <c r="D175" s="91">
        <f>SUM(D171:D174)</f>
        <v>1</v>
      </c>
      <c r="E175" s="118">
        <f>SUM(E171:E174)</f>
        <v>110268</v>
      </c>
      <c r="F175" s="91">
        <f>SUM(F171:F174)</f>
        <v>1</v>
      </c>
      <c r="G175" s="115"/>
      <c r="H175" s="118">
        <f>SUM(H171:H174)</f>
        <v>13839</v>
      </c>
      <c r="I175" s="91">
        <f>SUM(I171:I174)</f>
        <v>0.9999999999999999</v>
      </c>
      <c r="J175" s="118">
        <f>SUM(J171:J174)</f>
        <v>13269</v>
      </c>
      <c r="K175" s="91">
        <f>SUM(K171:K174)</f>
        <v>1</v>
      </c>
      <c r="L175" s="117"/>
      <c r="M175" s="108"/>
      <c r="N175" s="6"/>
      <c r="Q175" s="69"/>
    </row>
    <row r="176" spans="1:17" ht="15.75">
      <c r="A176" s="26"/>
      <c r="B176" s="65" t="s">
        <v>122</v>
      </c>
      <c r="C176" s="118">
        <v>16254</v>
      </c>
      <c r="D176" s="119"/>
      <c r="E176" s="118">
        <v>126672</v>
      </c>
      <c r="F176" s="119"/>
      <c r="G176" s="115"/>
      <c r="H176" s="118">
        <v>99</v>
      </c>
      <c r="I176" s="119"/>
      <c r="J176" s="118">
        <v>159</v>
      </c>
      <c r="K176" s="119"/>
      <c r="L176" s="117"/>
      <c r="M176" s="108"/>
      <c r="N176" s="6"/>
      <c r="O176" s="69"/>
      <c r="Q176" s="69"/>
    </row>
    <row r="177" spans="1:15" ht="15.75">
      <c r="A177" s="26"/>
      <c r="B177" s="65" t="s">
        <v>123</v>
      </c>
      <c r="C177" s="118">
        <f>SUM(C175:C176)</f>
        <v>35618</v>
      </c>
      <c r="D177" s="81"/>
      <c r="E177" s="118">
        <f>SUM(E175:E176)</f>
        <v>236940</v>
      </c>
      <c r="F177" s="91"/>
      <c r="G177" s="81"/>
      <c r="H177" s="118">
        <f>SUM(H175:H176)</f>
        <v>13938</v>
      </c>
      <c r="I177" s="81"/>
      <c r="J177" s="118">
        <f>SUM(J175:J176)</f>
        <v>13428</v>
      </c>
      <c r="K177" s="81"/>
      <c r="L177" s="81"/>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81"/>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3495</v>
      </c>
      <c r="D181" s="91">
        <f>C181/$C$185</f>
        <v>0.9593741421905023</v>
      </c>
      <c r="E181" s="118">
        <v>73983</v>
      </c>
      <c r="F181" s="91">
        <f>E181/$E$185</f>
        <v>0.9634583078305486</v>
      </c>
      <c r="G181" s="115"/>
      <c r="H181" s="118">
        <v>9778</v>
      </c>
      <c r="I181" s="91">
        <f>H181/$H$185</f>
        <v>0.9835043250854959</v>
      </c>
      <c r="J181" s="118">
        <v>53561</v>
      </c>
      <c r="K181" s="91">
        <f>J181/$J$185</f>
        <v>0.9844505302626501</v>
      </c>
      <c r="L181" s="117"/>
      <c r="M181" s="108"/>
      <c r="N181" s="6"/>
    </row>
    <row r="182" spans="1:14" ht="15.75">
      <c r="A182" s="26"/>
      <c r="B182" s="65" t="s">
        <v>118</v>
      </c>
      <c r="C182" s="118">
        <v>65</v>
      </c>
      <c r="D182" s="91">
        <f>C182/$C$185</f>
        <v>0.01784243755146857</v>
      </c>
      <c r="E182" s="118">
        <v>1238</v>
      </c>
      <c r="F182" s="91">
        <f>E182/$E$185</f>
        <v>0.01612210082173228</v>
      </c>
      <c r="G182" s="115"/>
      <c r="H182" s="118">
        <v>59</v>
      </c>
      <c r="I182" s="91">
        <f>H182/$H$185</f>
        <v>0.005934419633876483</v>
      </c>
      <c r="J182" s="118">
        <v>302</v>
      </c>
      <c r="K182" s="91">
        <f>J182/$J$185</f>
        <v>0.005550756336500818</v>
      </c>
      <c r="L182" s="117"/>
      <c r="M182" s="108"/>
      <c r="N182" s="6"/>
    </row>
    <row r="183" spans="1:14" ht="15.75">
      <c r="A183" s="26"/>
      <c r="B183" s="65" t="s">
        <v>119</v>
      </c>
      <c r="C183" s="118">
        <v>40</v>
      </c>
      <c r="D183" s="91">
        <f>C183/$C$185</f>
        <v>0.010979961570134504</v>
      </c>
      <c r="E183" s="118">
        <v>840</v>
      </c>
      <c r="F183" s="91">
        <f>E183/$E$185</f>
        <v>0.010939066793420932</v>
      </c>
      <c r="G183" s="115"/>
      <c r="H183" s="118">
        <v>23</v>
      </c>
      <c r="I183" s="91">
        <f>H183/$H$185</f>
        <v>0.0023134178233755786</v>
      </c>
      <c r="J183" s="118">
        <v>114</v>
      </c>
      <c r="K183" s="91">
        <f>J183/$J$185</f>
        <v>0.0020953186170897128</v>
      </c>
      <c r="L183" s="117"/>
      <c r="M183" s="108"/>
      <c r="N183" s="6"/>
    </row>
    <row r="184" spans="1:14" ht="15.75">
      <c r="A184" s="26"/>
      <c r="B184" s="65" t="s">
        <v>120</v>
      </c>
      <c r="C184" s="118">
        <v>43</v>
      </c>
      <c r="D184" s="91">
        <f>C184/$C$185</f>
        <v>0.011803458687894593</v>
      </c>
      <c r="E184" s="118">
        <v>728</v>
      </c>
      <c r="F184" s="91">
        <f>E184/$E$185</f>
        <v>0.009480524554298141</v>
      </c>
      <c r="G184" s="115"/>
      <c r="H184" s="118">
        <v>82</v>
      </c>
      <c r="I184" s="91">
        <f>H184/$H$185</f>
        <v>0.008247837457252062</v>
      </c>
      <c r="J184" s="118">
        <v>430</v>
      </c>
      <c r="K184" s="91">
        <f>J184/$J$185</f>
        <v>0.007903394783759442</v>
      </c>
      <c r="L184" s="117"/>
      <c r="M184" s="108"/>
      <c r="N184" s="6"/>
    </row>
    <row r="185" spans="1:14" ht="15.75">
      <c r="A185" s="26"/>
      <c r="B185" s="65" t="str">
        <f>B175</f>
        <v>Total Performing  Assets</v>
      </c>
      <c r="C185" s="118">
        <f>SUM(C181:C184)</f>
        <v>3643</v>
      </c>
      <c r="D185" s="91">
        <f>SUM(D181:D184)</f>
        <v>0.9999999999999999</v>
      </c>
      <c r="E185" s="118">
        <f>SUM(E181:E184)</f>
        <v>76789</v>
      </c>
      <c r="F185" s="91">
        <f>SUM(F181:F184)</f>
        <v>1</v>
      </c>
      <c r="G185" s="115"/>
      <c r="H185" s="118">
        <f>SUM(H181:H184)</f>
        <v>9942</v>
      </c>
      <c r="I185" s="91">
        <f>SUM(I181:I184)</f>
        <v>1</v>
      </c>
      <c r="J185" s="118">
        <f>SUM(J181:J184)</f>
        <v>54407</v>
      </c>
      <c r="K185" s="91">
        <f>SUM(K181:K184)</f>
        <v>1</v>
      </c>
      <c r="L185" s="117"/>
      <c r="M185" s="108"/>
      <c r="N185" s="6"/>
    </row>
    <row r="186" spans="1:14" ht="15.75">
      <c r="A186" s="26"/>
      <c r="B186" s="65" t="s">
        <v>122</v>
      </c>
      <c r="C186" s="118">
        <v>1</v>
      </c>
      <c r="D186" s="121"/>
      <c r="E186" s="118">
        <v>5</v>
      </c>
      <c r="F186" s="119"/>
      <c r="G186" s="115"/>
      <c r="H186" s="118">
        <v>43</v>
      </c>
      <c r="I186" s="121"/>
      <c r="J186" s="118">
        <v>285</v>
      </c>
      <c r="K186" s="121"/>
      <c r="L186" s="117"/>
      <c r="M186" s="108"/>
      <c r="N186" s="6"/>
    </row>
    <row r="187" spans="1:14" ht="15.75">
      <c r="A187" s="26"/>
      <c r="B187" s="65" t="s">
        <v>123</v>
      </c>
      <c r="C187" s="118">
        <f>SUM(C185:C186)</f>
        <v>3644</v>
      </c>
      <c r="D187" s="81"/>
      <c r="E187" s="118">
        <f>SUM(E185:E186)</f>
        <v>76794</v>
      </c>
      <c r="F187" s="120"/>
      <c r="G187" s="81"/>
      <c r="H187" s="118">
        <f>SUM(H185:H186)</f>
        <v>9985</v>
      </c>
      <c r="I187" s="81"/>
      <c r="J187" s="118">
        <f>SUM(J185:J186)</f>
        <v>54692</v>
      </c>
      <c r="K187" s="81"/>
      <c r="L187" s="81"/>
      <c r="M187" s="140"/>
      <c r="N187" s="139"/>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381854</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6"/>
      <c r="J193" s="118">
        <v>254733</v>
      </c>
      <c r="K193" s="115"/>
      <c r="L193" s="117"/>
      <c r="M193" s="108"/>
      <c r="N193" s="6"/>
    </row>
    <row r="194" spans="1:15" ht="15.75">
      <c r="A194" s="26"/>
      <c r="B194" s="65" t="s">
        <v>126</v>
      </c>
      <c r="C194" s="115"/>
      <c r="D194" s="116"/>
      <c r="E194" s="115"/>
      <c r="F194" s="116"/>
      <c r="G194" s="115"/>
      <c r="H194" s="116"/>
      <c r="I194" s="115"/>
      <c r="J194" s="118">
        <f>L94</f>
        <v>12235</v>
      </c>
      <c r="K194" s="115"/>
      <c r="L194" s="117"/>
      <c r="M194" s="108"/>
      <c r="N194" s="124"/>
      <c r="O194" s="69"/>
    </row>
    <row r="195" spans="1:14" ht="15.75">
      <c r="A195" s="26"/>
      <c r="B195" s="65" t="s">
        <v>127</v>
      </c>
      <c r="C195" s="115"/>
      <c r="D195" s="116"/>
      <c r="E195" s="115"/>
      <c r="F195" s="116"/>
      <c r="G195" s="115"/>
      <c r="H195" s="116"/>
      <c r="I195" s="115"/>
      <c r="J195" s="118">
        <v>-22268</v>
      </c>
      <c r="K195" s="115"/>
      <c r="L195" s="117"/>
      <c r="M195" s="108"/>
      <c r="N195" s="125"/>
    </row>
    <row r="196" spans="1:15" ht="15.75">
      <c r="A196" s="26"/>
      <c r="B196" s="65" t="s">
        <v>128</v>
      </c>
      <c r="C196" s="115"/>
      <c r="D196" s="116"/>
      <c r="E196" s="115"/>
      <c r="F196" s="116"/>
      <c r="G196" s="115"/>
      <c r="H196" s="116"/>
      <c r="I196" s="115"/>
      <c r="J196" s="118">
        <f>SUM(J193:J195)</f>
        <v>244700</v>
      </c>
      <c r="K196" s="115"/>
      <c r="L196" s="117"/>
      <c r="M196" s="108"/>
      <c r="N196" s="6"/>
      <c r="O196" s="138"/>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JUNE 2003</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3" max="0" man="1"/>
  </rowBreaks>
  <drawing r:id="rId1"/>
</worksheet>
</file>

<file path=xl/worksheets/sheet7.xml><?xml version="1.0" encoding="utf-8"?>
<worksheet xmlns="http://schemas.openxmlformats.org/spreadsheetml/2006/main" xmlns:r="http://schemas.openxmlformats.org/officeDocument/2006/relationships">
  <dimension ref="A1:Q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E175/(J193+L94)</f>
        <v>0.3690329927182284</v>
      </c>
      <c r="F15" s="18" t="s">
        <v>147</v>
      </c>
      <c r="G15" s="19">
        <f>J175/(J193+L94)</f>
        <v>0.04829043181205238</v>
      </c>
      <c r="H15" s="18" t="s">
        <v>153</v>
      </c>
      <c r="I15" s="19">
        <f>E185/(J193+L94)</f>
        <v>0.3126292289712625</v>
      </c>
      <c r="J15" s="18" t="s">
        <v>162</v>
      </c>
      <c r="K15" s="19">
        <f>J185/(J193+L94)</f>
        <v>0.194483983099098</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37917</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0.0381344</v>
      </c>
      <c r="E34" s="48"/>
      <c r="F34" s="47">
        <v>0.0463344</v>
      </c>
      <c r="G34" s="47"/>
      <c r="H34" s="47">
        <v>0.0618344</v>
      </c>
      <c r="I34" s="49"/>
      <c r="J34" s="47"/>
      <c r="K34" s="30"/>
      <c r="L34" s="49">
        <f>SUMPRODUCT(D34:J34,D32:J32)/L32</f>
        <v>0.043115642337556194</v>
      </c>
      <c r="M34" s="27"/>
      <c r="N34" s="6"/>
    </row>
    <row r="35" spans="1:14" ht="15.75">
      <c r="A35" s="26"/>
      <c r="B35" s="27" t="s">
        <v>23</v>
      </c>
      <c r="C35" s="152"/>
      <c r="D35" s="47">
        <v>0.0405375</v>
      </c>
      <c r="E35" s="48"/>
      <c r="F35" s="47">
        <v>0.0487375</v>
      </c>
      <c r="G35" s="47"/>
      <c r="H35" s="47">
        <v>0.0642375</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37909</v>
      </c>
      <c r="M45" s="31"/>
      <c r="N45" s="6"/>
    </row>
    <row r="46" spans="1:14" ht="15.75">
      <c r="A46" s="26"/>
      <c r="B46" s="27" t="s">
        <v>32</v>
      </c>
      <c r="C46" s="27"/>
      <c r="D46" s="27"/>
      <c r="E46" s="27"/>
      <c r="F46" s="27"/>
      <c r="G46" s="27"/>
      <c r="H46" s="30"/>
      <c r="I46" s="27">
        <f>L46-J46+1</f>
        <v>91</v>
      </c>
      <c r="J46" s="56">
        <v>37726</v>
      </c>
      <c r="K46" s="57"/>
      <c r="L46" s="56">
        <v>37816</v>
      </c>
      <c r="M46" s="27"/>
      <c r="N46" s="6"/>
    </row>
    <row r="47" spans="1:14" ht="15.75">
      <c r="A47" s="26"/>
      <c r="B47" s="27" t="s">
        <v>33</v>
      </c>
      <c r="C47" s="27"/>
      <c r="D47" s="27"/>
      <c r="E47" s="27"/>
      <c r="F47" s="27"/>
      <c r="G47" s="27"/>
      <c r="H47" s="30"/>
      <c r="I47" s="27">
        <f>L47-J47+1</f>
        <v>92</v>
      </c>
      <c r="J47" s="56">
        <v>37817</v>
      </c>
      <c r="K47" s="57"/>
      <c r="L47" s="56">
        <v>37908</v>
      </c>
      <c r="M47" s="27"/>
      <c r="N47" s="6"/>
    </row>
    <row r="48" spans="1:14" ht="15.75">
      <c r="A48" s="26"/>
      <c r="B48" s="27" t="s">
        <v>34</v>
      </c>
      <c r="C48" s="27"/>
      <c r="D48" s="27"/>
      <c r="E48" s="27"/>
      <c r="F48" s="27"/>
      <c r="G48" s="27"/>
      <c r="H48" s="27"/>
      <c r="I48" s="27"/>
      <c r="J48" s="56"/>
      <c r="K48" s="57"/>
      <c r="L48" s="56" t="s">
        <v>186</v>
      </c>
      <c r="M48" s="27"/>
      <c r="N48" s="6"/>
    </row>
    <row r="49" spans="1:14" ht="15.75">
      <c r="A49" s="26"/>
      <c r="B49" s="27" t="s">
        <v>35</v>
      </c>
      <c r="C49" s="27"/>
      <c r="D49" s="27"/>
      <c r="E49" s="27"/>
      <c r="F49" s="27"/>
      <c r="G49" s="27"/>
      <c r="H49" s="27"/>
      <c r="I49" s="27"/>
      <c r="J49" s="56"/>
      <c r="K49" s="57"/>
      <c r="L49" s="56">
        <v>37895</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194</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236941</v>
      </c>
      <c r="E57" s="63"/>
      <c r="F57" s="63">
        <f>129+9991+59+350+1+14311+2</f>
        <v>24843</v>
      </c>
      <c r="G57" s="63"/>
      <c r="H57" s="63">
        <v>0</v>
      </c>
      <c r="I57" s="63"/>
      <c r="J57" s="63">
        <v>0</v>
      </c>
      <c r="K57" s="63"/>
      <c r="L57" s="64">
        <f>D57-F57+H57-J57</f>
        <v>212098</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13428</v>
      </c>
      <c r="E60" s="63"/>
      <c r="F60" s="63">
        <f>5345</f>
        <v>5345</v>
      </c>
      <c r="G60" s="63"/>
      <c r="H60" s="63">
        <f>4206+800</f>
        <v>5006</v>
      </c>
      <c r="I60" s="63"/>
      <c r="J60" s="63">
        <f>SUM(J57:J59)</f>
        <v>0</v>
      </c>
      <c r="K60" s="63"/>
      <c r="L60" s="64">
        <f>D60-F60+H60-J60</f>
        <v>13089</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76794</v>
      </c>
      <c r="E63" s="63"/>
      <c r="F63" s="63">
        <f>12413+3+37-1</f>
        <v>12452</v>
      </c>
      <c r="G63" s="63"/>
      <c r="H63" s="63">
        <f>2821+16337</f>
        <v>19158</v>
      </c>
      <c r="I63" s="63"/>
      <c r="J63" s="63">
        <v>0</v>
      </c>
      <c r="K63" s="63"/>
      <c r="L63" s="64">
        <f>D63-F63+H63-J63</f>
        <v>83500</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54692</v>
      </c>
      <c r="E66" s="63"/>
      <c r="F66" s="63">
        <f>8336+116+179+1</f>
        <v>8632</v>
      </c>
      <c r="G66" s="63"/>
      <c r="H66" s="63">
        <f>4691+1431</f>
        <v>6122</v>
      </c>
      <c r="I66" s="63"/>
      <c r="J66" s="63">
        <v>0</v>
      </c>
      <c r="K66" s="63"/>
      <c r="L66" s="64">
        <f>D66-F66+H66-J66</f>
        <v>52182</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381855</v>
      </c>
      <c r="E69" s="63"/>
      <c r="F69" s="63">
        <f>SUM(F57:F67)</f>
        <v>51272</v>
      </c>
      <c r="G69" s="63"/>
      <c r="H69" s="63">
        <f>SUM(H57:H67)</f>
        <v>30286</v>
      </c>
      <c r="I69" s="63"/>
      <c r="J69" s="63">
        <f>SUM(J64:J68)</f>
        <v>0</v>
      </c>
      <c r="K69" s="63"/>
      <c r="L69" s="63">
        <f>SUM(L57:L68)</f>
        <v>360869</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-149389</v>
      </c>
      <c r="E71" s="63"/>
      <c r="F71" s="63">
        <v>-13048</v>
      </c>
      <c r="G71" s="63"/>
      <c r="H71" s="63"/>
      <c r="I71" s="63"/>
      <c r="J71" s="63"/>
      <c r="K71" s="63"/>
      <c r="L71" s="63">
        <f>D71-F71</f>
        <v>-136341</v>
      </c>
      <c r="M71" s="27"/>
      <c r="N71" s="6"/>
    </row>
    <row r="72" spans="1:14" ht="15.75">
      <c r="A72" s="26"/>
      <c r="B72" s="27" t="s">
        <v>45</v>
      </c>
      <c r="C72" s="63">
        <v>0</v>
      </c>
      <c r="D72" s="65">
        <v>12234</v>
      </c>
      <c r="E72" s="63"/>
      <c r="F72" s="63">
        <f>SUM(F69:F71)</f>
        <v>38224</v>
      </c>
      <c r="G72" s="63"/>
      <c r="H72" s="63">
        <f>-H69</f>
        <v>-30286</v>
      </c>
      <c r="I72" s="63"/>
      <c r="J72" s="63"/>
      <c r="K72" s="63"/>
      <c r="L72" s="65">
        <f>D72+F72+H72</f>
        <v>20172</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153"/>
      <c r="I75" s="63"/>
      <c r="J75" s="63"/>
      <c r="K75" s="63"/>
      <c r="L75" s="65">
        <v>0</v>
      </c>
      <c r="M75" s="27"/>
      <c r="N75" s="6"/>
    </row>
    <row r="76" spans="1:14" ht="15.75">
      <c r="A76" s="26"/>
      <c r="B76" s="27" t="s">
        <v>20</v>
      </c>
      <c r="C76" s="65">
        <f>SUM(C69:C75)</f>
        <v>244700</v>
      </c>
      <c r="D76" s="65">
        <f>SUM(D69:D75)</f>
        <v>244700</v>
      </c>
      <c r="E76" s="63"/>
      <c r="F76" s="63">
        <f>F72-F75-F74</f>
        <v>38224</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36956-358-11</f>
        <v>36587</v>
      </c>
      <c r="M79" s="27"/>
      <c r="N79" s="6"/>
    </row>
    <row r="80" spans="1:14" ht="15.75">
      <c r="A80" s="26"/>
      <c r="B80" s="27" t="s">
        <v>51</v>
      </c>
      <c r="C80" s="51"/>
      <c r="D80" s="55"/>
      <c r="E80" s="27"/>
      <c r="F80" s="27"/>
      <c r="G80" s="27"/>
      <c r="H80" s="27"/>
      <c r="I80" s="27"/>
      <c r="J80" s="63"/>
      <c r="K80" s="27"/>
      <c r="L80" s="64">
        <f>893+55+60+1</f>
        <v>1009</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30471</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-818-298</f>
        <v>-1116</v>
      </c>
      <c r="M87" s="27"/>
      <c r="N87" s="6"/>
      <c r="O87" s="69"/>
    </row>
    <row r="88" spans="1:15" ht="15.75">
      <c r="A88" s="26">
        <f t="shared" si="0"/>
        <v>3</v>
      </c>
      <c r="B88" s="27" t="s">
        <v>58</v>
      </c>
      <c r="C88" s="27"/>
      <c r="D88" s="27"/>
      <c r="E88" s="27"/>
      <c r="F88" s="27"/>
      <c r="G88" s="27"/>
      <c r="H88" s="27"/>
      <c r="I88" s="27"/>
      <c r="J88" s="27"/>
      <c r="K88" s="27"/>
      <c r="L88" s="64">
        <v>-880</v>
      </c>
      <c r="M88" s="27"/>
      <c r="N88" s="6"/>
      <c r="O88" s="69"/>
    </row>
    <row r="89" spans="1:15" ht="15.75">
      <c r="A89" s="26">
        <f t="shared" si="0"/>
        <v>4</v>
      </c>
      <c r="B89" s="27" t="s">
        <v>59</v>
      </c>
      <c r="C89" s="27"/>
      <c r="D89" s="27"/>
      <c r="E89" s="27"/>
      <c r="F89" s="27"/>
      <c r="G89" s="27"/>
      <c r="H89" s="27"/>
      <c r="I89" s="27"/>
      <c r="J89" s="27"/>
      <c r="K89" s="27"/>
      <c r="L89" s="64">
        <v>-1412</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-828</v>
      </c>
      <c r="M91" s="27"/>
      <c r="N91" s="6"/>
      <c r="O91" s="69"/>
    </row>
    <row r="92" spans="1:15" ht="15.75">
      <c r="A92" s="26">
        <f t="shared" si="0"/>
        <v>7</v>
      </c>
      <c r="B92" s="27" t="s">
        <v>62</v>
      </c>
      <c r="C92" s="27"/>
      <c r="D92" s="27"/>
      <c r="E92" s="27"/>
      <c r="F92" s="27"/>
      <c r="G92" s="27"/>
      <c r="H92" s="27"/>
      <c r="I92" s="27"/>
      <c r="J92" s="27"/>
      <c r="K92" s="27"/>
      <c r="L92" s="64">
        <v>-419</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20173</v>
      </c>
      <c r="M94" s="27"/>
      <c r="N94" s="6"/>
      <c r="O94" s="69"/>
    </row>
    <row r="95" spans="1:14" ht="15.75">
      <c r="A95" s="26">
        <f t="shared" si="0"/>
        <v>10</v>
      </c>
      <c r="B95" s="27" t="s">
        <v>64</v>
      </c>
      <c r="C95" s="27"/>
      <c r="D95" s="27"/>
      <c r="E95" s="27"/>
      <c r="F95" s="27"/>
      <c r="G95" s="27"/>
      <c r="H95" s="27"/>
      <c r="I95" s="27"/>
      <c r="J95" s="27"/>
      <c r="K95" s="27"/>
      <c r="L95" s="64">
        <f>J193+SUM(L83:L92)+J195-J198</f>
        <v>5634</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SEPTEMBER 2003</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154"/>
      <c r="H111" s="9"/>
      <c r="I111" s="9"/>
      <c r="J111" s="9"/>
      <c r="K111" s="9"/>
      <c r="L111" s="80"/>
      <c r="M111" s="9"/>
      <c r="N111" s="6"/>
    </row>
    <row r="112" spans="1:14" ht="15.75">
      <c r="A112" s="7"/>
      <c r="B112" s="14"/>
      <c r="C112" s="18" t="s">
        <v>137</v>
      </c>
      <c r="D112" s="18" t="s">
        <v>147</v>
      </c>
      <c r="E112" s="18" t="s">
        <v>153</v>
      </c>
      <c r="F112" s="18" t="s">
        <v>162</v>
      </c>
      <c r="G112" s="154"/>
      <c r="H112" s="154"/>
      <c r="I112" s="9"/>
      <c r="J112" s="9"/>
      <c r="K112" s="9"/>
      <c r="L112" s="80"/>
      <c r="M112" s="9"/>
      <c r="N112" s="6"/>
    </row>
    <row r="113" spans="1:14" ht="15.75">
      <c r="A113" s="26"/>
      <c r="B113" s="27" t="s">
        <v>199</v>
      </c>
      <c r="C113" s="63">
        <f>E176-'June 03'!E176</f>
        <v>-13094</v>
      </c>
      <c r="D113" s="63">
        <f>J176-'June 03'!J176</f>
        <v>38</v>
      </c>
      <c r="E113" s="63">
        <f>E186-'June 03'!E186</f>
        <v>33</v>
      </c>
      <c r="F113" s="63">
        <f>J186-'June 03'!J186</f>
        <v>-24</v>
      </c>
      <c r="G113" s="153"/>
      <c r="H113" s="153"/>
      <c r="I113" s="27"/>
      <c r="J113" s="27"/>
      <c r="K113" s="27"/>
      <c r="L113" s="64">
        <f>SUM(C113:F113)</f>
        <v>-13047</v>
      </c>
      <c r="M113" s="27"/>
      <c r="N113" s="6"/>
    </row>
    <row r="114" spans="1:14" ht="15.75">
      <c r="A114" s="26"/>
      <c r="B114" s="27" t="s">
        <v>72</v>
      </c>
      <c r="C114" s="27">
        <f>1+59+14311+350</f>
        <v>14721</v>
      </c>
      <c r="D114" s="27">
        <v>11</v>
      </c>
      <c r="E114" s="27">
        <f>3+37</f>
        <v>40</v>
      </c>
      <c r="F114" s="27">
        <f>116+179</f>
        <v>295</v>
      </c>
      <c r="G114" s="153"/>
      <c r="H114" s="153"/>
      <c r="I114" s="27"/>
      <c r="J114" s="27"/>
      <c r="K114" s="27"/>
      <c r="L114" s="64">
        <f>SUM(C114:F114)</f>
        <v>15067</v>
      </c>
      <c r="M114" s="27"/>
      <c r="N114" s="6"/>
    </row>
    <row r="115" spans="1:14" ht="15.75">
      <c r="A115" s="26"/>
      <c r="B115" s="27" t="s">
        <v>73</v>
      </c>
      <c r="C115" s="27"/>
      <c r="D115" s="27"/>
      <c r="E115" s="27"/>
      <c r="F115" s="27"/>
      <c r="G115" s="27"/>
      <c r="H115" s="27"/>
      <c r="I115" s="27"/>
      <c r="J115" s="27"/>
      <c r="K115" s="27"/>
      <c r="L115" s="64">
        <f>SUM(L113:L114)</f>
        <v>2020</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360869</v>
      </c>
      <c r="M117" s="27"/>
      <c r="N117" s="6"/>
    </row>
    <row r="118" spans="1:14" ht="15.75">
      <c r="A118" s="26"/>
      <c r="B118" s="27" t="s">
        <v>76</v>
      </c>
      <c r="C118" s="82"/>
      <c r="D118" s="27"/>
      <c r="E118" s="27"/>
      <c r="F118" s="27"/>
      <c r="G118" s="27"/>
      <c r="H118" s="27"/>
      <c r="I118" s="27"/>
      <c r="J118" s="27"/>
      <c r="K118" s="27"/>
      <c r="L118" s="64">
        <f>L72</f>
        <v>20172</v>
      </c>
      <c r="M118" s="27"/>
      <c r="N118" s="6"/>
    </row>
    <row r="119" spans="1:15" ht="15.75">
      <c r="A119" s="26"/>
      <c r="B119" s="27" t="s">
        <v>77</v>
      </c>
      <c r="C119" s="82"/>
      <c r="D119" s="27"/>
      <c r="E119" s="27"/>
      <c r="F119" s="27"/>
      <c r="G119" s="27"/>
      <c r="H119" s="27"/>
      <c r="I119" s="27"/>
      <c r="J119" s="27"/>
      <c r="K119" s="27"/>
      <c r="L119" s="64">
        <f>L118+L117+L74+L75</f>
        <v>381041</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f>+'June 03'!H126</f>
        <v>6</v>
      </c>
      <c r="I124" s="27"/>
      <c r="J124" s="84" t="s">
        <v>177</v>
      </c>
      <c r="K124" s="27"/>
      <c r="L124" s="64">
        <f>H124</f>
        <v>6</v>
      </c>
      <c r="M124" s="27"/>
      <c r="N124" s="6"/>
    </row>
    <row r="125" spans="1:14" ht="15.75">
      <c r="A125" s="26"/>
      <c r="B125" s="27" t="s">
        <v>82</v>
      </c>
      <c r="C125" s="27"/>
      <c r="D125" s="27"/>
      <c r="E125" s="27"/>
      <c r="F125" s="27"/>
      <c r="G125" s="27"/>
      <c r="H125" s="64">
        <v>0</v>
      </c>
      <c r="I125" s="27"/>
      <c r="J125" s="84" t="s">
        <v>177</v>
      </c>
      <c r="K125" s="27"/>
      <c r="L125" s="64">
        <f>H125</f>
        <v>0</v>
      </c>
      <c r="M125" s="27"/>
      <c r="N125" s="6"/>
    </row>
    <row r="126" spans="1:14" ht="15.75">
      <c r="A126" s="26"/>
      <c r="B126" s="27" t="s">
        <v>83</v>
      </c>
      <c r="C126" s="27"/>
      <c r="D126" s="27"/>
      <c r="E126" s="27"/>
      <c r="F126" s="27"/>
      <c r="G126" s="27"/>
      <c r="H126" s="64">
        <f>SUM(H124:H125)</f>
        <v>6</v>
      </c>
      <c r="I126" s="27"/>
      <c r="J126" s="84" t="s">
        <v>177</v>
      </c>
      <c r="K126" s="27"/>
      <c r="L126" s="64">
        <f>H126</f>
        <v>6</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37894</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0.1445</v>
      </c>
      <c r="K134" s="27"/>
      <c r="L134" s="27"/>
      <c r="M134" s="27"/>
      <c r="N134" s="6"/>
    </row>
    <row r="135" spans="1:14" ht="15.75">
      <c r="A135" s="87"/>
      <c r="B135" s="88" t="s">
        <v>90</v>
      </c>
      <c r="C135" s="89"/>
      <c r="D135" s="89"/>
      <c r="E135" s="89"/>
      <c r="F135" s="89"/>
      <c r="G135" s="90"/>
      <c r="H135" s="90"/>
      <c r="I135" s="90"/>
      <c r="J135" s="91">
        <f>L34</f>
        <v>0.043115642337556194</v>
      </c>
      <c r="K135" s="27"/>
      <c r="L135" s="27"/>
      <c r="M135" s="27"/>
      <c r="N135" s="6"/>
    </row>
    <row r="136" spans="1:14" ht="15.75">
      <c r="A136" s="87"/>
      <c r="B136" s="88" t="s">
        <v>91</v>
      </c>
      <c r="C136" s="89"/>
      <c r="D136" s="89"/>
      <c r="E136" s="89"/>
      <c r="F136" s="89"/>
      <c r="G136" s="90"/>
      <c r="H136" s="90"/>
      <c r="I136" s="90"/>
      <c r="J136" s="91">
        <f>J134-J135</f>
        <v>0.1013843576624438</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11.9</v>
      </c>
      <c r="K141" s="27"/>
      <c r="L141" s="27"/>
      <c r="M141" s="27"/>
      <c r="N141" s="6"/>
    </row>
    <row r="142" spans="1:14" ht="15.75">
      <c r="A142" s="87"/>
      <c r="B142" s="88" t="s">
        <v>97</v>
      </c>
      <c r="C142" s="89"/>
      <c r="D142" s="89"/>
      <c r="E142" s="89"/>
      <c r="F142" s="89"/>
      <c r="G142" s="90"/>
      <c r="H142" s="90"/>
      <c r="I142" s="90"/>
      <c r="J142" s="91">
        <v>0.0878</v>
      </c>
      <c r="K142" s="27"/>
      <c r="L142" s="27"/>
      <c r="M142" s="27"/>
      <c r="N142" s="6"/>
    </row>
    <row r="143" spans="1:14" ht="15.75">
      <c r="A143" s="87"/>
      <c r="B143" s="88" t="s">
        <v>98</v>
      </c>
      <c r="C143" s="89"/>
      <c r="D143" s="89"/>
      <c r="E143" s="89"/>
      <c r="F143" s="89"/>
      <c r="G143" s="90"/>
      <c r="H143" s="90"/>
      <c r="I143" s="90"/>
      <c r="J143" s="91">
        <v>0.2633</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SEPTEMBER 2003</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5367</v>
      </c>
      <c r="J148" s="64">
        <v>46433</v>
      </c>
      <c r="K148" s="64"/>
      <c r="L148" s="94"/>
      <c r="M148" s="104"/>
      <c r="N148" s="6"/>
    </row>
    <row r="149" spans="1:14" ht="15.75">
      <c r="A149" s="103"/>
      <c r="B149" s="88" t="s">
        <v>101</v>
      </c>
      <c r="C149" s="65"/>
      <c r="D149" s="65"/>
      <c r="E149" s="65"/>
      <c r="F149" s="27"/>
      <c r="G149" s="27"/>
      <c r="H149" s="27"/>
      <c r="I149" s="27">
        <v>5</v>
      </c>
      <c r="J149" s="64">
        <v>43</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30286</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2020</v>
      </c>
      <c r="K153" s="27"/>
      <c r="L153" s="94"/>
      <c r="M153" s="108"/>
      <c r="N153" s="6"/>
    </row>
    <row r="154" spans="1:14" ht="15.75">
      <c r="A154" s="103"/>
      <c r="B154" s="88" t="s">
        <v>106</v>
      </c>
      <c r="C154" s="65"/>
      <c r="D154" s="65"/>
      <c r="E154" s="65"/>
      <c r="F154" s="65"/>
      <c r="G154" s="27"/>
      <c r="H154" s="27"/>
      <c r="I154" s="27"/>
      <c r="J154" s="64">
        <f>'June 03'!J154+J153</f>
        <v>23285</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90</v>
      </c>
      <c r="K164" s="113"/>
      <c r="L164" s="34"/>
      <c r="M164" s="94"/>
      <c r="N164" s="6"/>
    </row>
    <row r="165" spans="1:14" ht="15.75">
      <c r="A165" s="103"/>
      <c r="B165" s="88" t="s">
        <v>110</v>
      </c>
      <c r="C165" s="65"/>
      <c r="D165" s="65"/>
      <c r="E165" s="111"/>
      <c r="F165" s="109"/>
      <c r="G165" s="110"/>
      <c r="H165" s="27"/>
      <c r="I165" s="34"/>
      <c r="J165" s="113">
        <v>2.9</v>
      </c>
      <c r="K165" s="113"/>
      <c r="L165" s="34"/>
      <c r="M165" s="94"/>
      <c r="N165" s="6"/>
    </row>
    <row r="166" spans="1:14" ht="15.75">
      <c r="A166" s="103"/>
      <c r="B166" s="88" t="s">
        <v>115</v>
      </c>
      <c r="C166" s="65"/>
      <c r="D166" s="65"/>
      <c r="E166" s="111"/>
      <c r="F166" s="109"/>
      <c r="G166" s="110"/>
      <c r="H166" s="27"/>
      <c r="I166" s="34"/>
      <c r="J166" s="113">
        <v>34.4</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153"/>
      <c r="D169" s="114" t="s">
        <v>148</v>
      </c>
      <c r="E169" s="115"/>
      <c r="F169" s="116"/>
      <c r="G169" s="115"/>
      <c r="H169" s="114" t="s">
        <v>40</v>
      </c>
      <c r="I169" s="115"/>
      <c r="J169" s="116"/>
      <c r="K169" s="115"/>
      <c r="L169" s="117"/>
      <c r="M169" s="108"/>
      <c r="N169" s="6"/>
    </row>
    <row r="170" spans="1:14" ht="15.75">
      <c r="A170" s="26"/>
      <c r="B170" s="153"/>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v>15354</v>
      </c>
      <c r="D171" s="91">
        <f>C171/$C$175</f>
        <v>0.8691271368730895</v>
      </c>
      <c r="E171" s="118">
        <v>81257</v>
      </c>
      <c r="F171" s="91">
        <f>E171/$E$175</f>
        <v>0.8247766950872919</v>
      </c>
      <c r="G171" s="115"/>
      <c r="H171" s="118">
        <v>13815</v>
      </c>
      <c r="I171" s="91">
        <f>H171/$H$175</f>
        <v>0.9757044989052899</v>
      </c>
      <c r="J171" s="118">
        <v>12451</v>
      </c>
      <c r="K171" s="91">
        <f>J171/$J$175</f>
        <v>0.9657927396835246</v>
      </c>
      <c r="L171" s="117"/>
      <c r="M171" s="108"/>
      <c r="N171" s="6"/>
    </row>
    <row r="172" spans="1:17" ht="15.75">
      <c r="A172" s="26"/>
      <c r="B172" s="65" t="s">
        <v>118</v>
      </c>
      <c r="C172" s="118">
        <v>256</v>
      </c>
      <c r="D172" s="91">
        <f>C172/$C$175</f>
        <v>0.014491112872183857</v>
      </c>
      <c r="E172" s="118">
        <v>1887</v>
      </c>
      <c r="F172" s="91">
        <f>E172/$E$175</f>
        <v>0.01915347137637028</v>
      </c>
      <c r="G172" s="115"/>
      <c r="H172" s="118">
        <v>67</v>
      </c>
      <c r="I172" s="91">
        <f>H172/$H$175</f>
        <v>0.0047319725969348116</v>
      </c>
      <c r="J172" s="118">
        <v>88</v>
      </c>
      <c r="K172" s="91">
        <f>J172/$J$175</f>
        <v>0.006825938566552901</v>
      </c>
      <c r="L172" s="117"/>
      <c r="M172" s="108"/>
      <c r="N172" s="6"/>
      <c r="Q172" s="69"/>
    </row>
    <row r="173" spans="1:17" ht="15.75">
      <c r="A173" s="26"/>
      <c r="B173" s="65" t="s">
        <v>119</v>
      </c>
      <c r="C173" s="118">
        <v>224</v>
      </c>
      <c r="D173" s="91">
        <f>C173/$C$175</f>
        <v>0.012679723763160873</v>
      </c>
      <c r="E173" s="118">
        <v>1610</v>
      </c>
      <c r="F173" s="91">
        <f>E173/$E$175</f>
        <v>0.01634185952090946</v>
      </c>
      <c r="G173" s="115"/>
      <c r="H173" s="118">
        <v>40</v>
      </c>
      <c r="I173" s="91">
        <f>H173/$H$175</f>
        <v>0.0028250582668267535</v>
      </c>
      <c r="J173" s="118">
        <v>48</v>
      </c>
      <c r="K173" s="91">
        <f>J173/$J$175</f>
        <v>0.003723239218119764</v>
      </c>
      <c r="L173" s="117"/>
      <c r="M173" s="108"/>
      <c r="N173" s="6"/>
      <c r="Q173" s="69"/>
    </row>
    <row r="174" spans="1:17" ht="15.75">
      <c r="A174" s="26"/>
      <c r="B174" s="65" t="s">
        <v>120</v>
      </c>
      <c r="C174" s="118">
        <v>1832</v>
      </c>
      <c r="D174" s="91">
        <f>C174/$C$175</f>
        <v>0.10370202649156572</v>
      </c>
      <c r="E174" s="118">
        <v>13766</v>
      </c>
      <c r="F174" s="91">
        <f>E174/$E$175</f>
        <v>0.13972797401542833</v>
      </c>
      <c r="G174" s="115"/>
      <c r="H174" s="118">
        <v>237</v>
      </c>
      <c r="I174" s="91">
        <f>H174/$H$175</f>
        <v>0.016738470230948512</v>
      </c>
      <c r="J174" s="118">
        <v>305</v>
      </c>
      <c r="K174" s="91">
        <f>J174/$J$175</f>
        <v>0.02365808253180267</v>
      </c>
      <c r="L174" s="117"/>
      <c r="M174" s="108"/>
      <c r="N174" s="6"/>
      <c r="Q174" s="69"/>
    </row>
    <row r="175" spans="1:17" ht="15.75">
      <c r="A175" s="26"/>
      <c r="B175" s="65" t="s">
        <v>121</v>
      </c>
      <c r="C175" s="118">
        <f>SUM(C171:C174)</f>
        <v>17666</v>
      </c>
      <c r="D175" s="91">
        <f>SUM(D171:D174)</f>
        <v>0.9999999999999999</v>
      </c>
      <c r="E175" s="118">
        <f>SUM(E171:E174)</f>
        <v>98520</v>
      </c>
      <c r="F175" s="91">
        <f>SUM(F171:F174)</f>
        <v>1</v>
      </c>
      <c r="G175" s="115"/>
      <c r="H175" s="118">
        <f>SUM(H171:H174)</f>
        <v>14159</v>
      </c>
      <c r="I175" s="91">
        <f>SUM(I171:I174)</f>
        <v>1</v>
      </c>
      <c r="J175" s="118">
        <f>SUM(J171:J174)</f>
        <v>12892</v>
      </c>
      <c r="K175" s="91">
        <f>SUM(K171:K174)</f>
        <v>1</v>
      </c>
      <c r="L175" s="117"/>
      <c r="M175" s="108"/>
      <c r="N175" s="6"/>
      <c r="Q175" s="69"/>
    </row>
    <row r="176" spans="1:17" ht="15.75">
      <c r="A176" s="26"/>
      <c r="B176" s="65" t="s">
        <v>122</v>
      </c>
      <c r="C176" s="118">
        <v>14102</v>
      </c>
      <c r="D176" s="119"/>
      <c r="E176" s="118">
        <v>113578</v>
      </c>
      <c r="F176" s="119"/>
      <c r="G176" s="115"/>
      <c r="H176" s="118">
        <v>123</v>
      </c>
      <c r="I176" s="119"/>
      <c r="J176" s="118">
        <v>197</v>
      </c>
      <c r="K176" s="119"/>
      <c r="L176" s="117"/>
      <c r="M176" s="108"/>
      <c r="N176" s="6"/>
      <c r="O176" s="69"/>
      <c r="Q176" s="69"/>
    </row>
    <row r="177" spans="1:15" ht="15.75">
      <c r="A177" s="26"/>
      <c r="B177" s="65" t="s">
        <v>123</v>
      </c>
      <c r="C177" s="118">
        <f>SUM(C175:C176)</f>
        <v>31768</v>
      </c>
      <c r="D177" s="153"/>
      <c r="E177" s="118">
        <f>SUM(E175:E176)</f>
        <v>212098</v>
      </c>
      <c r="F177" s="91"/>
      <c r="G177" s="153"/>
      <c r="H177" s="118">
        <f>SUM(H175:H176)</f>
        <v>14282</v>
      </c>
      <c r="I177" s="153"/>
      <c r="J177" s="118">
        <f>SUM(J175:J176)</f>
        <v>13089</v>
      </c>
      <c r="K177" s="153"/>
      <c r="L177" s="153"/>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153"/>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3689</v>
      </c>
      <c r="D181" s="91">
        <f>C181/$C$185</f>
        <v>0.967479674796748</v>
      </c>
      <c r="E181" s="118">
        <v>81080</v>
      </c>
      <c r="F181" s="91">
        <f>E181/$E$185</f>
        <v>0.9714600656586231</v>
      </c>
      <c r="G181" s="115"/>
      <c r="H181" s="118">
        <v>9683</v>
      </c>
      <c r="I181" s="91">
        <f>H181/$H$185</f>
        <v>0.9867522674003872</v>
      </c>
      <c r="J181" s="118">
        <v>51116</v>
      </c>
      <c r="K181" s="91">
        <f>J181/$J$185</f>
        <v>0.9844956761233412</v>
      </c>
      <c r="L181" s="117"/>
      <c r="M181" s="108"/>
      <c r="N181" s="6"/>
    </row>
    <row r="182" spans="1:14" ht="15.75">
      <c r="A182" s="26"/>
      <c r="B182" s="65" t="s">
        <v>118</v>
      </c>
      <c r="C182" s="118">
        <v>55</v>
      </c>
      <c r="D182" s="91">
        <f>C182/$C$185</f>
        <v>0.014424337791765015</v>
      </c>
      <c r="E182" s="118">
        <v>1149</v>
      </c>
      <c r="F182" s="91">
        <f>E182/$E$185</f>
        <v>0.013766744147036976</v>
      </c>
      <c r="G182" s="115"/>
      <c r="H182" s="118">
        <v>57</v>
      </c>
      <c r="I182" s="91">
        <f>H182/$H$185</f>
        <v>0.005808621216753286</v>
      </c>
      <c r="J182" s="118">
        <v>333</v>
      </c>
      <c r="K182" s="91">
        <f>J182/$J$185</f>
        <v>0.006413589876928411</v>
      </c>
      <c r="L182" s="117"/>
      <c r="M182" s="108"/>
      <c r="N182" s="6"/>
    </row>
    <row r="183" spans="1:14" ht="15.75">
      <c r="A183" s="26"/>
      <c r="B183" s="65" t="s">
        <v>119</v>
      </c>
      <c r="C183" s="118">
        <v>24</v>
      </c>
      <c r="D183" s="91">
        <f>C183/$C$185</f>
        <v>0.006294256490952006</v>
      </c>
      <c r="E183" s="118">
        <v>334</v>
      </c>
      <c r="F183" s="91">
        <f>E183/$E$185</f>
        <v>0.004001821188085596</v>
      </c>
      <c r="G183" s="115"/>
      <c r="H183" s="118">
        <v>16</v>
      </c>
      <c r="I183" s="91">
        <f>H183/$H$185</f>
        <v>0.0016304901661061857</v>
      </c>
      <c r="J183" s="118">
        <v>98</v>
      </c>
      <c r="K183" s="91">
        <f>J183/$J$185</f>
        <v>0.0018874829067236764</v>
      </c>
      <c r="L183" s="117"/>
      <c r="M183" s="108"/>
      <c r="N183" s="6"/>
    </row>
    <row r="184" spans="1:14" ht="15.75">
      <c r="A184" s="26"/>
      <c r="B184" s="65" t="s">
        <v>120</v>
      </c>
      <c r="C184" s="118">
        <v>45</v>
      </c>
      <c r="D184" s="91">
        <f>C184/$C$185</f>
        <v>0.011801730920535013</v>
      </c>
      <c r="E184" s="118">
        <v>899</v>
      </c>
      <c r="F184" s="91">
        <f>E184/$E$185</f>
        <v>0.010771369006254344</v>
      </c>
      <c r="G184" s="115"/>
      <c r="H184" s="118">
        <v>57</v>
      </c>
      <c r="I184" s="91">
        <f>H184/$H$185</f>
        <v>0.005808621216753286</v>
      </c>
      <c r="J184" s="118">
        <v>374</v>
      </c>
      <c r="K184" s="91">
        <f>J184/$J$185</f>
        <v>0.007203251093006683</v>
      </c>
      <c r="L184" s="117"/>
      <c r="M184" s="108"/>
      <c r="N184" s="6"/>
    </row>
    <row r="185" spans="1:14" ht="15.75">
      <c r="A185" s="26"/>
      <c r="B185" s="65" t="str">
        <f>B175</f>
        <v>Total Performing  Assets</v>
      </c>
      <c r="C185" s="118">
        <f>SUM(C181:C184)</f>
        <v>3813</v>
      </c>
      <c r="D185" s="91">
        <f>SUM(D181:D184)</f>
        <v>1</v>
      </c>
      <c r="E185" s="118">
        <f>SUM(E181:E184)</f>
        <v>83462</v>
      </c>
      <c r="F185" s="91">
        <f>SUM(F181:F184)</f>
        <v>0.9999999999999999</v>
      </c>
      <c r="G185" s="115"/>
      <c r="H185" s="118">
        <f>SUM(H181:H184)</f>
        <v>9813</v>
      </c>
      <c r="I185" s="91">
        <f>SUM(I181:I184)</f>
        <v>1</v>
      </c>
      <c r="J185" s="118">
        <f>SUM(J181:J184)</f>
        <v>51921</v>
      </c>
      <c r="K185" s="91">
        <f>SUM(K181:K184)</f>
        <v>1</v>
      </c>
      <c r="L185" s="117"/>
      <c r="M185" s="108"/>
      <c r="N185" s="6"/>
    </row>
    <row r="186" spans="1:14" ht="15.75">
      <c r="A186" s="26"/>
      <c r="B186" s="65" t="s">
        <v>122</v>
      </c>
      <c r="C186" s="118">
        <v>2</v>
      </c>
      <c r="D186" s="121"/>
      <c r="E186" s="118">
        <v>38</v>
      </c>
      <c r="F186" s="119"/>
      <c r="G186" s="115"/>
      <c r="H186" s="118">
        <v>39</v>
      </c>
      <c r="I186" s="121"/>
      <c r="J186" s="118">
        <v>261</v>
      </c>
      <c r="K186" s="121"/>
      <c r="L186" s="117"/>
      <c r="M186" s="108"/>
      <c r="N186" s="6"/>
    </row>
    <row r="187" spans="1:14" ht="15.75">
      <c r="A187" s="26"/>
      <c r="B187" s="65" t="s">
        <v>123</v>
      </c>
      <c r="C187" s="118">
        <f>SUM(C185:C186)</f>
        <v>3815</v>
      </c>
      <c r="D187" s="153"/>
      <c r="E187" s="118">
        <f>SUM(E185:E186)</f>
        <v>83500</v>
      </c>
      <c r="F187" s="120"/>
      <c r="G187" s="153"/>
      <c r="H187" s="118">
        <f>SUM(H185:H186)</f>
        <v>9852</v>
      </c>
      <c r="I187" s="153"/>
      <c r="J187" s="118">
        <f>SUM(J185:J186)</f>
        <v>52182</v>
      </c>
      <c r="K187" s="153"/>
      <c r="L187" s="153"/>
      <c r="M187" s="155"/>
      <c r="N187" s="139"/>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360869</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6"/>
      <c r="J193" s="118">
        <f>+E175+J175+E185+J185</f>
        <v>246795</v>
      </c>
      <c r="K193" s="115"/>
      <c r="L193" s="117"/>
      <c r="M193" s="108"/>
      <c r="N193" s="6"/>
    </row>
    <row r="194" spans="1:15" ht="15.75">
      <c r="A194" s="26"/>
      <c r="B194" s="65" t="s">
        <v>126</v>
      </c>
      <c r="C194" s="115"/>
      <c r="D194" s="116"/>
      <c r="E194" s="115"/>
      <c r="F194" s="116"/>
      <c r="G194" s="115"/>
      <c r="H194" s="116"/>
      <c r="I194" s="115"/>
      <c r="J194" s="118">
        <f>L94</f>
        <v>20173</v>
      </c>
      <c r="K194" s="115"/>
      <c r="L194" s="117"/>
      <c r="M194" s="108"/>
      <c r="N194" s="124"/>
      <c r="O194" s="69"/>
    </row>
    <row r="195" spans="1:14" ht="15.75">
      <c r="A195" s="26"/>
      <c r="B195" s="65" t="s">
        <v>127</v>
      </c>
      <c r="C195" s="115"/>
      <c r="D195" s="116"/>
      <c r="E195" s="115"/>
      <c r="F195" s="116"/>
      <c r="G195" s="115"/>
      <c r="H195" s="116"/>
      <c r="I195" s="115"/>
      <c r="J195" s="118">
        <v>-22268</v>
      </c>
      <c r="K195" s="115"/>
      <c r="L195" s="117"/>
      <c r="M195" s="108"/>
      <c r="N195" s="125"/>
    </row>
    <row r="196" spans="1:15" ht="15.75">
      <c r="A196" s="26"/>
      <c r="B196" s="65" t="s">
        <v>128</v>
      </c>
      <c r="C196" s="115"/>
      <c r="D196" s="116"/>
      <c r="E196" s="115"/>
      <c r="F196" s="116"/>
      <c r="G196" s="115"/>
      <c r="H196" s="116"/>
      <c r="I196" s="115"/>
      <c r="J196" s="118">
        <f>SUM(J193:J195)</f>
        <v>244700</v>
      </c>
      <c r="K196" s="115"/>
      <c r="L196" s="117"/>
      <c r="M196" s="108"/>
      <c r="N196" s="6"/>
      <c r="O196" s="138"/>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SEPTEMBER 2003</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3" max="0" man="1"/>
  </rowBreaks>
  <drawing r:id="rId1"/>
</worksheet>
</file>

<file path=xl/worksheets/sheet8.xml><?xml version="1.0" encoding="utf-8"?>
<worksheet xmlns="http://schemas.openxmlformats.org/spreadsheetml/2006/main" xmlns:r="http://schemas.openxmlformats.org/officeDocument/2006/relationships">
  <dimension ref="A1:Q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E175/(J193+L94)</f>
        <v>0.3309759971232507</v>
      </c>
      <c r="F15" s="18" t="s">
        <v>147</v>
      </c>
      <c r="G15" s="19">
        <f>J175/(J193+L94)</f>
        <v>0.03720670642174343</v>
      </c>
      <c r="H15" s="18" t="s">
        <v>153</v>
      </c>
      <c r="I15" s="19">
        <f>E185/(J193+L94)</f>
        <v>0.32427107368673397</v>
      </c>
      <c r="J15" s="18" t="s">
        <v>162</v>
      </c>
      <c r="K15" s="19">
        <f>J185/(J193+L94)</f>
        <v>0.16804635761589404</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38012</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0.0413</v>
      </c>
      <c r="E34" s="48"/>
      <c r="F34" s="47">
        <v>0.0495</v>
      </c>
      <c r="G34" s="47"/>
      <c r="H34" s="47">
        <v>0.065</v>
      </c>
      <c r="I34" s="49"/>
      <c r="J34" s="47"/>
      <c r="K34" s="30"/>
      <c r="L34" s="49">
        <f>SUMPRODUCT(D34:J34,D32:J32)/L32</f>
        <v>0.04628124233755619</v>
      </c>
      <c r="M34" s="27"/>
      <c r="N34" s="6"/>
    </row>
    <row r="35" spans="1:14" ht="15.75">
      <c r="A35" s="26"/>
      <c r="B35" s="27" t="s">
        <v>23</v>
      </c>
      <c r="C35" s="152"/>
      <c r="D35" s="47">
        <v>0.0381344</v>
      </c>
      <c r="E35" s="48"/>
      <c r="F35" s="47">
        <v>0.0463344</v>
      </c>
      <c r="G35" s="47"/>
      <c r="H35" s="47">
        <v>0.0618344</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38001</v>
      </c>
      <c r="M45" s="31"/>
      <c r="N45" s="6"/>
    </row>
    <row r="46" spans="1:14" ht="15.75">
      <c r="A46" s="26"/>
      <c r="B46" s="27" t="s">
        <v>32</v>
      </c>
      <c r="C46" s="27"/>
      <c r="D46" s="27"/>
      <c r="E46" s="27"/>
      <c r="F46" s="27"/>
      <c r="G46" s="27"/>
      <c r="H46" s="30"/>
      <c r="I46" s="27">
        <f>L46-J46+1</f>
        <v>92</v>
      </c>
      <c r="J46" s="56">
        <v>37817</v>
      </c>
      <c r="K46" s="57"/>
      <c r="L46" s="56">
        <v>37908</v>
      </c>
      <c r="M46" s="27"/>
      <c r="N46" s="6"/>
    </row>
    <row r="47" spans="1:14" ht="15.75">
      <c r="A47" s="26"/>
      <c r="B47" s="27" t="s">
        <v>33</v>
      </c>
      <c r="C47" s="27"/>
      <c r="D47" s="27"/>
      <c r="E47" s="27"/>
      <c r="F47" s="27"/>
      <c r="G47" s="27"/>
      <c r="H47" s="30"/>
      <c r="I47" s="27">
        <f>L47-J47+1</f>
        <v>92</v>
      </c>
      <c r="J47" s="56">
        <v>37909</v>
      </c>
      <c r="K47" s="57"/>
      <c r="L47" s="56">
        <v>38000</v>
      </c>
      <c r="M47" s="27"/>
      <c r="N47" s="6"/>
    </row>
    <row r="48" spans="1:14" ht="15.75">
      <c r="A48" s="26"/>
      <c r="B48" s="27" t="s">
        <v>34</v>
      </c>
      <c r="C48" s="27"/>
      <c r="D48" s="27"/>
      <c r="E48" s="27"/>
      <c r="F48" s="27"/>
      <c r="G48" s="27"/>
      <c r="H48" s="27"/>
      <c r="I48" s="27"/>
      <c r="J48" s="56"/>
      <c r="K48" s="57"/>
      <c r="L48" s="56" t="s">
        <v>196</v>
      </c>
      <c r="M48" s="27"/>
      <c r="N48" s="6"/>
    </row>
    <row r="49" spans="1:14" ht="15.75">
      <c r="A49" s="26"/>
      <c r="B49" s="27" t="s">
        <v>35</v>
      </c>
      <c r="C49" s="27"/>
      <c r="D49" s="27"/>
      <c r="E49" s="27"/>
      <c r="F49" s="27"/>
      <c r="G49" s="27"/>
      <c r="H49" s="27"/>
      <c r="I49" s="27"/>
      <c r="J49" s="56"/>
      <c r="K49" s="57"/>
      <c r="L49" s="56">
        <v>37989</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195</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212098</v>
      </c>
      <c r="E57" s="63"/>
      <c r="F57" s="63">
        <f>125+8709+3+80+1113</f>
        <v>10030</v>
      </c>
      <c r="G57" s="63"/>
      <c r="H57" s="63">
        <v>0</v>
      </c>
      <c r="I57" s="63"/>
      <c r="J57" s="63">
        <v>0</v>
      </c>
      <c r="K57" s="63"/>
      <c r="L57" s="64">
        <f>D57-F57+H57-J57</f>
        <v>202068</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13089</v>
      </c>
      <c r="E60" s="63"/>
      <c r="F60" s="63">
        <v>4661</v>
      </c>
      <c r="G60" s="63"/>
      <c r="H60" s="63">
        <v>1761</v>
      </c>
      <c r="I60" s="63"/>
      <c r="J60" s="63">
        <f>SUM(J57:J59)</f>
        <v>0</v>
      </c>
      <c r="K60" s="63"/>
      <c r="L60" s="64">
        <f>D60-F60+H60-J60</f>
        <v>10189</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83500</v>
      </c>
      <c r="E63" s="63"/>
      <c r="F63" s="63">
        <f>14127+49</f>
        <v>14176</v>
      </c>
      <c r="G63" s="63"/>
      <c r="H63" s="63">
        <f>17250+82</f>
        <v>17332</v>
      </c>
      <c r="I63" s="63"/>
      <c r="J63" s="63">
        <v>0</v>
      </c>
      <c r="K63" s="63"/>
      <c r="L63" s="64">
        <f>D63-F63+H63-J63</f>
        <v>86656</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52182</v>
      </c>
      <c r="E66" s="63"/>
      <c r="F66" s="63">
        <f>7638+153+143</f>
        <v>7934</v>
      </c>
      <c r="G66" s="63"/>
      <c r="H66" s="63">
        <v>830</v>
      </c>
      <c r="I66" s="63"/>
      <c r="J66" s="63">
        <v>0</v>
      </c>
      <c r="K66" s="63"/>
      <c r="L66" s="64">
        <f>D66-F66+H66-J66</f>
        <v>45078</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360869</v>
      </c>
      <c r="E69" s="63"/>
      <c r="F69" s="63">
        <f>SUM(F57:F67)</f>
        <v>36801</v>
      </c>
      <c r="G69" s="63"/>
      <c r="H69" s="63">
        <f>SUM(H57:H67)</f>
        <v>19923</v>
      </c>
      <c r="I69" s="63"/>
      <c r="J69" s="63">
        <f>SUM(J64:J68)</f>
        <v>0</v>
      </c>
      <c r="K69" s="63"/>
      <c r="L69" s="63">
        <f>SUM(L57:L68)</f>
        <v>343991</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-136341</v>
      </c>
      <c r="E71" s="63"/>
      <c r="F71" s="63">
        <v>191</v>
      </c>
      <c r="G71" s="63"/>
      <c r="H71" s="63"/>
      <c r="I71" s="63"/>
      <c r="J71" s="63"/>
      <c r="K71" s="63"/>
      <c r="L71" s="63">
        <f>D71-F71</f>
        <v>-136532</v>
      </c>
      <c r="M71" s="27"/>
      <c r="N71" s="6"/>
    </row>
    <row r="72" spans="1:14" ht="15.75">
      <c r="A72" s="26"/>
      <c r="B72" s="27" t="s">
        <v>45</v>
      </c>
      <c r="C72" s="63">
        <v>0</v>
      </c>
      <c r="D72" s="65">
        <v>20172</v>
      </c>
      <c r="E72" s="63"/>
      <c r="F72" s="63">
        <f>SUM(F69:F71)</f>
        <v>36992</v>
      </c>
      <c r="G72" s="63"/>
      <c r="H72" s="63">
        <f>-H69</f>
        <v>-19923</v>
      </c>
      <c r="I72" s="63"/>
      <c r="J72" s="63"/>
      <c r="K72" s="63"/>
      <c r="L72" s="65">
        <f>D72+F72+H72</f>
        <v>37241</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153"/>
      <c r="I75" s="63"/>
      <c r="J75" s="63"/>
      <c r="K75" s="63"/>
      <c r="L75" s="65">
        <v>0</v>
      </c>
      <c r="M75" s="27"/>
      <c r="N75" s="6"/>
    </row>
    <row r="76" spans="1:14" ht="15.75">
      <c r="A76" s="26"/>
      <c r="B76" s="27" t="s">
        <v>20</v>
      </c>
      <c r="C76" s="65">
        <f>SUM(C69:C75)</f>
        <v>244700</v>
      </c>
      <c r="D76" s="65">
        <f>SUM(D69:D75)</f>
        <v>244700</v>
      </c>
      <c r="E76" s="63"/>
      <c r="F76" s="63">
        <f>F72-F75-F74</f>
        <v>36992</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54015-309-8</f>
        <v>53698</v>
      </c>
      <c r="M79" s="27"/>
      <c r="N79" s="6"/>
    </row>
    <row r="80" spans="1:14" ht="15.75">
      <c r="A80" s="26"/>
      <c r="B80" s="27" t="s">
        <v>51</v>
      </c>
      <c r="C80" s="51"/>
      <c r="D80" s="55"/>
      <c r="E80" s="27"/>
      <c r="F80" s="27"/>
      <c r="G80" s="27"/>
      <c r="H80" s="27"/>
      <c r="I80" s="27"/>
      <c r="J80" s="63"/>
      <c r="K80" s="27"/>
      <c r="L80" s="64">
        <f>476+140+65+1</f>
        <v>682</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53</v>
      </c>
      <c r="C82" s="27"/>
      <c r="D82" s="27"/>
      <c r="E82" s="27"/>
      <c r="F82" s="27"/>
      <c r="G82" s="27"/>
      <c r="H82" s="27"/>
      <c r="I82" s="27"/>
      <c r="J82" s="63"/>
      <c r="K82" s="27"/>
      <c r="L82" s="64">
        <v>0</v>
      </c>
      <c r="M82" s="27"/>
      <c r="N82" s="6"/>
      <c r="O82" s="69"/>
    </row>
    <row r="83" spans="1:15" ht="15.75">
      <c r="A83" s="26"/>
      <c r="B83" s="27" t="s">
        <v>54</v>
      </c>
      <c r="C83" s="27"/>
      <c r="D83" s="27"/>
      <c r="E83" s="27"/>
      <c r="F83" s="27"/>
      <c r="G83" s="27"/>
      <c r="H83" s="27"/>
      <c r="I83" s="27"/>
      <c r="J83" s="63"/>
      <c r="K83" s="27"/>
      <c r="L83" s="64">
        <f>SUM(L79:L82)</f>
        <v>47255</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-773-293</f>
        <v>-1066</v>
      </c>
      <c r="M87" s="27"/>
      <c r="N87" s="6"/>
      <c r="O87" s="69"/>
    </row>
    <row r="88" spans="1:15" ht="15.75">
      <c r="A88" s="26">
        <f t="shared" si="0"/>
        <v>3</v>
      </c>
      <c r="B88" s="27" t="s">
        <v>58</v>
      </c>
      <c r="C88" s="27"/>
      <c r="D88" s="27"/>
      <c r="E88" s="27"/>
      <c r="F88" s="27"/>
      <c r="G88" s="27"/>
      <c r="H88" s="27"/>
      <c r="I88" s="27"/>
      <c r="J88" s="27"/>
      <c r="K88" s="27"/>
      <c r="L88" s="64">
        <v>-693</v>
      </c>
      <c r="M88" s="27"/>
      <c r="N88" s="6"/>
      <c r="O88" s="69"/>
    </row>
    <row r="89" spans="1:15" ht="15.75">
      <c r="A89" s="26">
        <f t="shared" si="0"/>
        <v>4</v>
      </c>
      <c r="B89" s="27" t="s">
        <v>59</v>
      </c>
      <c r="C89" s="27"/>
      <c r="D89" s="27"/>
      <c r="E89" s="27"/>
      <c r="F89" s="27"/>
      <c r="G89" s="27"/>
      <c r="H89" s="27"/>
      <c r="I89" s="27"/>
      <c r="J89" s="27"/>
      <c r="K89" s="27"/>
      <c r="L89" s="64">
        <v>-1525</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-882</v>
      </c>
      <c r="M91" s="27"/>
      <c r="N91" s="6"/>
      <c r="O91" s="69"/>
    </row>
    <row r="92" spans="1:15" ht="15.75">
      <c r="A92" s="26">
        <f t="shared" si="0"/>
        <v>7</v>
      </c>
      <c r="B92" s="27" t="s">
        <v>62</v>
      </c>
      <c r="C92" s="27"/>
      <c r="D92" s="27"/>
      <c r="E92" s="27"/>
      <c r="F92" s="27"/>
      <c r="G92" s="27"/>
      <c r="H92" s="27"/>
      <c r="I92" s="27"/>
      <c r="J92" s="27"/>
      <c r="K92" s="27"/>
      <c r="L92" s="64">
        <v>-440</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37242</v>
      </c>
      <c r="M94" s="27"/>
      <c r="N94" s="6"/>
      <c r="O94" s="69"/>
    </row>
    <row r="95" spans="1:14" ht="15.75">
      <c r="A95" s="26">
        <f t="shared" si="0"/>
        <v>10</v>
      </c>
      <c r="B95" s="27" t="s">
        <v>64</v>
      </c>
      <c r="C95" s="27"/>
      <c r="D95" s="27"/>
      <c r="E95" s="27"/>
      <c r="F95" s="27"/>
      <c r="G95" s="27"/>
      <c r="H95" s="27"/>
      <c r="I95" s="27"/>
      <c r="J95" s="27"/>
      <c r="K95" s="27"/>
      <c r="L95" s="64">
        <f>J193+SUM(L83:L92)+J195-J198</f>
        <v>5398</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DECEMBER 2003</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154"/>
      <c r="H111" s="9"/>
      <c r="I111" s="9"/>
      <c r="J111" s="9"/>
      <c r="K111" s="9"/>
      <c r="L111" s="80"/>
      <c r="M111" s="9"/>
      <c r="N111" s="6"/>
    </row>
    <row r="112" spans="1:14" ht="15.75">
      <c r="A112" s="7"/>
      <c r="B112" s="14"/>
      <c r="C112" s="18" t="s">
        <v>137</v>
      </c>
      <c r="D112" s="18" t="s">
        <v>147</v>
      </c>
      <c r="E112" s="18" t="s">
        <v>153</v>
      </c>
      <c r="F112" s="18" t="s">
        <v>162</v>
      </c>
      <c r="G112" s="154"/>
      <c r="H112" s="154"/>
      <c r="I112" s="9"/>
      <c r="J112" s="9"/>
      <c r="K112" s="9"/>
      <c r="L112" s="80"/>
      <c r="M112" s="9"/>
      <c r="N112" s="6"/>
    </row>
    <row r="113" spans="1:14" ht="15.75">
      <c r="A113" s="26"/>
      <c r="B113" s="27" t="s">
        <v>199</v>
      </c>
      <c r="C113" s="63">
        <f>E176-'Sept 03'!E176</f>
        <v>130</v>
      </c>
      <c r="D113" s="63">
        <f>J176-'Sept 03'!J176</f>
        <v>59</v>
      </c>
      <c r="E113" s="63">
        <f>E186-'Sept 03'!E186</f>
        <v>48</v>
      </c>
      <c r="F113" s="63">
        <f>J186-'Sept 03'!J186</f>
        <v>-46</v>
      </c>
      <c r="G113" s="153"/>
      <c r="H113" s="153"/>
      <c r="I113" s="27"/>
      <c r="J113" s="27"/>
      <c r="K113" s="27"/>
      <c r="L113" s="64">
        <f>SUM(C113:F113)</f>
        <v>191</v>
      </c>
      <c r="M113" s="27"/>
      <c r="N113" s="6"/>
    </row>
    <row r="114" spans="1:14" ht="15.75">
      <c r="A114" s="26"/>
      <c r="B114" s="27" t="s">
        <v>72</v>
      </c>
      <c r="C114" s="27">
        <f>3+80+1112</f>
        <v>1195</v>
      </c>
      <c r="D114" s="27">
        <v>0</v>
      </c>
      <c r="E114" s="27">
        <v>49</v>
      </c>
      <c r="F114" s="27">
        <f>153+143</f>
        <v>296</v>
      </c>
      <c r="G114" s="153"/>
      <c r="H114" s="153"/>
      <c r="I114" s="27"/>
      <c r="J114" s="27"/>
      <c r="K114" s="27"/>
      <c r="L114" s="64">
        <f>SUM(C114:F114)</f>
        <v>1540</v>
      </c>
      <c r="M114" s="27"/>
      <c r="N114" s="6"/>
    </row>
    <row r="115" spans="1:14" ht="15.75">
      <c r="A115" s="26"/>
      <c r="B115" s="27" t="s">
        <v>73</v>
      </c>
      <c r="C115" s="27"/>
      <c r="D115" s="27"/>
      <c r="E115" s="27"/>
      <c r="F115" s="27"/>
      <c r="G115" s="27"/>
      <c r="H115" s="27"/>
      <c r="I115" s="27"/>
      <c r="J115" s="27"/>
      <c r="K115" s="27"/>
      <c r="L115" s="64">
        <f>SUM(L113:L114)</f>
        <v>1731</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343991</v>
      </c>
      <c r="M117" s="27"/>
      <c r="N117" s="6"/>
    </row>
    <row r="118" spans="1:14" ht="15.75">
      <c r="A118" s="26"/>
      <c r="B118" s="27" t="s">
        <v>76</v>
      </c>
      <c r="C118" s="82"/>
      <c r="D118" s="27"/>
      <c r="E118" s="27"/>
      <c r="F118" s="27"/>
      <c r="G118" s="27"/>
      <c r="H118" s="27"/>
      <c r="I118" s="27"/>
      <c r="J118" s="27"/>
      <c r="K118" s="27"/>
      <c r="L118" s="64">
        <f>L72</f>
        <v>37241</v>
      </c>
      <c r="M118" s="27"/>
      <c r="N118" s="6"/>
    </row>
    <row r="119" spans="1:15" ht="15.75">
      <c r="A119" s="26"/>
      <c r="B119" s="27" t="s">
        <v>77</v>
      </c>
      <c r="C119" s="82"/>
      <c r="D119" s="27"/>
      <c r="E119" s="27"/>
      <c r="F119" s="27"/>
      <c r="G119" s="27"/>
      <c r="H119" s="27"/>
      <c r="I119" s="27"/>
      <c r="J119" s="27"/>
      <c r="K119" s="27"/>
      <c r="L119" s="64">
        <f>L118+L117+L74+L75</f>
        <v>381232</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f>+'Sept 03'!H126</f>
        <v>6</v>
      </c>
      <c r="I124" s="27"/>
      <c r="J124" s="84" t="s">
        <v>177</v>
      </c>
      <c r="K124" s="27"/>
      <c r="L124" s="64">
        <f>H124</f>
        <v>6</v>
      </c>
      <c r="M124" s="27"/>
      <c r="N124" s="6"/>
    </row>
    <row r="125" spans="1:14" ht="15.75">
      <c r="A125" s="26"/>
      <c r="B125" s="27" t="s">
        <v>82</v>
      </c>
      <c r="C125" s="27"/>
      <c r="D125" s="27"/>
      <c r="E125" s="27"/>
      <c r="F125" s="27"/>
      <c r="G125" s="27"/>
      <c r="H125" s="64">
        <v>82</v>
      </c>
      <c r="I125" s="27"/>
      <c r="J125" s="84" t="s">
        <v>177</v>
      </c>
      <c r="K125" s="27"/>
      <c r="L125" s="64">
        <f>H125</f>
        <v>82</v>
      </c>
      <c r="M125" s="27"/>
      <c r="N125" s="6"/>
    </row>
    <row r="126" spans="1:14" ht="15.75">
      <c r="A126" s="26"/>
      <c r="B126" s="27" t="s">
        <v>83</v>
      </c>
      <c r="C126" s="27"/>
      <c r="D126" s="27"/>
      <c r="E126" s="27"/>
      <c r="F126" s="27"/>
      <c r="G126" s="27"/>
      <c r="H126" s="64">
        <f>SUM(H124:H125)</f>
        <v>88</v>
      </c>
      <c r="I126" s="27"/>
      <c r="J126" s="84" t="s">
        <v>177</v>
      </c>
      <c r="K126" s="27"/>
      <c r="L126" s="64">
        <f>H126</f>
        <v>88</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37986</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0.1437</v>
      </c>
      <c r="K134" s="27"/>
      <c r="L134" s="27"/>
      <c r="M134" s="27"/>
      <c r="N134" s="6"/>
    </row>
    <row r="135" spans="1:14" ht="15.75">
      <c r="A135" s="87"/>
      <c r="B135" s="88" t="s">
        <v>90</v>
      </c>
      <c r="C135" s="89"/>
      <c r="D135" s="89"/>
      <c r="E135" s="89"/>
      <c r="F135" s="89"/>
      <c r="G135" s="90"/>
      <c r="H135" s="90"/>
      <c r="I135" s="90"/>
      <c r="J135" s="91">
        <f>L34</f>
        <v>0.04628124233755619</v>
      </c>
      <c r="K135" s="27"/>
      <c r="L135" s="27"/>
      <c r="M135" s="27"/>
      <c r="N135" s="6"/>
    </row>
    <row r="136" spans="1:14" ht="15.75">
      <c r="A136" s="87"/>
      <c r="B136" s="88" t="s">
        <v>91</v>
      </c>
      <c r="C136" s="89"/>
      <c r="D136" s="89"/>
      <c r="E136" s="89"/>
      <c r="F136" s="89"/>
      <c r="G136" s="90"/>
      <c r="H136" s="90"/>
      <c r="I136" s="90"/>
      <c r="J136" s="91">
        <f>J134-J135</f>
        <v>0.0974187576624438</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12.87</v>
      </c>
      <c r="K141" s="27"/>
      <c r="L141" s="27"/>
      <c r="M141" s="27"/>
      <c r="N141" s="6"/>
    </row>
    <row r="142" spans="1:14" ht="15.75">
      <c r="A142" s="87"/>
      <c r="B142" s="88" t="s">
        <v>97</v>
      </c>
      <c r="C142" s="89"/>
      <c r="D142" s="89"/>
      <c r="E142" s="89"/>
      <c r="F142" s="89"/>
      <c r="G142" s="90"/>
      <c r="H142" s="90"/>
      <c r="I142" s="90"/>
      <c r="J142" s="91">
        <v>0.0924</v>
      </c>
      <c r="K142" s="27"/>
      <c r="L142" s="27"/>
      <c r="M142" s="27"/>
      <c r="N142" s="6"/>
    </row>
    <row r="143" spans="1:14" ht="15.75">
      <c r="A143" s="87"/>
      <c r="B143" s="88" t="s">
        <v>98</v>
      </c>
      <c r="C143" s="89"/>
      <c r="D143" s="89"/>
      <c r="E143" s="89"/>
      <c r="F143" s="89"/>
      <c r="G143" s="90"/>
      <c r="H143" s="90"/>
      <c r="I143" s="90"/>
      <c r="J143" s="91">
        <v>0.2708</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DECEMBER 2003</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5227</v>
      </c>
      <c r="J148" s="64">
        <v>42219</v>
      </c>
      <c r="K148" s="64"/>
      <c r="L148" s="94"/>
      <c r="M148" s="104"/>
      <c r="N148" s="6"/>
    </row>
    <row r="149" spans="1:14" ht="15.75">
      <c r="A149" s="103"/>
      <c r="B149" s="88" t="s">
        <v>101</v>
      </c>
      <c r="C149" s="65"/>
      <c r="D149" s="65"/>
      <c r="E149" s="65"/>
      <c r="F149" s="27"/>
      <c r="G149" s="27"/>
      <c r="H149" s="27"/>
      <c r="I149" s="27">
        <v>5</v>
      </c>
      <c r="J149" s="64">
        <v>51</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19923</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1731</v>
      </c>
      <c r="K153" s="27"/>
      <c r="L153" s="94"/>
      <c r="M153" s="108"/>
      <c r="N153" s="6"/>
    </row>
    <row r="154" spans="1:14" ht="15.75">
      <c r="A154" s="103"/>
      <c r="B154" s="88" t="s">
        <v>106</v>
      </c>
      <c r="C154" s="65"/>
      <c r="D154" s="65"/>
      <c r="E154" s="65"/>
      <c r="F154" s="65"/>
      <c r="G154" s="27"/>
      <c r="H154" s="27"/>
      <c r="I154" s="27"/>
      <c r="J154" s="64">
        <f>'Sept 03'!J154+J153</f>
        <v>25016</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77</v>
      </c>
      <c r="K164" s="113"/>
      <c r="L164" s="34"/>
      <c r="M164" s="94"/>
      <c r="N164" s="6"/>
    </row>
    <row r="165" spans="1:14" ht="15.75">
      <c r="A165" s="103"/>
      <c r="B165" s="88" t="s">
        <v>110</v>
      </c>
      <c r="C165" s="65"/>
      <c r="D165" s="65"/>
      <c r="E165" s="111"/>
      <c r="F165" s="109"/>
      <c r="G165" s="110"/>
      <c r="H165" s="27"/>
      <c r="I165" s="34"/>
      <c r="J165" s="113">
        <v>2.3</v>
      </c>
      <c r="K165" s="113"/>
      <c r="L165" s="34"/>
      <c r="M165" s="94"/>
      <c r="N165" s="6"/>
    </row>
    <row r="166" spans="1:14" ht="15.75">
      <c r="A166" s="103"/>
      <c r="B166" s="88" t="s">
        <v>115</v>
      </c>
      <c r="C166" s="65"/>
      <c r="D166" s="65"/>
      <c r="E166" s="111"/>
      <c r="F166" s="109"/>
      <c r="G166" s="110"/>
      <c r="H166" s="27"/>
      <c r="I166" s="34"/>
      <c r="J166" s="113">
        <v>35.49</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153"/>
      <c r="D169" s="114" t="s">
        <v>148</v>
      </c>
      <c r="E169" s="115"/>
      <c r="F169" s="116"/>
      <c r="G169" s="115"/>
      <c r="H169" s="114" t="s">
        <v>40</v>
      </c>
      <c r="I169" s="115"/>
      <c r="J169" s="116"/>
      <c r="K169" s="115"/>
      <c r="L169" s="117"/>
      <c r="M169" s="108"/>
      <c r="N169" s="6"/>
    </row>
    <row r="170" spans="1:14" ht="15.75">
      <c r="A170" s="26"/>
      <c r="B170" s="153"/>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v>14103</v>
      </c>
      <c r="D171" s="91">
        <f>C171/$C$175</f>
        <v>0.8710394663702057</v>
      </c>
      <c r="E171" s="118">
        <v>72755</v>
      </c>
      <c r="F171" s="91">
        <f>E171/$E$175</f>
        <v>0.8233929379809869</v>
      </c>
      <c r="G171" s="115"/>
      <c r="H171" s="118">
        <v>11638</v>
      </c>
      <c r="I171" s="91">
        <f>H171/$H$175</f>
        <v>0.9724264705882353</v>
      </c>
      <c r="J171" s="118">
        <v>9523</v>
      </c>
      <c r="K171" s="91">
        <f>J171/$J$175</f>
        <v>0.9587234470955401</v>
      </c>
      <c r="L171" s="117"/>
      <c r="M171" s="108"/>
      <c r="N171" s="6"/>
    </row>
    <row r="172" spans="1:17" ht="15.75">
      <c r="A172" s="26"/>
      <c r="B172" s="65" t="s">
        <v>118</v>
      </c>
      <c r="C172" s="118">
        <v>239</v>
      </c>
      <c r="D172" s="91">
        <f>C172/$C$175</f>
        <v>0.01476128713482799</v>
      </c>
      <c r="E172" s="118">
        <v>1677</v>
      </c>
      <c r="F172" s="91">
        <f>E172/$E$175</f>
        <v>0.0189791760977818</v>
      </c>
      <c r="G172" s="115"/>
      <c r="H172" s="118">
        <v>63</v>
      </c>
      <c r="I172" s="91">
        <f>H172/$H$175</f>
        <v>0.0052640374331550804</v>
      </c>
      <c r="J172" s="118">
        <v>71</v>
      </c>
      <c r="K172" s="91">
        <f>J172/$J$175</f>
        <v>0.0071478908688211015</v>
      </c>
      <c r="L172" s="117"/>
      <c r="M172" s="108"/>
      <c r="N172" s="6"/>
      <c r="Q172" s="69"/>
    </row>
    <row r="173" spans="1:17" ht="15.75">
      <c r="A173" s="26"/>
      <c r="B173" s="65" t="s">
        <v>119</v>
      </c>
      <c r="C173" s="118">
        <v>201</v>
      </c>
      <c r="D173" s="91">
        <f>C173/$C$175</f>
        <v>0.012414304243098017</v>
      </c>
      <c r="E173" s="118">
        <v>1551</v>
      </c>
      <c r="F173" s="91">
        <f>E173/$E$175</f>
        <v>0.017553191489361703</v>
      </c>
      <c r="G173" s="115"/>
      <c r="H173" s="118">
        <v>38</v>
      </c>
      <c r="I173" s="91">
        <f>H173/$H$175</f>
        <v>0.0031751336898395723</v>
      </c>
      <c r="J173" s="118">
        <v>43</v>
      </c>
      <c r="K173" s="91">
        <f>J173/$J$175</f>
        <v>0.004329004329004329</v>
      </c>
      <c r="L173" s="117"/>
      <c r="M173" s="108"/>
      <c r="N173" s="6"/>
      <c r="Q173" s="69"/>
    </row>
    <row r="174" spans="1:17" ht="15.75">
      <c r="A174" s="26"/>
      <c r="B174" s="65" t="s">
        <v>120</v>
      </c>
      <c r="C174" s="118">
        <v>1648</v>
      </c>
      <c r="D174" s="91">
        <f>C174/$C$175</f>
        <v>0.10178494225186832</v>
      </c>
      <c r="E174" s="118">
        <v>12377</v>
      </c>
      <c r="F174" s="91">
        <f>E174/$E$175</f>
        <v>0.14007469443186962</v>
      </c>
      <c r="G174" s="115"/>
      <c r="H174" s="118">
        <v>229</v>
      </c>
      <c r="I174" s="91">
        <f>H174/$H$175</f>
        <v>0.019134358288770054</v>
      </c>
      <c r="J174" s="118">
        <v>296</v>
      </c>
      <c r="K174" s="91">
        <f>J174/$J$175</f>
        <v>0.02979965770663445</v>
      </c>
      <c r="L174" s="117"/>
      <c r="M174" s="108"/>
      <c r="N174" s="6"/>
      <c r="Q174" s="69"/>
    </row>
    <row r="175" spans="1:17" ht="15.75">
      <c r="A175" s="26"/>
      <c r="B175" s="65" t="s">
        <v>121</v>
      </c>
      <c r="C175" s="118">
        <f>SUM(C171:C174)</f>
        <v>16191</v>
      </c>
      <c r="D175" s="91">
        <f>SUM(D171:D174)</f>
        <v>0.9999999999999999</v>
      </c>
      <c r="E175" s="118">
        <f>SUM(E171:E174)</f>
        <v>88360</v>
      </c>
      <c r="F175" s="91">
        <f>SUM(F171:F174)</f>
        <v>1</v>
      </c>
      <c r="G175" s="115"/>
      <c r="H175" s="118">
        <f>SUM(H171:H174)</f>
        <v>11968</v>
      </c>
      <c r="I175" s="91">
        <f>SUM(I171:I174)</f>
        <v>1</v>
      </c>
      <c r="J175" s="118">
        <f>SUM(J171:J174)</f>
        <v>9933</v>
      </c>
      <c r="K175" s="91">
        <f>SUM(K171:K174)</f>
        <v>0.9999999999999999</v>
      </c>
      <c r="L175" s="117"/>
      <c r="M175" s="108"/>
      <c r="N175" s="6"/>
      <c r="Q175" s="69"/>
    </row>
    <row r="176" spans="1:17" ht="15.75">
      <c r="A176" s="26"/>
      <c r="B176" s="65" t="s">
        <v>122</v>
      </c>
      <c r="C176" s="118">
        <v>14096</v>
      </c>
      <c r="D176" s="119"/>
      <c r="E176" s="118">
        <v>113708</v>
      </c>
      <c r="F176" s="119"/>
      <c r="G176" s="115"/>
      <c r="H176" s="118">
        <v>157</v>
      </c>
      <c r="I176" s="119"/>
      <c r="J176" s="118">
        <v>256</v>
      </c>
      <c r="K176" s="119"/>
      <c r="L176" s="117"/>
      <c r="M176" s="108"/>
      <c r="N176" s="6"/>
      <c r="O176" s="69"/>
      <c r="Q176" s="69"/>
    </row>
    <row r="177" spans="1:15" ht="15.75">
      <c r="A177" s="26"/>
      <c r="B177" s="65" t="s">
        <v>123</v>
      </c>
      <c r="C177" s="118">
        <f>SUM(C175:C176)</f>
        <v>30287</v>
      </c>
      <c r="D177" s="153"/>
      <c r="E177" s="118">
        <f>SUM(E175:E176)</f>
        <v>202068</v>
      </c>
      <c r="F177" s="91"/>
      <c r="G177" s="153"/>
      <c r="H177" s="118">
        <f>SUM(H175:H176)</f>
        <v>12125</v>
      </c>
      <c r="I177" s="153"/>
      <c r="J177" s="118">
        <f>SUM(J175:J176)</f>
        <v>10189</v>
      </c>
      <c r="K177" s="153"/>
      <c r="L177" s="153"/>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153"/>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3715</v>
      </c>
      <c r="D181" s="91">
        <f>C181/$C$185</f>
        <v>0.9639335755059678</v>
      </c>
      <c r="E181" s="118">
        <v>83336</v>
      </c>
      <c r="F181" s="91">
        <f>E181/$E$185</f>
        <v>0.9626429479034307</v>
      </c>
      <c r="G181" s="115"/>
      <c r="H181" s="118">
        <v>8843</v>
      </c>
      <c r="I181" s="91">
        <f>H181/$H$185</f>
        <v>0.9840863565546406</v>
      </c>
      <c r="J181" s="118">
        <v>43892</v>
      </c>
      <c r="K181" s="91">
        <f>J181/$J$185</f>
        <v>0.9783563292691082</v>
      </c>
      <c r="L181" s="117"/>
      <c r="M181" s="108"/>
      <c r="N181" s="6"/>
    </row>
    <row r="182" spans="1:14" ht="15.75">
      <c r="A182" s="26"/>
      <c r="B182" s="65" t="s">
        <v>118</v>
      </c>
      <c r="C182" s="118">
        <v>70</v>
      </c>
      <c r="D182" s="91">
        <f>C182/$C$185</f>
        <v>0.01816294758692268</v>
      </c>
      <c r="E182" s="118">
        <v>1714</v>
      </c>
      <c r="F182" s="91">
        <f>E182/$E$185</f>
        <v>0.019799006584267066</v>
      </c>
      <c r="G182" s="115"/>
      <c r="H182" s="118">
        <v>48</v>
      </c>
      <c r="I182" s="91">
        <f>H182/$H$185</f>
        <v>0.005341642555085689</v>
      </c>
      <c r="J182" s="118">
        <v>293</v>
      </c>
      <c r="K182" s="91">
        <f>J182/$J$185</f>
        <v>0.0065309943606089655</v>
      </c>
      <c r="L182" s="117"/>
      <c r="M182" s="108"/>
      <c r="N182" s="6"/>
    </row>
    <row r="183" spans="1:14" ht="15.75">
      <c r="A183" s="26"/>
      <c r="B183" s="65" t="s">
        <v>119</v>
      </c>
      <c r="C183" s="118">
        <v>24</v>
      </c>
      <c r="D183" s="91">
        <f>C183/$C$185</f>
        <v>0.006227296315516347</v>
      </c>
      <c r="E183" s="118">
        <v>628</v>
      </c>
      <c r="F183" s="91">
        <f>E183/$E$185</f>
        <v>0.0072542451195564284</v>
      </c>
      <c r="G183" s="115"/>
      <c r="H183" s="118">
        <v>26</v>
      </c>
      <c r="I183" s="91">
        <f>H183/$H$185</f>
        <v>0.0028933897173380814</v>
      </c>
      <c r="J183" s="118">
        <v>183</v>
      </c>
      <c r="K183" s="91">
        <f>J183/$J$185</f>
        <v>0.004079085214987852</v>
      </c>
      <c r="L183" s="117"/>
      <c r="M183" s="108"/>
      <c r="N183" s="6"/>
    </row>
    <row r="184" spans="1:14" ht="15.75">
      <c r="A184" s="26"/>
      <c r="B184" s="65" t="s">
        <v>120</v>
      </c>
      <c r="C184" s="118">
        <f>15+9+2+5+5+3+2+3+1</f>
        <v>45</v>
      </c>
      <c r="D184" s="91">
        <f>C184/$C$185</f>
        <v>0.01167618059159315</v>
      </c>
      <c r="E184" s="118">
        <f>312+189+15+64+140+103+15+21+33</f>
        <v>892</v>
      </c>
      <c r="F184" s="91">
        <f>E184/$E$185</f>
        <v>0.010303800392745754</v>
      </c>
      <c r="G184" s="115"/>
      <c r="H184" s="118">
        <f>18+10+10+7+5+5+4+5+5</f>
        <v>69</v>
      </c>
      <c r="I184" s="91">
        <f>H184/$H$185</f>
        <v>0.007678611172935678</v>
      </c>
      <c r="J184" s="118">
        <f>96+98+52+54+51+17+51+33+43</f>
        <v>495</v>
      </c>
      <c r="K184" s="91">
        <f>J184/$J$185</f>
        <v>0.01103359115529501</v>
      </c>
      <c r="L184" s="117"/>
      <c r="M184" s="108"/>
      <c r="N184" s="6"/>
    </row>
    <row r="185" spans="1:14" ht="15.75">
      <c r="A185" s="26"/>
      <c r="B185" s="65" t="str">
        <f>B175</f>
        <v>Total Performing  Assets</v>
      </c>
      <c r="C185" s="118">
        <f>SUM(C181:C184)</f>
        <v>3854</v>
      </c>
      <c r="D185" s="91">
        <f>SUM(D181:D184)</f>
        <v>1</v>
      </c>
      <c r="E185" s="118">
        <f>SUM(E181:E184)</f>
        <v>86570</v>
      </c>
      <c r="F185" s="91">
        <f>SUM(F181:F184)</f>
        <v>1</v>
      </c>
      <c r="G185" s="115"/>
      <c r="H185" s="118">
        <f>SUM(H181:H184)</f>
        <v>8986</v>
      </c>
      <c r="I185" s="91">
        <f>SUM(I181:I184)</f>
        <v>1.0000000000000002</v>
      </c>
      <c r="J185" s="118">
        <f>SUM(J181:J184)</f>
        <v>44863</v>
      </c>
      <c r="K185" s="91">
        <f>SUM(K181:K184)</f>
        <v>1.0000000000000002</v>
      </c>
      <c r="L185" s="117"/>
      <c r="M185" s="108"/>
      <c r="N185" s="6"/>
    </row>
    <row r="186" spans="1:14" ht="15.75">
      <c r="A186" s="26"/>
      <c r="B186" s="65" t="s">
        <v>122</v>
      </c>
      <c r="C186" s="118">
        <v>5</v>
      </c>
      <c r="D186" s="121"/>
      <c r="E186" s="118">
        <v>86</v>
      </c>
      <c r="F186" s="119"/>
      <c r="G186" s="115"/>
      <c r="H186" s="118">
        <v>31</v>
      </c>
      <c r="I186" s="121"/>
      <c r="J186" s="118">
        <v>215</v>
      </c>
      <c r="K186" s="121"/>
      <c r="L186" s="117"/>
      <c r="M186" s="108"/>
      <c r="N186" s="6"/>
    </row>
    <row r="187" spans="1:14" ht="15.75">
      <c r="A187" s="26"/>
      <c r="B187" s="65" t="s">
        <v>123</v>
      </c>
      <c r="C187" s="118">
        <f>SUM(C185:C186)</f>
        <v>3859</v>
      </c>
      <c r="D187" s="153"/>
      <c r="E187" s="118">
        <f>SUM(E185:E186)</f>
        <v>86656</v>
      </c>
      <c r="F187" s="120"/>
      <c r="G187" s="153"/>
      <c r="H187" s="118">
        <f>SUM(H185:H186)</f>
        <v>9017</v>
      </c>
      <c r="I187" s="153"/>
      <c r="J187" s="118">
        <f>SUM(J185:J186)</f>
        <v>45078</v>
      </c>
      <c r="K187" s="153"/>
      <c r="L187" s="153"/>
      <c r="M187" s="155"/>
      <c r="N187" s="139"/>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343991</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6"/>
      <c r="J193" s="118">
        <f>+E175+E185+J175+J185</f>
        <v>229726</v>
      </c>
      <c r="K193" s="115"/>
      <c r="L193" s="117"/>
      <c r="M193" s="108"/>
      <c r="N193" s="6"/>
    </row>
    <row r="194" spans="1:15" ht="15.75">
      <c r="A194" s="26"/>
      <c r="B194" s="65" t="s">
        <v>126</v>
      </c>
      <c r="C194" s="115"/>
      <c r="D194" s="116"/>
      <c r="E194" s="115"/>
      <c r="F194" s="116"/>
      <c r="G194" s="115"/>
      <c r="H194" s="116"/>
      <c r="I194" s="115"/>
      <c r="J194" s="118">
        <f>L94</f>
        <v>37242</v>
      </c>
      <c r="K194" s="115"/>
      <c r="L194" s="117"/>
      <c r="M194" s="108"/>
      <c r="N194" s="124"/>
      <c r="O194" s="69"/>
    </row>
    <row r="195" spans="1:14" ht="15.75">
      <c r="A195" s="26"/>
      <c r="B195" s="65" t="s">
        <v>127</v>
      </c>
      <c r="C195" s="115"/>
      <c r="D195" s="116"/>
      <c r="E195" s="115"/>
      <c r="F195" s="116"/>
      <c r="G195" s="115"/>
      <c r="H195" s="116"/>
      <c r="I195" s="115"/>
      <c r="J195" s="118">
        <v>-22268</v>
      </c>
      <c r="K195" s="115"/>
      <c r="L195" s="117"/>
      <c r="M195" s="108"/>
      <c r="N195" s="125"/>
    </row>
    <row r="196" spans="1:15" ht="15.75">
      <c r="A196" s="26"/>
      <c r="B196" s="65" t="s">
        <v>128</v>
      </c>
      <c r="C196" s="115"/>
      <c r="D196" s="116"/>
      <c r="E196" s="115"/>
      <c r="F196" s="116"/>
      <c r="G196" s="115"/>
      <c r="H196" s="116"/>
      <c r="I196" s="115"/>
      <c r="J196" s="118">
        <f>SUM(J193:J195)</f>
        <v>244700</v>
      </c>
      <c r="K196" s="115"/>
      <c r="L196" s="117"/>
      <c r="M196" s="108"/>
      <c r="N196" s="6"/>
      <c r="O196" s="138"/>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DECEMBER 2003</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3" max="0" man="1"/>
  </rowBreaks>
  <drawing r:id="rId1"/>
</worksheet>
</file>

<file path=xl/worksheets/sheet9.xml><?xml version="1.0" encoding="utf-8"?>
<worksheet xmlns="http://schemas.openxmlformats.org/spreadsheetml/2006/main" xmlns:r="http://schemas.openxmlformats.org/officeDocument/2006/relationships">
  <dimension ref="A1:Q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99609375" style="1" customWidth="1"/>
    <col min="4" max="4" width="14.6640625" style="1" customWidth="1"/>
    <col min="5" max="5" width="13.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8.6640625" style="1" customWidth="1"/>
    <col min="12" max="12" width="15.6640625" style="1" customWidth="1"/>
    <col min="13" max="13" width="5.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6" t="s">
        <v>204</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1" t="s">
        <v>1</v>
      </c>
      <c r="C5" s="12"/>
      <c r="D5" s="9"/>
      <c r="E5" s="9"/>
      <c r="F5" s="9"/>
      <c r="G5" s="9"/>
      <c r="H5" s="9"/>
      <c r="I5" s="9"/>
      <c r="J5" s="9"/>
      <c r="K5" s="9"/>
      <c r="L5" s="9"/>
      <c r="M5" s="9"/>
      <c r="N5" s="6"/>
    </row>
    <row r="6" spans="1:14" ht="15.75">
      <c r="A6" s="7"/>
      <c r="B6" s="11" t="s">
        <v>2</v>
      </c>
      <c r="C6" s="12"/>
      <c r="D6" s="9"/>
      <c r="E6" s="9"/>
      <c r="F6" s="9"/>
      <c r="G6" s="9"/>
      <c r="H6" s="9"/>
      <c r="I6" s="9"/>
      <c r="J6" s="9"/>
      <c r="K6" s="9"/>
      <c r="L6" s="9"/>
      <c r="M6" s="9"/>
      <c r="N6" s="6"/>
    </row>
    <row r="7" spans="1:14" ht="15.75">
      <c r="A7" s="7"/>
      <c r="B7" s="11" t="s">
        <v>3</v>
      </c>
      <c r="C7" s="12"/>
      <c r="D7" s="9"/>
      <c r="E7" s="9"/>
      <c r="F7" s="9"/>
      <c r="G7" s="9"/>
      <c r="H7" s="9"/>
      <c r="I7" s="9"/>
      <c r="J7" s="9"/>
      <c r="K7" s="9"/>
      <c r="L7" s="9"/>
      <c r="M7" s="9"/>
      <c r="N7" s="6"/>
    </row>
    <row r="8" spans="1:14" ht="15.75">
      <c r="A8" s="7"/>
      <c r="B8" s="13"/>
      <c r="C8" s="12"/>
      <c r="D8" s="9"/>
      <c r="E8" s="9"/>
      <c r="F8" s="9"/>
      <c r="G8" s="9"/>
      <c r="H8" s="9"/>
      <c r="I8" s="9"/>
      <c r="J8" s="9"/>
      <c r="K8" s="9"/>
      <c r="L8" s="9"/>
      <c r="M8" s="9"/>
      <c r="N8" s="6"/>
    </row>
    <row r="9" spans="1:14" ht="15.75">
      <c r="A9" s="7"/>
      <c r="B9" s="12"/>
      <c r="C9" s="12"/>
      <c r="D9" s="14"/>
      <c r="E9" s="14"/>
      <c r="F9" s="9"/>
      <c r="G9" s="9"/>
      <c r="H9" s="9"/>
      <c r="I9" s="9"/>
      <c r="J9" s="9"/>
      <c r="K9" s="9"/>
      <c r="L9" s="9"/>
      <c r="M9" s="9"/>
      <c r="N9" s="6"/>
    </row>
    <row r="10" spans="1:14" ht="15.75">
      <c r="A10" s="7"/>
      <c r="B10" s="14" t="s">
        <v>4</v>
      </c>
      <c r="C10" s="14"/>
      <c r="D10" s="9"/>
      <c r="E10" s="9"/>
      <c r="F10" s="9"/>
      <c r="G10" s="9"/>
      <c r="H10" s="9"/>
      <c r="I10" s="9"/>
      <c r="J10" s="9"/>
      <c r="K10" s="9"/>
      <c r="L10" s="9"/>
      <c r="M10" s="9"/>
      <c r="N10" s="6"/>
    </row>
    <row r="11" spans="1:14" ht="15.75">
      <c r="A11" s="7"/>
      <c r="B11" s="14"/>
      <c r="C11" s="14"/>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5" t="s">
        <v>5</v>
      </c>
      <c r="C13" s="15"/>
      <c r="D13" s="16"/>
      <c r="E13" s="16"/>
      <c r="F13" s="16"/>
      <c r="G13" s="16"/>
      <c r="H13" s="16"/>
      <c r="I13" s="16"/>
      <c r="J13" s="16"/>
      <c r="K13" s="16"/>
      <c r="L13" s="17" t="s">
        <v>183</v>
      </c>
      <c r="M13" s="9"/>
      <c r="N13" s="6"/>
    </row>
    <row r="14" spans="1:14" ht="15.75">
      <c r="A14" s="7"/>
      <c r="B14" s="15" t="s">
        <v>6</v>
      </c>
      <c r="C14" s="15"/>
      <c r="D14" s="18" t="s">
        <v>137</v>
      </c>
      <c r="E14" s="19">
        <v>0.79</v>
      </c>
      <c r="F14" s="18" t="s">
        <v>147</v>
      </c>
      <c r="G14" s="19">
        <v>0.03</v>
      </c>
      <c r="H14" s="18" t="s">
        <v>153</v>
      </c>
      <c r="I14" s="19">
        <v>0.04</v>
      </c>
      <c r="J14" s="18" t="s">
        <v>162</v>
      </c>
      <c r="K14" s="19">
        <v>0.14</v>
      </c>
      <c r="L14" s="17"/>
      <c r="M14" s="16"/>
      <c r="N14" s="6"/>
    </row>
    <row r="15" spans="1:17" ht="15.75">
      <c r="A15" s="7"/>
      <c r="B15" s="15" t="s">
        <v>7</v>
      </c>
      <c r="C15" s="15"/>
      <c r="D15" s="18" t="s">
        <v>137</v>
      </c>
      <c r="E15" s="19">
        <f>E175/(J193+L94)</f>
        <v>0.29630517515207816</v>
      </c>
      <c r="F15" s="18" t="s">
        <v>147</v>
      </c>
      <c r="G15" s="19">
        <f>J175/(J193+L94)</f>
        <v>0.02459845374726559</v>
      </c>
      <c r="H15" s="18" t="s">
        <v>153</v>
      </c>
      <c r="I15" s="19">
        <f>E185/(J193+L94)</f>
        <v>0.3846416049863654</v>
      </c>
      <c r="J15" s="18" t="s">
        <v>162</v>
      </c>
      <c r="K15" s="19">
        <f>J185/(J193+L94)</f>
        <v>0.1540896287195469</v>
      </c>
      <c r="L15" s="17"/>
      <c r="M15" s="16"/>
      <c r="N15" s="6"/>
      <c r="O15" s="138"/>
      <c r="Q15" s="69"/>
    </row>
    <row r="16" spans="1:14" ht="15.75">
      <c r="A16" s="7"/>
      <c r="B16" s="15" t="s">
        <v>8</v>
      </c>
      <c r="C16" s="15"/>
      <c r="D16" s="16"/>
      <c r="E16" s="16"/>
      <c r="F16" s="16"/>
      <c r="G16" s="16"/>
      <c r="H16" s="16"/>
      <c r="I16" s="16"/>
      <c r="J16" s="16"/>
      <c r="K16" s="16"/>
      <c r="L16" s="18" t="s">
        <v>184</v>
      </c>
      <c r="M16" s="9"/>
      <c r="N16" s="6"/>
    </row>
    <row r="17" spans="1:17" ht="15.75">
      <c r="A17" s="7"/>
      <c r="B17" s="15" t="s">
        <v>9</v>
      </c>
      <c r="C17" s="15"/>
      <c r="D17" s="16"/>
      <c r="E17" s="16"/>
      <c r="F17" s="16"/>
      <c r="G17" s="16"/>
      <c r="H17" s="16"/>
      <c r="I17" s="16"/>
      <c r="J17" s="16"/>
      <c r="K17" s="16"/>
      <c r="L17" s="20">
        <v>38103</v>
      </c>
      <c r="M17" s="9"/>
      <c r="N17" s="6"/>
      <c r="Q17" s="138"/>
    </row>
    <row r="18" spans="1:15" ht="15.75">
      <c r="A18" s="7"/>
      <c r="B18" s="9"/>
      <c r="C18" s="9"/>
      <c r="D18" s="9"/>
      <c r="E18" s="9"/>
      <c r="F18" s="9"/>
      <c r="G18" s="9"/>
      <c r="H18" s="9"/>
      <c r="I18" s="9"/>
      <c r="J18" s="9"/>
      <c r="K18" s="9"/>
      <c r="L18" s="21"/>
      <c r="M18" s="9"/>
      <c r="N18" s="6"/>
      <c r="O18" s="138"/>
    </row>
    <row r="19" spans="1:14" ht="15.75">
      <c r="A19" s="7"/>
      <c r="B19" s="22" t="s">
        <v>10</v>
      </c>
      <c r="C19" s="9"/>
      <c r="D19" s="9"/>
      <c r="E19" s="9"/>
      <c r="F19" s="9"/>
      <c r="G19" s="9"/>
      <c r="H19" s="9"/>
      <c r="I19" s="9"/>
      <c r="J19" s="21"/>
      <c r="K19" s="9"/>
      <c r="L19" s="13"/>
      <c r="M19" s="9"/>
      <c r="N19" s="6"/>
    </row>
    <row r="20" spans="1:14" ht="15.75">
      <c r="A20" s="7"/>
      <c r="B20" s="9"/>
      <c r="C20" s="9"/>
      <c r="D20" s="9"/>
      <c r="E20" s="9"/>
      <c r="F20" s="9"/>
      <c r="G20" s="9"/>
      <c r="H20" s="9"/>
      <c r="I20" s="9"/>
      <c r="J20" s="9"/>
      <c r="K20" s="9"/>
      <c r="L20" s="23"/>
      <c r="M20" s="9"/>
      <c r="N20" s="6"/>
    </row>
    <row r="21" spans="1:14" ht="15.75">
      <c r="A21" s="7"/>
      <c r="B21" s="9"/>
      <c r="C21" s="157" t="s">
        <v>134</v>
      </c>
      <c r="D21" s="159" t="s">
        <v>139</v>
      </c>
      <c r="E21" s="159"/>
      <c r="F21" s="159" t="s">
        <v>155</v>
      </c>
      <c r="G21" s="159"/>
      <c r="H21" s="159" t="s">
        <v>166</v>
      </c>
      <c r="I21" s="159"/>
      <c r="J21" s="25"/>
      <c r="K21" s="13"/>
      <c r="L21" s="13"/>
      <c r="M21" s="9"/>
      <c r="N21" s="6"/>
    </row>
    <row r="22" spans="1:14" ht="15.75">
      <c r="A22" s="26"/>
      <c r="B22" s="27" t="s">
        <v>11</v>
      </c>
      <c r="C22" s="158" t="s">
        <v>135</v>
      </c>
      <c r="D22" s="29" t="s">
        <v>140</v>
      </c>
      <c r="E22" s="29"/>
      <c r="F22" s="29" t="s">
        <v>156</v>
      </c>
      <c r="G22" s="29"/>
      <c r="H22" s="29" t="s">
        <v>167</v>
      </c>
      <c r="I22" s="29"/>
      <c r="J22" s="29"/>
      <c r="K22" s="30"/>
      <c r="L22" s="30"/>
      <c r="M22" s="27"/>
      <c r="N22" s="6"/>
    </row>
    <row r="23" spans="1:14" ht="15.75">
      <c r="A23" s="26"/>
      <c r="B23" s="27" t="s">
        <v>12</v>
      </c>
      <c r="C23" s="28"/>
      <c r="D23" s="29" t="s">
        <v>141</v>
      </c>
      <c r="E23" s="29"/>
      <c r="F23" s="29" t="s">
        <v>157</v>
      </c>
      <c r="G23" s="29"/>
      <c r="H23" s="29" t="s">
        <v>168</v>
      </c>
      <c r="I23" s="29"/>
      <c r="J23" s="29"/>
      <c r="K23" s="30"/>
      <c r="L23" s="30"/>
      <c r="M23" s="27"/>
      <c r="N23" s="6"/>
    </row>
    <row r="24" spans="1:14" ht="15.75">
      <c r="A24" s="26"/>
      <c r="B24" s="27" t="s">
        <v>13</v>
      </c>
      <c r="C24" s="28"/>
      <c r="D24" s="29" t="s">
        <v>141</v>
      </c>
      <c r="E24" s="29"/>
      <c r="F24" s="29" t="s">
        <v>157</v>
      </c>
      <c r="G24" s="29"/>
      <c r="H24" s="29" t="s">
        <v>168</v>
      </c>
      <c r="I24" s="29"/>
      <c r="J24" s="29"/>
      <c r="K24" s="30"/>
      <c r="L24" s="30"/>
      <c r="M24" s="27"/>
      <c r="N24" s="6"/>
    </row>
    <row r="25" spans="1:14" ht="15.75">
      <c r="A25" s="26"/>
      <c r="B25" s="31" t="s">
        <v>14</v>
      </c>
      <c r="C25" s="31"/>
      <c r="D25" s="32" t="s">
        <v>140</v>
      </c>
      <c r="E25" s="29"/>
      <c r="F25" s="32" t="s">
        <v>156</v>
      </c>
      <c r="G25" s="29"/>
      <c r="H25" s="32" t="s">
        <v>167</v>
      </c>
      <c r="I25" s="32"/>
      <c r="J25" s="32"/>
      <c r="K25" s="33"/>
      <c r="L25" s="30"/>
      <c r="M25" s="27"/>
      <c r="N25" s="6"/>
    </row>
    <row r="26" spans="1:14" ht="15.75">
      <c r="A26" s="26"/>
      <c r="B26" s="31" t="s">
        <v>15</v>
      </c>
      <c r="C26" s="31"/>
      <c r="D26" s="32" t="s">
        <v>141</v>
      </c>
      <c r="E26" s="29"/>
      <c r="F26" s="32" t="s">
        <v>157</v>
      </c>
      <c r="G26" s="29"/>
      <c r="H26" s="32" t="s">
        <v>168</v>
      </c>
      <c r="I26" s="32"/>
      <c r="J26" s="32"/>
      <c r="K26" s="33"/>
      <c r="L26" s="30"/>
      <c r="M26" s="27"/>
      <c r="N26" s="6"/>
    </row>
    <row r="27" spans="1:14" ht="15.75">
      <c r="A27" s="26"/>
      <c r="B27" s="31" t="s">
        <v>16</v>
      </c>
      <c r="C27" s="31"/>
      <c r="D27" s="32" t="s">
        <v>141</v>
      </c>
      <c r="E27" s="29"/>
      <c r="F27" s="32" t="s">
        <v>157</v>
      </c>
      <c r="G27" s="29"/>
      <c r="H27" s="32" t="s">
        <v>168</v>
      </c>
      <c r="I27" s="32"/>
      <c r="J27" s="32"/>
      <c r="K27" s="33"/>
      <c r="L27" s="30"/>
      <c r="M27" s="27"/>
      <c r="N27" s="6"/>
    </row>
    <row r="28" spans="1:14" ht="15.75">
      <c r="A28" s="26"/>
      <c r="B28" s="27" t="s">
        <v>17</v>
      </c>
      <c r="C28" s="27"/>
      <c r="D28" s="34" t="s">
        <v>142</v>
      </c>
      <c r="E28" s="29"/>
      <c r="F28" s="34" t="s">
        <v>158</v>
      </c>
      <c r="G28" s="29"/>
      <c r="H28" s="34" t="s">
        <v>169</v>
      </c>
      <c r="I28" s="29"/>
      <c r="J28" s="34"/>
      <c r="K28" s="30"/>
      <c r="L28" s="30"/>
      <c r="M28" s="27"/>
      <c r="N28" s="6"/>
    </row>
    <row r="29" spans="1:14" ht="15.75">
      <c r="A29" s="26"/>
      <c r="B29" s="27"/>
      <c r="C29" s="27"/>
      <c r="D29" s="27"/>
      <c r="E29" s="29"/>
      <c r="F29" s="29"/>
      <c r="G29" s="29"/>
      <c r="H29" s="29"/>
      <c r="I29" s="29"/>
      <c r="J29" s="29"/>
      <c r="K29" s="30"/>
      <c r="L29" s="30"/>
      <c r="M29" s="27"/>
      <c r="N29" s="6"/>
    </row>
    <row r="30" spans="1:14" ht="15.75">
      <c r="A30" s="26"/>
      <c r="B30" s="27" t="s">
        <v>18</v>
      </c>
      <c r="C30" s="27"/>
      <c r="D30" s="35">
        <v>146900</v>
      </c>
      <c r="E30" s="36"/>
      <c r="F30" s="35">
        <v>70900</v>
      </c>
      <c r="G30" s="35"/>
      <c r="H30" s="35">
        <v>26900</v>
      </c>
      <c r="I30" s="35"/>
      <c r="J30" s="35"/>
      <c r="K30" s="37"/>
      <c r="L30" s="35">
        <f>J30+H30+F30+D30</f>
        <v>244700</v>
      </c>
      <c r="M30" s="38"/>
      <c r="N30" s="6"/>
    </row>
    <row r="31" spans="1:14" ht="15.75">
      <c r="A31" s="26"/>
      <c r="B31" s="27" t="s">
        <v>19</v>
      </c>
      <c r="C31" s="39"/>
      <c r="D31" s="35">
        <v>146900</v>
      </c>
      <c r="E31" s="36"/>
      <c r="F31" s="35">
        <v>70900</v>
      </c>
      <c r="G31" s="35"/>
      <c r="H31" s="35">
        <v>26900</v>
      </c>
      <c r="I31" s="40"/>
      <c r="J31" s="35"/>
      <c r="K31" s="37"/>
      <c r="L31" s="35">
        <f>J31+H31+F31+D31</f>
        <v>244700</v>
      </c>
      <c r="M31" s="38"/>
      <c r="N31" s="6"/>
    </row>
    <row r="32" spans="1:14" ht="15.75">
      <c r="A32" s="41"/>
      <c r="B32" s="31" t="s">
        <v>20</v>
      </c>
      <c r="C32" s="42">
        <v>1</v>
      </c>
      <c r="D32" s="43">
        <v>146900</v>
      </c>
      <c r="E32" s="44"/>
      <c r="F32" s="43">
        <v>70900</v>
      </c>
      <c r="G32" s="43"/>
      <c r="H32" s="43">
        <v>26900</v>
      </c>
      <c r="I32" s="43"/>
      <c r="J32" s="43"/>
      <c r="K32" s="45"/>
      <c r="L32" s="43">
        <f>J32+H32+F32+D32</f>
        <v>244700</v>
      </c>
      <c r="M32" s="27"/>
      <c r="N32" s="6"/>
    </row>
    <row r="33" spans="1:14" ht="15.75">
      <c r="A33" s="26"/>
      <c r="B33" s="27" t="s">
        <v>21</v>
      </c>
      <c r="C33" s="152"/>
      <c r="D33" s="34" t="s">
        <v>143</v>
      </c>
      <c r="E33" s="27"/>
      <c r="F33" s="34" t="s">
        <v>159</v>
      </c>
      <c r="G33" s="34"/>
      <c r="H33" s="34" t="s">
        <v>170</v>
      </c>
      <c r="I33" s="34"/>
      <c r="J33" s="34"/>
      <c r="K33" s="30"/>
      <c r="L33" s="30"/>
      <c r="M33" s="27"/>
      <c r="N33" s="6"/>
    </row>
    <row r="34" spans="1:14" ht="15.75">
      <c r="A34" s="26"/>
      <c r="B34" s="27" t="s">
        <v>22</v>
      </c>
      <c r="C34" s="152"/>
      <c r="D34" s="47">
        <v>0.0439625</v>
      </c>
      <c r="E34" s="48"/>
      <c r="F34" s="47">
        <v>0.0521625</v>
      </c>
      <c r="G34" s="47"/>
      <c r="H34" s="47">
        <v>0.0676625</v>
      </c>
      <c r="I34" s="49"/>
      <c r="J34" s="47"/>
      <c r="K34" s="30"/>
      <c r="L34" s="49">
        <f>SUMPRODUCT(D34:J34,D32:J32)/L32</f>
        <v>0.0489437423375562</v>
      </c>
      <c r="M34" s="27"/>
      <c r="N34" s="6"/>
    </row>
    <row r="35" spans="1:14" ht="15.75">
      <c r="A35" s="26"/>
      <c r="B35" s="27" t="s">
        <v>23</v>
      </c>
      <c r="C35" s="152"/>
      <c r="D35" s="47">
        <v>0.0413</v>
      </c>
      <c r="E35" s="48"/>
      <c r="F35" s="47">
        <v>0.0495</v>
      </c>
      <c r="G35" s="47"/>
      <c r="H35" s="47">
        <v>0.065</v>
      </c>
      <c r="I35" s="49"/>
      <c r="J35" s="47"/>
      <c r="K35" s="30"/>
      <c r="L35" s="30"/>
      <c r="M35" s="27"/>
      <c r="N35" s="6"/>
    </row>
    <row r="36" spans="1:14" ht="15.75">
      <c r="A36" s="26"/>
      <c r="B36" s="27" t="s">
        <v>24</v>
      </c>
      <c r="C36" s="152"/>
      <c r="D36" s="34" t="s">
        <v>144</v>
      </c>
      <c r="E36" s="27"/>
      <c r="F36" s="34" t="s">
        <v>144</v>
      </c>
      <c r="G36" s="34"/>
      <c r="H36" s="34" t="s">
        <v>144</v>
      </c>
      <c r="I36" s="34"/>
      <c r="J36" s="34"/>
      <c r="K36" s="30"/>
      <c r="L36" s="30"/>
      <c r="M36" s="27"/>
      <c r="N36" s="6"/>
    </row>
    <row r="37" spans="1:14" ht="15.75">
      <c r="A37" s="26"/>
      <c r="B37" s="27" t="s">
        <v>25</v>
      </c>
      <c r="C37" s="27"/>
      <c r="D37" s="50">
        <v>39462</v>
      </c>
      <c r="E37" s="27"/>
      <c r="F37" s="50">
        <v>39462</v>
      </c>
      <c r="G37" s="50"/>
      <c r="H37" s="50">
        <v>39462</v>
      </c>
      <c r="I37" s="34"/>
      <c r="J37" s="34"/>
      <c r="K37" s="30"/>
      <c r="L37" s="30"/>
      <c r="M37" s="27"/>
      <c r="N37" s="6"/>
    </row>
    <row r="38" spans="1:14" ht="15.75">
      <c r="A38" s="26"/>
      <c r="B38" s="27" t="s">
        <v>26</v>
      </c>
      <c r="C38" s="27"/>
      <c r="D38" s="34" t="s">
        <v>145</v>
      </c>
      <c r="E38" s="27"/>
      <c r="F38" s="34" t="s">
        <v>160</v>
      </c>
      <c r="G38" s="34"/>
      <c r="H38" s="34" t="s">
        <v>171</v>
      </c>
      <c r="I38" s="34"/>
      <c r="J38" s="34"/>
      <c r="K38" s="30"/>
      <c r="L38" s="30"/>
      <c r="M38" s="27"/>
      <c r="N38" s="6"/>
    </row>
    <row r="39" spans="1:14" ht="15.75">
      <c r="A39" s="26"/>
      <c r="B39" s="27"/>
      <c r="C39" s="27"/>
      <c r="D39" s="51"/>
      <c r="E39" s="51"/>
      <c r="F39" s="48"/>
      <c r="G39" s="51"/>
      <c r="H39" s="137"/>
      <c r="I39" s="51"/>
      <c r="J39" s="51"/>
      <c r="K39" s="51"/>
      <c r="L39" s="51"/>
      <c r="M39" s="27"/>
      <c r="N39" s="6"/>
    </row>
    <row r="40" spans="1:14" ht="15.75">
      <c r="A40" s="26"/>
      <c r="B40" s="27" t="s">
        <v>27</v>
      </c>
      <c r="C40" s="27"/>
      <c r="D40" s="27"/>
      <c r="E40" s="27"/>
      <c r="F40" s="48"/>
      <c r="G40" s="27"/>
      <c r="H40" s="48"/>
      <c r="I40" s="27"/>
      <c r="J40" s="27"/>
      <c r="K40" s="27"/>
      <c r="L40" s="49">
        <f>(H30+F30)/(D30)</f>
        <v>0.6657590197413207</v>
      </c>
      <c r="M40" s="27"/>
      <c r="N40" s="6"/>
    </row>
    <row r="41" spans="1:14" ht="15.75">
      <c r="A41" s="26"/>
      <c r="B41" s="27" t="s">
        <v>28</v>
      </c>
      <c r="C41" s="27"/>
      <c r="D41" s="48"/>
      <c r="E41" s="27"/>
      <c r="F41" s="48"/>
      <c r="G41" s="27"/>
      <c r="H41" s="48"/>
      <c r="I41" s="27"/>
      <c r="J41" s="27"/>
      <c r="K41" s="27"/>
      <c r="L41" s="49">
        <f>(H32+F32)/(D32)</f>
        <v>0.6657590197413207</v>
      </c>
      <c r="M41" s="27"/>
      <c r="N41" s="6"/>
    </row>
    <row r="42" spans="1:14" ht="15.75">
      <c r="A42" s="26"/>
      <c r="B42" s="27" t="s">
        <v>29</v>
      </c>
      <c r="C42" s="27"/>
      <c r="D42" s="27"/>
      <c r="E42" s="27"/>
      <c r="F42" s="48"/>
      <c r="G42" s="27"/>
      <c r="H42" s="48"/>
      <c r="I42" s="27"/>
      <c r="J42" s="34" t="s">
        <v>139</v>
      </c>
      <c r="K42" s="34" t="s">
        <v>182</v>
      </c>
      <c r="L42" s="35">
        <v>10956</v>
      </c>
      <c r="M42" s="27"/>
      <c r="N42" s="6"/>
    </row>
    <row r="43" spans="1:14" ht="15.75">
      <c r="A43" s="26"/>
      <c r="B43" s="27"/>
      <c r="C43" s="27"/>
      <c r="D43" s="48"/>
      <c r="E43" s="27"/>
      <c r="F43" s="48"/>
      <c r="G43" s="27"/>
      <c r="H43" s="48"/>
      <c r="I43" s="27"/>
      <c r="J43" s="27" t="s">
        <v>174</v>
      </c>
      <c r="K43" s="27"/>
      <c r="L43" s="52"/>
      <c r="M43" s="27"/>
      <c r="N43" s="6"/>
    </row>
    <row r="44" spans="1:14" ht="15.75">
      <c r="A44" s="26"/>
      <c r="B44" s="27" t="s">
        <v>30</v>
      </c>
      <c r="C44" s="27"/>
      <c r="D44" s="27"/>
      <c r="E44" s="27"/>
      <c r="F44" s="27"/>
      <c r="G44" s="27"/>
      <c r="H44" s="27"/>
      <c r="I44" s="27"/>
      <c r="J44" s="34"/>
      <c r="K44" s="34"/>
      <c r="L44" s="34" t="s">
        <v>185</v>
      </c>
      <c r="M44" s="27"/>
      <c r="N44" s="6"/>
    </row>
    <row r="45" spans="1:14" ht="15.75">
      <c r="A45" s="41"/>
      <c r="B45" s="31" t="s">
        <v>31</v>
      </c>
      <c r="C45" s="31"/>
      <c r="D45" s="31"/>
      <c r="E45" s="31"/>
      <c r="F45" s="31"/>
      <c r="G45" s="31"/>
      <c r="H45" s="31"/>
      <c r="I45" s="31"/>
      <c r="J45" s="53"/>
      <c r="K45" s="53"/>
      <c r="L45" s="54">
        <v>38092</v>
      </c>
      <c r="M45" s="31"/>
      <c r="N45" s="6"/>
    </row>
    <row r="46" spans="1:14" ht="15.75">
      <c r="A46" s="26"/>
      <c r="B46" s="27" t="s">
        <v>32</v>
      </c>
      <c r="C46" s="27"/>
      <c r="D46" s="27"/>
      <c r="E46" s="27"/>
      <c r="F46" s="27"/>
      <c r="G46" s="27"/>
      <c r="H46" s="30"/>
      <c r="I46" s="27">
        <f>L46-J46+1</f>
        <v>92</v>
      </c>
      <c r="J46" s="56">
        <v>37909</v>
      </c>
      <c r="K46" s="57"/>
      <c r="L46" s="56">
        <v>38000</v>
      </c>
      <c r="M46" s="27"/>
      <c r="N46" s="6"/>
    </row>
    <row r="47" spans="1:14" ht="15.75">
      <c r="A47" s="26"/>
      <c r="B47" s="27" t="s">
        <v>33</v>
      </c>
      <c r="C47" s="27"/>
      <c r="D47" s="27"/>
      <c r="E47" s="27"/>
      <c r="F47" s="27"/>
      <c r="G47" s="27"/>
      <c r="H47" s="30"/>
      <c r="I47" s="27">
        <f>L47-J47+1</f>
        <v>91</v>
      </c>
      <c r="J47" s="56">
        <v>38001</v>
      </c>
      <c r="K47" s="57"/>
      <c r="L47" s="56">
        <v>38091</v>
      </c>
      <c r="M47" s="27"/>
      <c r="N47" s="6"/>
    </row>
    <row r="48" spans="1:14" ht="15.75">
      <c r="A48" s="26"/>
      <c r="B48" s="27" t="s">
        <v>34</v>
      </c>
      <c r="C48" s="27"/>
      <c r="D48" s="27"/>
      <c r="E48" s="27"/>
      <c r="F48" s="27"/>
      <c r="G48" s="27"/>
      <c r="H48" s="27"/>
      <c r="I48" s="27"/>
      <c r="J48" s="56"/>
      <c r="K48" s="57"/>
      <c r="L48" s="56" t="s">
        <v>196</v>
      </c>
      <c r="M48" s="27"/>
      <c r="N48" s="6"/>
    </row>
    <row r="49" spans="1:14" ht="15.75">
      <c r="A49" s="26"/>
      <c r="B49" s="27" t="s">
        <v>35</v>
      </c>
      <c r="C49" s="27"/>
      <c r="D49" s="27"/>
      <c r="E49" s="27"/>
      <c r="F49" s="27"/>
      <c r="G49" s="27"/>
      <c r="H49" s="27"/>
      <c r="I49" s="27"/>
      <c r="J49" s="56"/>
      <c r="K49" s="57"/>
      <c r="L49" s="56">
        <v>38079</v>
      </c>
      <c r="M49" s="27"/>
      <c r="N49" s="6"/>
    </row>
    <row r="50" spans="1:14" ht="15.75">
      <c r="A50" s="26"/>
      <c r="B50" s="27"/>
      <c r="C50" s="27"/>
      <c r="D50" s="27"/>
      <c r="E50" s="27"/>
      <c r="F50" s="27"/>
      <c r="G50" s="27"/>
      <c r="H50" s="27"/>
      <c r="I50" s="27"/>
      <c r="J50" s="27"/>
      <c r="K50" s="27"/>
      <c r="L50" s="58"/>
      <c r="M50" s="27"/>
      <c r="N50" s="6"/>
    </row>
    <row r="51" spans="1:14" ht="15.75">
      <c r="A51" s="7"/>
      <c r="B51" s="9"/>
      <c r="C51" s="9"/>
      <c r="D51" s="9"/>
      <c r="E51" s="9"/>
      <c r="F51" s="9"/>
      <c r="G51" s="9"/>
      <c r="H51" s="9"/>
      <c r="I51" s="9"/>
      <c r="J51" s="9"/>
      <c r="K51" s="9"/>
      <c r="L51" s="59"/>
      <c r="M51" s="9"/>
      <c r="N51" s="6"/>
    </row>
    <row r="52" spans="1:14" ht="16.5" thickBot="1">
      <c r="A52" s="141"/>
      <c r="B52" s="142" t="s">
        <v>197</v>
      </c>
      <c r="C52" s="143"/>
      <c r="D52" s="143"/>
      <c r="E52" s="143"/>
      <c r="F52" s="143"/>
      <c r="G52" s="143"/>
      <c r="H52" s="143"/>
      <c r="I52" s="143"/>
      <c r="J52" s="143"/>
      <c r="K52" s="143"/>
      <c r="L52" s="144"/>
      <c r="M52" s="145"/>
      <c r="N52" s="6"/>
    </row>
    <row r="53" spans="1:14" ht="15.75">
      <c r="A53" s="2"/>
      <c r="B53" s="5"/>
      <c r="C53" s="5"/>
      <c r="D53" s="5"/>
      <c r="E53" s="5"/>
      <c r="F53" s="5"/>
      <c r="G53" s="5"/>
      <c r="H53" s="5"/>
      <c r="I53" s="5"/>
      <c r="J53" s="5"/>
      <c r="K53" s="5"/>
      <c r="L53" s="60"/>
      <c r="M53" s="5"/>
      <c r="N53" s="6"/>
    </row>
    <row r="54" spans="1:14" ht="15.75">
      <c r="A54" s="7"/>
      <c r="B54" s="61" t="s">
        <v>37</v>
      </c>
      <c r="C54" s="14"/>
      <c r="D54" s="9"/>
      <c r="E54" s="9"/>
      <c r="F54" s="9"/>
      <c r="G54" s="9"/>
      <c r="H54" s="9"/>
      <c r="I54" s="9"/>
      <c r="J54" s="9"/>
      <c r="K54" s="9"/>
      <c r="L54" s="62"/>
      <c r="M54" s="9"/>
      <c r="N54" s="6"/>
    </row>
    <row r="55" spans="1:14" ht="15.75">
      <c r="A55" s="7"/>
      <c r="B55" s="14"/>
      <c r="C55" s="14"/>
      <c r="D55" s="9"/>
      <c r="E55" s="9"/>
      <c r="F55" s="9"/>
      <c r="G55" s="9"/>
      <c r="H55" s="9"/>
      <c r="I55" s="9"/>
      <c r="J55" s="9"/>
      <c r="K55" s="9"/>
      <c r="L55" s="62"/>
      <c r="M55" s="9"/>
      <c r="N55" s="6"/>
    </row>
    <row r="56" spans="1:14" s="166" customFormat="1" ht="47.25">
      <c r="A56" s="160"/>
      <c r="B56" s="161"/>
      <c r="C56" s="162" t="s">
        <v>136</v>
      </c>
      <c r="D56" s="162" t="s">
        <v>146</v>
      </c>
      <c r="E56" s="162"/>
      <c r="F56" s="162" t="s">
        <v>161</v>
      </c>
      <c r="G56" s="162"/>
      <c r="H56" s="162" t="s">
        <v>172</v>
      </c>
      <c r="I56" s="162"/>
      <c r="J56" s="162" t="s">
        <v>175</v>
      </c>
      <c r="K56" s="162"/>
      <c r="L56" s="163" t="s">
        <v>187</v>
      </c>
      <c r="M56" s="164"/>
      <c r="N56" s="165"/>
    </row>
    <row r="57" spans="1:14" ht="15.75">
      <c r="A57" s="26"/>
      <c r="B57" s="27" t="s">
        <v>38</v>
      </c>
      <c r="C57" s="63">
        <f>319111+6050</f>
        <v>325161</v>
      </c>
      <c r="D57" s="63">
        <v>202068</v>
      </c>
      <c r="E57" s="63"/>
      <c r="F57" s="63">
        <f>144+7716+274+5048+6</f>
        <v>13188</v>
      </c>
      <c r="G57" s="63"/>
      <c r="H57" s="63">
        <v>0</v>
      </c>
      <c r="I57" s="63"/>
      <c r="J57" s="63">
        <v>0</v>
      </c>
      <c r="K57" s="63"/>
      <c r="L57" s="64">
        <f>D57-F57+H57-J57</f>
        <v>188880</v>
      </c>
      <c r="M57" s="27"/>
      <c r="N57" s="6"/>
    </row>
    <row r="58" spans="1:14" ht="15.75">
      <c r="A58" s="26"/>
      <c r="B58" s="27" t="s">
        <v>39</v>
      </c>
      <c r="C58" s="63"/>
      <c r="D58" s="63"/>
      <c r="E58" s="63"/>
      <c r="F58" s="63"/>
      <c r="G58" s="63"/>
      <c r="H58" s="63">
        <v>0</v>
      </c>
      <c r="I58" s="63"/>
      <c r="J58" s="63">
        <v>0</v>
      </c>
      <c r="K58" s="63"/>
      <c r="L58" s="64">
        <f>D58-F58</f>
        <v>0</v>
      </c>
      <c r="M58" s="27"/>
      <c r="N58" s="6"/>
    </row>
    <row r="59" spans="1:14" ht="15.75">
      <c r="A59" s="26"/>
      <c r="B59" s="27"/>
      <c r="C59" s="63"/>
      <c r="D59" s="63"/>
      <c r="E59" s="63"/>
      <c r="F59" s="63"/>
      <c r="G59" s="63"/>
      <c r="H59" s="63"/>
      <c r="I59" s="63"/>
      <c r="J59" s="63"/>
      <c r="K59" s="63"/>
      <c r="L59" s="64"/>
      <c r="M59" s="27"/>
      <c r="N59" s="6"/>
    </row>
    <row r="60" spans="1:14" ht="15.75">
      <c r="A60" s="26"/>
      <c r="B60" s="27" t="s">
        <v>40</v>
      </c>
      <c r="C60" s="63">
        <v>8879</v>
      </c>
      <c r="D60" s="63">
        <v>10189</v>
      </c>
      <c r="E60" s="63"/>
      <c r="F60" s="63">
        <f>3337-8</f>
        <v>3329</v>
      </c>
      <c r="G60" s="63"/>
      <c r="H60" s="63">
        <v>0</v>
      </c>
      <c r="I60" s="63"/>
      <c r="J60" s="63">
        <f>SUM(J57:J59)</f>
        <v>0</v>
      </c>
      <c r="K60" s="63"/>
      <c r="L60" s="64">
        <f>D60-F60+H60-J60</f>
        <v>6860</v>
      </c>
      <c r="M60" s="27"/>
      <c r="N60" s="6"/>
    </row>
    <row r="61" spans="1:14" ht="15.75">
      <c r="A61" s="26"/>
      <c r="B61" s="27" t="s">
        <v>39</v>
      </c>
      <c r="C61" s="63"/>
      <c r="D61" s="63"/>
      <c r="E61" s="63"/>
      <c r="F61" s="63"/>
      <c r="G61" s="63"/>
      <c r="H61" s="63">
        <v>0</v>
      </c>
      <c r="I61" s="63"/>
      <c r="J61" s="63">
        <v>0</v>
      </c>
      <c r="K61" s="63"/>
      <c r="L61" s="65"/>
      <c r="M61" s="27"/>
      <c r="N61" s="6"/>
    </row>
    <row r="62" spans="1:14" ht="15.75">
      <c r="A62" s="26"/>
      <c r="B62" s="66"/>
      <c r="C62" s="63"/>
      <c r="D62" s="63"/>
      <c r="E62" s="63"/>
      <c r="F62" s="67"/>
      <c r="G62" s="63"/>
      <c r="H62" s="63"/>
      <c r="I62" s="63"/>
      <c r="J62" s="63"/>
      <c r="K62" s="63"/>
      <c r="L62" s="65"/>
      <c r="M62" s="27"/>
      <c r="N62" s="6"/>
    </row>
    <row r="63" spans="1:14" ht="15.75">
      <c r="A63" s="26"/>
      <c r="B63" s="27" t="s">
        <v>41</v>
      </c>
      <c r="C63" s="63">
        <v>9589</v>
      </c>
      <c r="D63" s="63">
        <v>86656</v>
      </c>
      <c r="E63" s="63"/>
      <c r="F63" s="63">
        <f>13001+46+9</f>
        <v>13056</v>
      </c>
      <c r="G63" s="63"/>
      <c r="H63" s="63">
        <f>29001+169</f>
        <v>29170</v>
      </c>
      <c r="I63" s="63"/>
      <c r="J63" s="63">
        <v>0</v>
      </c>
      <c r="K63" s="63"/>
      <c r="L63" s="64">
        <f>D63-F63+H63-J63</f>
        <v>102770</v>
      </c>
      <c r="M63" s="27"/>
      <c r="N63" s="6"/>
    </row>
    <row r="64" spans="1:14" ht="15.75">
      <c r="A64" s="26"/>
      <c r="B64" s="27" t="s">
        <v>39</v>
      </c>
      <c r="C64" s="63"/>
      <c r="D64" s="64"/>
      <c r="E64" s="63"/>
      <c r="F64" s="63"/>
      <c r="G64" s="63"/>
      <c r="H64" s="63">
        <v>0</v>
      </c>
      <c r="I64" s="63"/>
      <c r="J64" s="63">
        <v>0</v>
      </c>
      <c r="K64" s="63"/>
      <c r="L64" s="64">
        <f>D64-F64+H64-J64</f>
        <v>0</v>
      </c>
      <c r="M64" s="27"/>
      <c r="N64" s="6"/>
    </row>
    <row r="65" spans="1:14" ht="15.75">
      <c r="A65" s="26"/>
      <c r="B65" s="27"/>
      <c r="C65" s="63"/>
      <c r="D65" s="64"/>
      <c r="E65" s="63"/>
      <c r="F65" s="63"/>
      <c r="G65" s="63"/>
      <c r="H65" s="63"/>
      <c r="I65" s="63"/>
      <c r="J65" s="63"/>
      <c r="K65" s="63"/>
      <c r="L65" s="64"/>
      <c r="M65" s="27"/>
      <c r="N65" s="6"/>
    </row>
    <row r="66" spans="1:14" ht="15.75">
      <c r="A66" s="26"/>
      <c r="B66" s="27" t="s">
        <v>42</v>
      </c>
      <c r="C66" s="63">
        <v>38688</v>
      </c>
      <c r="D66" s="64">
        <v>45078</v>
      </c>
      <c r="E66" s="63"/>
      <c r="F66" s="63">
        <f>7275+160+156</f>
        <v>7591</v>
      </c>
      <c r="G66" s="63"/>
      <c r="H66" s="63">
        <v>3923</v>
      </c>
      <c r="I66" s="63"/>
      <c r="J66" s="63">
        <v>0</v>
      </c>
      <c r="K66" s="63"/>
      <c r="L66" s="64">
        <f>D66-F66+H66-J66</f>
        <v>41410</v>
      </c>
      <c r="M66" s="27"/>
      <c r="N66" s="6"/>
    </row>
    <row r="67" spans="1:14" ht="15.75">
      <c r="A67" s="26"/>
      <c r="B67" s="27" t="s">
        <v>39</v>
      </c>
      <c r="C67" s="63"/>
      <c r="D67" s="64"/>
      <c r="E67" s="63"/>
      <c r="F67" s="63"/>
      <c r="G67" s="63"/>
      <c r="H67" s="63">
        <v>0</v>
      </c>
      <c r="I67" s="63"/>
      <c r="J67" s="63">
        <v>0</v>
      </c>
      <c r="K67" s="63"/>
      <c r="L67" s="64"/>
      <c r="M67" s="27"/>
      <c r="N67" s="6"/>
    </row>
    <row r="68" spans="1:14" ht="15.75">
      <c r="A68" s="26"/>
      <c r="B68" s="63"/>
      <c r="C68" s="63"/>
      <c r="D68" s="64"/>
      <c r="E68" s="63"/>
      <c r="F68" s="63"/>
      <c r="G68" s="63"/>
      <c r="H68" s="63"/>
      <c r="I68" s="63"/>
      <c r="J68" s="63"/>
      <c r="K68" s="63"/>
      <c r="L68" s="64"/>
      <c r="M68" s="27"/>
      <c r="N68" s="6"/>
    </row>
    <row r="69" spans="1:15" ht="15.75">
      <c r="A69" s="26"/>
      <c r="B69" s="27" t="s">
        <v>43</v>
      </c>
      <c r="C69" s="63">
        <f>SUM(C57:C67)</f>
        <v>382317</v>
      </c>
      <c r="D69" s="63">
        <f>SUM(D57:D68)</f>
        <v>343991</v>
      </c>
      <c r="E69" s="63"/>
      <c r="F69" s="63">
        <f>SUM(F57:F67)</f>
        <v>37164</v>
      </c>
      <c r="G69" s="63"/>
      <c r="H69" s="63">
        <f>SUM(H57:H67)</f>
        <v>33093</v>
      </c>
      <c r="I69" s="63"/>
      <c r="J69" s="63">
        <f>SUM(J64:J68)</f>
        <v>0</v>
      </c>
      <c r="K69" s="63"/>
      <c r="L69" s="63">
        <f>SUM(L57:L68)</f>
        <v>339920</v>
      </c>
      <c r="M69" s="27"/>
      <c r="N69" s="6"/>
      <c r="O69" s="69"/>
    </row>
    <row r="70" spans="1:14" ht="15.75">
      <c r="A70" s="26"/>
      <c r="B70" s="27"/>
      <c r="C70" s="63"/>
      <c r="D70" s="65"/>
      <c r="E70" s="63"/>
      <c r="F70" s="63"/>
      <c r="G70" s="63"/>
      <c r="H70" s="63"/>
      <c r="I70" s="63"/>
      <c r="J70" s="63"/>
      <c r="K70" s="63"/>
      <c r="L70" s="65"/>
      <c r="M70" s="27"/>
      <c r="N70" s="6"/>
    </row>
    <row r="71" spans="1:14" ht="15.75">
      <c r="A71" s="26"/>
      <c r="B71" s="27" t="s">
        <v>44</v>
      </c>
      <c r="C71" s="63">
        <f>-C69+L32</f>
        <v>-137617</v>
      </c>
      <c r="D71" s="63">
        <v>-136532</v>
      </c>
      <c r="E71" s="63"/>
      <c r="F71" s="63">
        <v>-3838</v>
      </c>
      <c r="G71" s="63"/>
      <c r="H71" s="63"/>
      <c r="I71" s="63"/>
      <c r="J71" s="63"/>
      <c r="K71" s="63"/>
      <c r="L71" s="63">
        <f>D71-F71</f>
        <v>-132694</v>
      </c>
      <c r="M71" s="27"/>
      <c r="N71" s="6"/>
    </row>
    <row r="72" spans="1:14" ht="15.75">
      <c r="A72" s="26"/>
      <c r="B72" s="27" t="s">
        <v>45</v>
      </c>
      <c r="C72" s="63">
        <v>0</v>
      </c>
      <c r="D72" s="65">
        <v>37241</v>
      </c>
      <c r="E72" s="63"/>
      <c r="F72" s="63">
        <f>SUM(F69:F71)</f>
        <v>33326</v>
      </c>
      <c r="G72" s="63"/>
      <c r="H72" s="63">
        <f>-H69</f>
        <v>-33093</v>
      </c>
      <c r="I72" s="63"/>
      <c r="J72" s="63"/>
      <c r="K72" s="63"/>
      <c r="L72" s="65">
        <f>D72+F72+H72</f>
        <v>37474</v>
      </c>
      <c r="M72" s="27"/>
      <c r="N72" s="6"/>
    </row>
    <row r="73" spans="1:14" ht="15.75">
      <c r="A73" s="26"/>
      <c r="B73" s="27" t="s">
        <v>46</v>
      </c>
      <c r="C73" s="63">
        <v>0</v>
      </c>
      <c r="D73" s="65">
        <v>0</v>
      </c>
      <c r="E73" s="63"/>
      <c r="F73" s="63"/>
      <c r="G73" s="63"/>
      <c r="H73" s="63">
        <v>0</v>
      </c>
      <c r="I73" s="63"/>
      <c r="J73" s="63"/>
      <c r="K73" s="63"/>
      <c r="L73" s="65">
        <f>H73+D73</f>
        <v>0</v>
      </c>
      <c r="M73" s="27"/>
      <c r="N73" s="6"/>
    </row>
    <row r="74" spans="1:14" ht="15.75">
      <c r="A74" s="26"/>
      <c r="B74" s="27" t="s">
        <v>47</v>
      </c>
      <c r="C74" s="63">
        <v>0</v>
      </c>
      <c r="D74" s="65">
        <v>0</v>
      </c>
      <c r="E74" s="63"/>
      <c r="F74" s="63">
        <v>0</v>
      </c>
      <c r="G74" s="63"/>
      <c r="H74" s="63"/>
      <c r="I74" s="63"/>
      <c r="J74" s="63"/>
      <c r="K74" s="63"/>
      <c r="L74" s="65">
        <f>D74+F74+H74</f>
        <v>0</v>
      </c>
      <c r="M74" s="27"/>
      <c r="N74" s="6"/>
    </row>
    <row r="75" spans="1:14" ht="15.75">
      <c r="A75" s="26"/>
      <c r="B75" s="27" t="s">
        <v>48</v>
      </c>
      <c r="C75" s="63">
        <v>0</v>
      </c>
      <c r="D75" s="65">
        <v>0</v>
      </c>
      <c r="E75" s="63"/>
      <c r="F75" s="63"/>
      <c r="G75" s="63"/>
      <c r="H75" s="153"/>
      <c r="I75" s="63"/>
      <c r="J75" s="63"/>
      <c r="K75" s="63"/>
      <c r="L75" s="65">
        <v>0</v>
      </c>
      <c r="M75" s="27"/>
      <c r="N75" s="6"/>
    </row>
    <row r="76" spans="1:14" ht="15.75">
      <c r="A76" s="26"/>
      <c r="B76" s="27" t="s">
        <v>20</v>
      </c>
      <c r="C76" s="65">
        <f>SUM(C69:C75)</f>
        <v>244700</v>
      </c>
      <c r="D76" s="65">
        <f>SUM(D69:D75)</f>
        <v>244700</v>
      </c>
      <c r="E76" s="63"/>
      <c r="F76" s="63">
        <f>F72-F75-F74</f>
        <v>33326</v>
      </c>
      <c r="G76" s="63"/>
      <c r="H76" s="63"/>
      <c r="I76" s="63"/>
      <c r="J76" s="63"/>
      <c r="K76" s="63"/>
      <c r="L76" s="65">
        <f>SUM(L69:L75)</f>
        <v>244700</v>
      </c>
      <c r="M76" s="27"/>
      <c r="N76" s="6"/>
    </row>
    <row r="77" spans="1:14" ht="15.75">
      <c r="A77" s="26"/>
      <c r="B77" s="63"/>
      <c r="C77" s="27"/>
      <c r="D77" s="27"/>
      <c r="E77" s="27"/>
      <c r="F77" s="27"/>
      <c r="G77" s="27"/>
      <c r="H77" s="27"/>
      <c r="I77" s="27"/>
      <c r="J77" s="34"/>
      <c r="K77" s="27"/>
      <c r="L77" s="34"/>
      <c r="M77" s="27"/>
      <c r="N77" s="6"/>
    </row>
    <row r="78" spans="1:14" ht="15.75">
      <c r="A78" s="7"/>
      <c r="B78" s="61" t="s">
        <v>49</v>
      </c>
      <c r="C78" s="15"/>
      <c r="D78" s="15"/>
      <c r="E78" s="15"/>
      <c r="F78" s="15"/>
      <c r="G78" s="15"/>
      <c r="H78" s="15"/>
      <c r="I78" s="18"/>
      <c r="J78" s="18"/>
      <c r="K78" s="18"/>
      <c r="L78" s="18" t="s">
        <v>188</v>
      </c>
      <c r="M78" s="15"/>
      <c r="N78" s="6"/>
    </row>
    <row r="79" spans="1:14" ht="15.75">
      <c r="A79" s="26"/>
      <c r="B79" s="27" t="s">
        <v>50</v>
      </c>
      <c r="C79" s="27"/>
      <c r="D79" s="27"/>
      <c r="E79" s="27"/>
      <c r="F79" s="27"/>
      <c r="G79" s="27"/>
      <c r="H79" s="27"/>
      <c r="I79" s="27"/>
      <c r="J79" s="63"/>
      <c r="K79" s="27"/>
      <c r="L79" s="64">
        <f>53462-277-15</f>
        <v>53170</v>
      </c>
      <c r="M79" s="27"/>
      <c r="N79" s="6"/>
    </row>
    <row r="80" spans="1:14" ht="15.75">
      <c r="A80" s="26"/>
      <c r="B80" s="27" t="s">
        <v>51</v>
      </c>
      <c r="C80" s="51"/>
      <c r="D80" s="55"/>
      <c r="E80" s="27"/>
      <c r="F80" s="27"/>
      <c r="G80" s="27"/>
      <c r="H80" s="27"/>
      <c r="I80" s="27"/>
      <c r="J80" s="63"/>
      <c r="K80" s="27"/>
      <c r="L80" s="64">
        <f>562+175+69+1</f>
        <v>807</v>
      </c>
      <c r="M80" s="27"/>
      <c r="N80" s="6"/>
    </row>
    <row r="81" spans="1:15" ht="15.75">
      <c r="A81" s="26"/>
      <c r="B81" s="27" t="s">
        <v>52</v>
      </c>
      <c r="C81" s="51"/>
      <c r="D81" s="55"/>
      <c r="E81" s="27"/>
      <c r="F81" s="27"/>
      <c r="G81" s="27"/>
      <c r="H81" s="27"/>
      <c r="I81" s="27"/>
      <c r="J81" s="63"/>
      <c r="K81" s="27"/>
      <c r="L81" s="64">
        <v>-7125</v>
      </c>
      <c r="M81" s="27"/>
      <c r="N81" s="6"/>
      <c r="O81" s="69"/>
    </row>
    <row r="82" spans="1:15" ht="15.75">
      <c r="A82" s="26"/>
      <c r="B82" s="27" t="s">
        <v>198</v>
      </c>
      <c r="C82" s="27"/>
      <c r="D82" s="27"/>
      <c r="E82" s="27"/>
      <c r="F82" s="27"/>
      <c r="G82" s="27"/>
      <c r="H82" s="27"/>
      <c r="I82" s="27"/>
      <c r="J82" s="63"/>
      <c r="K82" s="27"/>
      <c r="L82" s="64">
        <v>38</v>
      </c>
      <c r="M82" s="27"/>
      <c r="N82" s="6"/>
      <c r="O82" s="69"/>
    </row>
    <row r="83" spans="1:15" ht="15.75">
      <c r="A83" s="26"/>
      <c r="B83" s="27" t="s">
        <v>54</v>
      </c>
      <c r="C83" s="27"/>
      <c r="D83" s="27"/>
      <c r="E83" s="27"/>
      <c r="F83" s="27"/>
      <c r="G83" s="27"/>
      <c r="H83" s="27"/>
      <c r="I83" s="27"/>
      <c r="J83" s="63"/>
      <c r="K83" s="27"/>
      <c r="L83" s="64">
        <f>SUM(L79:L82)</f>
        <v>46890</v>
      </c>
      <c r="M83" s="27"/>
      <c r="N83" s="6"/>
      <c r="O83" s="69"/>
    </row>
    <row r="84" spans="1:14" ht="15.75">
      <c r="A84" s="26"/>
      <c r="B84" s="27"/>
      <c r="C84" s="27"/>
      <c r="D84" s="27"/>
      <c r="E84" s="27"/>
      <c r="F84" s="27"/>
      <c r="G84" s="27"/>
      <c r="H84" s="27"/>
      <c r="I84" s="27"/>
      <c r="J84" s="63"/>
      <c r="K84" s="27"/>
      <c r="L84" s="65"/>
      <c r="M84" s="27"/>
      <c r="N84" s="6"/>
    </row>
    <row r="85" spans="1:15" ht="15.75">
      <c r="A85" s="26"/>
      <c r="B85" s="167" t="s">
        <v>55</v>
      </c>
      <c r="C85" s="70"/>
      <c r="D85" s="27"/>
      <c r="E85" s="27"/>
      <c r="F85" s="27"/>
      <c r="G85" s="27"/>
      <c r="H85" s="27"/>
      <c r="I85" s="27"/>
      <c r="J85" s="63"/>
      <c r="K85" s="27"/>
      <c r="L85" s="64"/>
      <c r="M85" s="27"/>
      <c r="N85" s="6"/>
      <c r="O85" s="69"/>
    </row>
    <row r="86" spans="1:14" ht="15.75">
      <c r="A86" s="26">
        <v>1</v>
      </c>
      <c r="B86" s="27" t="s">
        <v>56</v>
      </c>
      <c r="C86" s="27"/>
      <c r="D86" s="27"/>
      <c r="E86" s="27"/>
      <c r="F86" s="27"/>
      <c r="G86" s="27"/>
      <c r="H86" s="27"/>
      <c r="I86" s="27"/>
      <c r="J86" s="27"/>
      <c r="K86" s="27"/>
      <c r="L86" s="64">
        <v>-4</v>
      </c>
      <c r="M86" s="27"/>
      <c r="N86" s="6"/>
    </row>
    <row r="87" spans="1:15" ht="15.75">
      <c r="A87" s="26">
        <f aca="true" t="shared" si="0" ref="A87:A95">A86+1</f>
        <v>2</v>
      </c>
      <c r="B87" s="27" t="s">
        <v>57</v>
      </c>
      <c r="C87" s="27"/>
      <c r="D87" s="27"/>
      <c r="E87" s="27"/>
      <c r="F87" s="27"/>
      <c r="G87" s="27"/>
      <c r="H87" s="27"/>
      <c r="I87" s="27"/>
      <c r="J87" s="27"/>
      <c r="K87" s="27"/>
      <c r="L87" s="64">
        <f>-729-280</f>
        <v>-1009</v>
      </c>
      <c r="M87" s="27"/>
      <c r="N87" s="6"/>
      <c r="O87" s="69"/>
    </row>
    <row r="88" spans="1:15" ht="15.75">
      <c r="A88" s="26">
        <f t="shared" si="0"/>
        <v>3</v>
      </c>
      <c r="B88" s="27" t="s">
        <v>58</v>
      </c>
      <c r="C88" s="27"/>
      <c r="D88" s="27"/>
      <c r="E88" s="27"/>
      <c r="F88" s="27"/>
      <c r="G88" s="27"/>
      <c r="H88" s="27"/>
      <c r="I88" s="27"/>
      <c r="J88" s="27"/>
      <c r="K88" s="27"/>
      <c r="L88" s="64">
        <v>-543</v>
      </c>
      <c r="M88" s="27"/>
      <c r="N88" s="6"/>
      <c r="O88" s="69"/>
    </row>
    <row r="89" spans="1:15" ht="15.75">
      <c r="A89" s="26">
        <f t="shared" si="0"/>
        <v>4</v>
      </c>
      <c r="B89" s="27" t="s">
        <v>59</v>
      </c>
      <c r="C89" s="27"/>
      <c r="D89" s="27"/>
      <c r="E89" s="27"/>
      <c r="F89" s="27"/>
      <c r="G89" s="27"/>
      <c r="H89" s="27"/>
      <c r="I89" s="27"/>
      <c r="J89" s="27"/>
      <c r="K89" s="27"/>
      <c r="L89" s="64">
        <v>-1606</v>
      </c>
      <c r="M89" s="27"/>
      <c r="N89" s="6"/>
      <c r="O89" s="69"/>
    </row>
    <row r="90" spans="1:14" ht="15.75">
      <c r="A90" s="26">
        <f t="shared" si="0"/>
        <v>5</v>
      </c>
      <c r="B90" s="27" t="s">
        <v>60</v>
      </c>
      <c r="C90" s="27"/>
      <c r="D90" s="27"/>
      <c r="E90" s="27"/>
      <c r="F90" s="27"/>
      <c r="G90" s="27"/>
      <c r="H90" s="27"/>
      <c r="I90" s="27"/>
      <c r="J90" s="27"/>
      <c r="K90" s="27"/>
      <c r="L90" s="64">
        <v>-5</v>
      </c>
      <c r="M90" s="27"/>
      <c r="N90" s="6"/>
    </row>
    <row r="91" spans="1:15" ht="15.75">
      <c r="A91" s="26">
        <f t="shared" si="0"/>
        <v>6</v>
      </c>
      <c r="B91" s="27" t="s">
        <v>61</v>
      </c>
      <c r="C91" s="27"/>
      <c r="D91" s="27"/>
      <c r="E91" s="27"/>
      <c r="F91" s="27"/>
      <c r="G91" s="27"/>
      <c r="H91" s="27"/>
      <c r="I91" s="27"/>
      <c r="J91" s="27"/>
      <c r="K91" s="27"/>
      <c r="L91" s="64">
        <v>-920</v>
      </c>
      <c r="M91" s="27"/>
      <c r="N91" s="6"/>
      <c r="O91" s="69"/>
    </row>
    <row r="92" spans="1:15" ht="15.75">
      <c r="A92" s="26">
        <f t="shared" si="0"/>
        <v>7</v>
      </c>
      <c r="B92" s="27" t="s">
        <v>62</v>
      </c>
      <c r="C92" s="27"/>
      <c r="D92" s="27"/>
      <c r="E92" s="27"/>
      <c r="F92" s="27"/>
      <c r="G92" s="27"/>
      <c r="H92" s="27"/>
      <c r="I92" s="27"/>
      <c r="J92" s="27"/>
      <c r="K92" s="27"/>
      <c r="L92" s="64">
        <v>-453</v>
      </c>
      <c r="M92" s="27"/>
      <c r="N92" s="6"/>
      <c r="O92" s="69"/>
    </row>
    <row r="93" spans="1:14" ht="15.75">
      <c r="A93" s="26">
        <f t="shared" si="0"/>
        <v>8</v>
      </c>
      <c r="B93" s="27" t="s">
        <v>63</v>
      </c>
      <c r="C93" s="27"/>
      <c r="D93" s="27"/>
      <c r="E93" s="27"/>
      <c r="F93" s="27"/>
      <c r="G93" s="27"/>
      <c r="H93" s="27"/>
      <c r="I93" s="27"/>
      <c r="J93" s="27"/>
      <c r="K93" s="27"/>
      <c r="L93" s="64">
        <v>0</v>
      </c>
      <c r="M93" s="27"/>
      <c r="N93" s="6"/>
    </row>
    <row r="94" spans="1:15" ht="15.75">
      <c r="A94" s="26">
        <f t="shared" si="0"/>
        <v>9</v>
      </c>
      <c r="B94" s="27" t="s">
        <v>45</v>
      </c>
      <c r="C94" s="27"/>
      <c r="D94" s="27"/>
      <c r="E94" s="27"/>
      <c r="F94" s="27"/>
      <c r="G94" s="27"/>
      <c r="H94" s="27"/>
      <c r="I94" s="27"/>
      <c r="J94" s="63"/>
      <c r="K94" s="27"/>
      <c r="L94" s="64">
        <f>L83+SUM(L86:L92)-L95</f>
        <v>37473</v>
      </c>
      <c r="M94" s="27"/>
      <c r="N94" s="6"/>
      <c r="O94" s="69"/>
    </row>
    <row r="95" spans="1:14" ht="15.75">
      <c r="A95" s="26">
        <f t="shared" si="0"/>
        <v>10</v>
      </c>
      <c r="B95" s="27" t="s">
        <v>64</v>
      </c>
      <c r="C95" s="27"/>
      <c r="D95" s="27"/>
      <c r="E95" s="27"/>
      <c r="F95" s="27"/>
      <c r="G95" s="27"/>
      <c r="H95" s="27"/>
      <c r="I95" s="27"/>
      <c r="J95" s="27"/>
      <c r="K95" s="27"/>
      <c r="L95" s="64">
        <f>J193+SUM(L83:L92)+J195-J198</f>
        <v>4877</v>
      </c>
      <c r="M95" s="27"/>
      <c r="N95" s="6"/>
    </row>
    <row r="96" spans="1:14" ht="15.75">
      <c r="A96" s="26"/>
      <c r="B96" s="30"/>
      <c r="C96" s="27"/>
      <c r="D96" s="27"/>
      <c r="E96" s="27"/>
      <c r="F96" s="27"/>
      <c r="G96" s="27"/>
      <c r="H96" s="27"/>
      <c r="I96" s="27"/>
      <c r="J96" s="63"/>
      <c r="K96" s="63"/>
      <c r="L96" s="63"/>
      <c r="M96" s="27"/>
      <c r="N96" s="6"/>
    </row>
    <row r="97" spans="1:14" ht="15.75">
      <c r="A97" s="7"/>
      <c r="B97" s="13"/>
      <c r="C97" s="9"/>
      <c r="D97" s="9"/>
      <c r="E97" s="9"/>
      <c r="F97" s="9"/>
      <c r="G97" s="9"/>
      <c r="H97" s="9"/>
      <c r="I97" s="9"/>
      <c r="J97" s="71"/>
      <c r="K97" s="71"/>
      <c r="L97" s="71"/>
      <c r="M97" s="9"/>
      <c r="N97" s="6"/>
    </row>
    <row r="98" spans="1:14" ht="16.5" thickBot="1">
      <c r="A98" s="141"/>
      <c r="B98" s="142" t="str">
        <f>B52</f>
        <v>PPAF2 INVESTOR REPORT QUARTER ENDING MARCH 2004</v>
      </c>
      <c r="C98" s="143"/>
      <c r="D98" s="143"/>
      <c r="E98" s="143"/>
      <c r="F98" s="143"/>
      <c r="G98" s="143"/>
      <c r="H98" s="143"/>
      <c r="I98" s="143"/>
      <c r="J98" s="146"/>
      <c r="K98" s="146"/>
      <c r="L98" s="146"/>
      <c r="M98" s="145"/>
      <c r="N98" s="6"/>
    </row>
    <row r="99" spans="1:14" ht="15.75">
      <c r="A99" s="2"/>
      <c r="B99" s="5"/>
      <c r="C99" s="5"/>
      <c r="D99" s="5"/>
      <c r="E99" s="5"/>
      <c r="F99" s="5"/>
      <c r="G99" s="5"/>
      <c r="H99" s="5"/>
      <c r="I99" s="5"/>
      <c r="J99" s="72"/>
      <c r="K99" s="72"/>
      <c r="L99" s="72"/>
      <c r="M99" s="5"/>
      <c r="N99" s="6"/>
    </row>
    <row r="100" spans="1:14" ht="15.75">
      <c r="A100" s="73"/>
      <c r="B100" s="74" t="s">
        <v>65</v>
      </c>
      <c r="C100" s="75"/>
      <c r="D100" s="75"/>
      <c r="E100" s="75"/>
      <c r="F100" s="75"/>
      <c r="G100" s="75"/>
      <c r="H100" s="75"/>
      <c r="I100" s="75"/>
      <c r="J100" s="75"/>
      <c r="K100" s="75"/>
      <c r="L100" s="76"/>
      <c r="M100" s="77"/>
      <c r="N100" s="6"/>
    </row>
    <row r="101" spans="1:14" ht="15.75">
      <c r="A101" s="73"/>
      <c r="B101" s="75"/>
      <c r="C101" s="75"/>
      <c r="D101" s="75"/>
      <c r="E101" s="75"/>
      <c r="F101" s="75"/>
      <c r="G101" s="75"/>
      <c r="H101" s="75"/>
      <c r="I101" s="75"/>
      <c r="J101" s="75"/>
      <c r="K101" s="75"/>
      <c r="L101" s="76"/>
      <c r="M101" s="75"/>
      <c r="N101" s="6"/>
    </row>
    <row r="102" spans="1:14" ht="15.75">
      <c r="A102" s="7"/>
      <c r="B102" s="168" t="s">
        <v>66</v>
      </c>
      <c r="C102" s="14"/>
      <c r="D102" s="9"/>
      <c r="E102" s="9"/>
      <c r="F102" s="9"/>
      <c r="G102" s="9"/>
      <c r="H102" s="9"/>
      <c r="I102" s="9"/>
      <c r="J102" s="9"/>
      <c r="K102" s="9"/>
      <c r="L102" s="62"/>
      <c r="M102" s="9"/>
      <c r="N102" s="6"/>
    </row>
    <row r="103" spans="1:14" ht="15.75">
      <c r="A103" s="26"/>
      <c r="B103" s="27" t="s">
        <v>67</v>
      </c>
      <c r="C103" s="27"/>
      <c r="D103" s="27"/>
      <c r="E103" s="27"/>
      <c r="F103" s="27"/>
      <c r="G103" s="27"/>
      <c r="H103" s="27"/>
      <c r="I103" s="27"/>
      <c r="J103" s="27"/>
      <c r="K103" s="27"/>
      <c r="L103" s="64">
        <v>7125</v>
      </c>
      <c r="M103" s="27"/>
      <c r="N103" s="6"/>
    </row>
    <row r="104" spans="1:14" ht="15.75">
      <c r="A104" s="26"/>
      <c r="B104" s="27" t="s">
        <v>68</v>
      </c>
      <c r="C104" s="27"/>
      <c r="D104" s="27"/>
      <c r="E104" s="27"/>
      <c r="F104" s="27"/>
      <c r="G104" s="27"/>
      <c r="H104" s="27"/>
      <c r="I104" s="27"/>
      <c r="J104" s="27"/>
      <c r="K104" s="27"/>
      <c r="L104" s="64">
        <v>0</v>
      </c>
      <c r="M104" s="27"/>
      <c r="N104" s="6"/>
    </row>
    <row r="105" spans="1:14" ht="15.75">
      <c r="A105" s="26"/>
      <c r="B105" s="27" t="s">
        <v>69</v>
      </c>
      <c r="C105" s="27"/>
      <c r="D105" s="27"/>
      <c r="E105" s="27"/>
      <c r="F105" s="27"/>
      <c r="G105" s="27"/>
      <c r="H105" s="27"/>
      <c r="I105" s="27"/>
      <c r="J105" s="27"/>
      <c r="K105" s="27"/>
      <c r="L105" s="64">
        <v>0</v>
      </c>
      <c r="M105" s="27"/>
      <c r="N105" s="6"/>
    </row>
    <row r="106" spans="1:14" ht="15.75">
      <c r="A106" s="26"/>
      <c r="B106" s="27" t="s">
        <v>59</v>
      </c>
      <c r="C106" s="27"/>
      <c r="D106" s="27"/>
      <c r="E106" s="27"/>
      <c r="F106" s="27"/>
      <c r="G106" s="27"/>
      <c r="H106" s="27"/>
      <c r="I106" s="27"/>
      <c r="J106" s="27"/>
      <c r="K106" s="27"/>
      <c r="L106" s="64">
        <v>0</v>
      </c>
      <c r="M106" s="27"/>
      <c r="N106" s="6"/>
    </row>
    <row r="107" spans="1:14" ht="15.75">
      <c r="A107" s="26"/>
      <c r="B107" s="27" t="s">
        <v>61</v>
      </c>
      <c r="C107" s="27"/>
      <c r="D107" s="27"/>
      <c r="E107" s="27"/>
      <c r="F107" s="27"/>
      <c r="G107" s="27"/>
      <c r="H107" s="27"/>
      <c r="I107" s="27"/>
      <c r="J107" s="27"/>
      <c r="K107" s="27"/>
      <c r="L107" s="64">
        <v>0</v>
      </c>
      <c r="M107" s="27"/>
      <c r="N107" s="6"/>
    </row>
    <row r="108" spans="1:14" ht="15.75">
      <c r="A108" s="26"/>
      <c r="B108" s="27" t="s">
        <v>62</v>
      </c>
      <c r="C108" s="27"/>
      <c r="D108" s="27"/>
      <c r="E108" s="27"/>
      <c r="F108" s="27"/>
      <c r="G108" s="27"/>
      <c r="H108" s="27"/>
      <c r="I108" s="27"/>
      <c r="J108" s="27"/>
      <c r="K108" s="27"/>
      <c r="L108" s="64">
        <v>0</v>
      </c>
      <c r="M108" s="27"/>
      <c r="N108" s="6"/>
    </row>
    <row r="109" spans="1:14" ht="15.75">
      <c r="A109" s="26"/>
      <c r="B109" s="27" t="s">
        <v>70</v>
      </c>
      <c r="C109" s="27"/>
      <c r="D109" s="27"/>
      <c r="E109" s="27"/>
      <c r="F109" s="27"/>
      <c r="G109" s="27"/>
      <c r="H109" s="27"/>
      <c r="I109" s="27"/>
      <c r="J109" s="27"/>
      <c r="K109" s="27"/>
      <c r="L109" s="64">
        <f>L103-L108-L107-L106</f>
        <v>7125</v>
      </c>
      <c r="M109" s="27"/>
      <c r="N109" s="6"/>
    </row>
    <row r="110" spans="1:14" ht="15.75">
      <c r="A110" s="26"/>
      <c r="B110" s="27"/>
      <c r="C110" s="27"/>
      <c r="D110" s="27"/>
      <c r="E110" s="27"/>
      <c r="F110" s="27"/>
      <c r="G110" s="27"/>
      <c r="H110" s="27"/>
      <c r="I110" s="27"/>
      <c r="J110" s="27"/>
      <c r="K110" s="27"/>
      <c r="L110" s="78"/>
      <c r="M110" s="27"/>
      <c r="N110" s="6"/>
    </row>
    <row r="111" spans="1:14" ht="15.75">
      <c r="A111" s="7"/>
      <c r="B111" s="168" t="s">
        <v>71</v>
      </c>
      <c r="C111" s="14"/>
      <c r="D111" s="9"/>
      <c r="E111" s="9"/>
      <c r="F111" s="9"/>
      <c r="G111" s="154"/>
      <c r="H111" s="9"/>
      <c r="I111" s="9"/>
      <c r="J111" s="9"/>
      <c r="K111" s="9"/>
      <c r="L111" s="80"/>
      <c r="M111" s="9"/>
      <c r="N111" s="6"/>
    </row>
    <row r="112" spans="1:14" ht="15.75">
      <c r="A112" s="7"/>
      <c r="B112" s="14"/>
      <c r="C112" s="18" t="s">
        <v>137</v>
      </c>
      <c r="D112" s="18" t="s">
        <v>147</v>
      </c>
      <c r="E112" s="18" t="s">
        <v>153</v>
      </c>
      <c r="F112" s="18" t="s">
        <v>162</v>
      </c>
      <c r="G112" s="154"/>
      <c r="H112" s="154"/>
      <c r="I112" s="9"/>
      <c r="J112" s="9"/>
      <c r="K112" s="9"/>
      <c r="L112" s="80"/>
      <c r="M112" s="9"/>
      <c r="N112" s="6"/>
    </row>
    <row r="113" spans="1:14" ht="15.75">
      <c r="A113" s="26"/>
      <c r="B113" s="27" t="s">
        <v>199</v>
      </c>
      <c r="C113" s="63">
        <f>E176-'Dec 03'!E176</f>
        <v>-3932</v>
      </c>
      <c r="D113" s="63">
        <f>J176-'Dec 03'!J176</f>
        <v>37</v>
      </c>
      <c r="E113" s="63">
        <f>E186-'Dec 03'!E186</f>
        <v>-2</v>
      </c>
      <c r="F113" s="63">
        <f>J186-'Dec 03'!J186</f>
        <v>59</v>
      </c>
      <c r="G113" s="153"/>
      <c r="H113" s="153"/>
      <c r="I113" s="27"/>
      <c r="J113" s="27"/>
      <c r="K113" s="27"/>
      <c r="L113" s="64">
        <f>SUM(C113:F113)</f>
        <v>-3838</v>
      </c>
      <c r="M113" s="27"/>
      <c r="N113" s="6"/>
    </row>
    <row r="114" spans="1:14" ht="15.75">
      <c r="A114" s="26"/>
      <c r="B114" s="27" t="s">
        <v>72</v>
      </c>
      <c r="C114" s="27">
        <f>6+275+5047</f>
        <v>5328</v>
      </c>
      <c r="D114" s="27">
        <v>-8</v>
      </c>
      <c r="E114" s="27">
        <f>46+8</f>
        <v>54</v>
      </c>
      <c r="F114" s="27">
        <f>159+156</f>
        <v>315</v>
      </c>
      <c r="G114" s="153"/>
      <c r="H114" s="153"/>
      <c r="I114" s="27"/>
      <c r="J114" s="27"/>
      <c r="K114" s="27"/>
      <c r="L114" s="64">
        <f>SUM(C114:F114)</f>
        <v>5689</v>
      </c>
      <c r="M114" s="27"/>
      <c r="N114" s="6"/>
    </row>
    <row r="115" spans="1:14" ht="15.75">
      <c r="A115" s="26"/>
      <c r="B115" s="27" t="s">
        <v>73</v>
      </c>
      <c r="C115" s="27"/>
      <c r="D115" s="27"/>
      <c r="E115" s="27"/>
      <c r="F115" s="27"/>
      <c r="G115" s="27"/>
      <c r="H115" s="27"/>
      <c r="I115" s="27"/>
      <c r="J115" s="27"/>
      <c r="K115" s="27"/>
      <c r="L115" s="64">
        <f>SUM(L113:L114)</f>
        <v>1851</v>
      </c>
      <c r="M115" s="27"/>
      <c r="N115" s="6"/>
    </row>
    <row r="116" spans="1:14" ht="15.75">
      <c r="A116" s="7"/>
      <c r="B116" s="168" t="s">
        <v>74</v>
      </c>
      <c r="C116" s="14"/>
      <c r="D116" s="9"/>
      <c r="E116" s="9"/>
      <c r="F116" s="9"/>
      <c r="G116" s="9"/>
      <c r="H116" s="9"/>
      <c r="I116" s="9"/>
      <c r="J116" s="9"/>
      <c r="K116" s="9"/>
      <c r="L116" s="62"/>
      <c r="M116" s="9"/>
      <c r="N116" s="6"/>
    </row>
    <row r="117" spans="1:14" ht="15.75">
      <c r="A117" s="26"/>
      <c r="B117" s="27" t="s">
        <v>75</v>
      </c>
      <c r="C117" s="82"/>
      <c r="D117" s="27"/>
      <c r="E117" s="27"/>
      <c r="F117" s="27"/>
      <c r="G117" s="27"/>
      <c r="H117" s="27"/>
      <c r="I117" s="27"/>
      <c r="J117" s="27"/>
      <c r="K117" s="27"/>
      <c r="L117" s="64">
        <f>L69</f>
        <v>339920</v>
      </c>
      <c r="M117" s="27"/>
      <c r="N117" s="6"/>
    </row>
    <row r="118" spans="1:14" ht="15.75">
      <c r="A118" s="26"/>
      <c r="B118" s="27" t="s">
        <v>76</v>
      </c>
      <c r="C118" s="82"/>
      <c r="D118" s="27"/>
      <c r="E118" s="27"/>
      <c r="F118" s="27"/>
      <c r="G118" s="27"/>
      <c r="H118" s="27"/>
      <c r="I118" s="27"/>
      <c r="J118" s="27"/>
      <c r="K118" s="27"/>
      <c r="L118" s="64">
        <f>L72</f>
        <v>37474</v>
      </c>
      <c r="M118" s="27"/>
      <c r="N118" s="6"/>
    </row>
    <row r="119" spans="1:15" ht="15.75">
      <c r="A119" s="26"/>
      <c r="B119" s="27" t="s">
        <v>77</v>
      </c>
      <c r="C119" s="82"/>
      <c r="D119" s="27"/>
      <c r="E119" s="27"/>
      <c r="F119" s="27"/>
      <c r="G119" s="27"/>
      <c r="H119" s="27"/>
      <c r="I119" s="27"/>
      <c r="J119" s="27"/>
      <c r="K119" s="27"/>
      <c r="L119" s="64">
        <f>L118+L117+L74+L75</f>
        <v>377394</v>
      </c>
      <c r="M119" s="27"/>
      <c r="N119" s="6"/>
      <c r="O119" s="69"/>
    </row>
    <row r="120" spans="1:14" ht="15.75">
      <c r="A120" s="26"/>
      <c r="B120" s="27" t="s">
        <v>78</v>
      </c>
      <c r="C120" s="82"/>
      <c r="D120" s="27"/>
      <c r="E120" s="27"/>
      <c r="F120" s="27"/>
      <c r="G120" s="27"/>
      <c r="H120" s="27"/>
      <c r="I120" s="27"/>
      <c r="J120" s="27"/>
      <c r="K120" s="27"/>
      <c r="L120" s="64">
        <f>L76</f>
        <v>244700</v>
      </c>
      <c r="M120" s="27"/>
      <c r="N120" s="6"/>
    </row>
    <row r="121" spans="1:15" ht="15.75">
      <c r="A121" s="26"/>
      <c r="B121" s="27"/>
      <c r="C121" s="27"/>
      <c r="D121" s="27"/>
      <c r="E121" s="27"/>
      <c r="F121" s="27"/>
      <c r="G121" s="27"/>
      <c r="H121" s="27"/>
      <c r="I121" s="27"/>
      <c r="J121" s="27"/>
      <c r="K121" s="27"/>
      <c r="L121" s="83"/>
      <c r="M121" s="27"/>
      <c r="N121" s="6"/>
      <c r="O121" s="69"/>
    </row>
    <row r="122" spans="1:14" ht="15.75">
      <c r="A122" s="7"/>
      <c r="B122" s="168" t="s">
        <v>79</v>
      </c>
      <c r="C122" s="156"/>
      <c r="D122" s="156"/>
      <c r="E122" s="156"/>
      <c r="F122" s="156"/>
      <c r="G122" s="156"/>
      <c r="H122" s="157" t="s">
        <v>173</v>
      </c>
      <c r="I122" s="169"/>
      <c r="J122" s="157" t="s">
        <v>176</v>
      </c>
      <c r="K122" s="156"/>
      <c r="L122" s="170" t="s">
        <v>128</v>
      </c>
      <c r="M122" s="9"/>
      <c r="N122" s="6"/>
    </row>
    <row r="123" spans="1:14" ht="15.75">
      <c r="A123" s="26"/>
      <c r="B123" s="27" t="s">
        <v>80</v>
      </c>
      <c r="C123" s="27"/>
      <c r="D123" s="27"/>
      <c r="E123" s="27"/>
      <c r="F123" s="27"/>
      <c r="G123" s="27"/>
      <c r="H123" s="64">
        <v>0</v>
      </c>
      <c r="I123" s="27"/>
      <c r="J123" s="84" t="s">
        <v>177</v>
      </c>
      <c r="K123" s="27"/>
      <c r="L123" s="64">
        <f>H123</f>
        <v>0</v>
      </c>
      <c r="M123" s="27"/>
      <c r="N123" s="6"/>
    </row>
    <row r="124" spans="1:14" ht="15.75">
      <c r="A124" s="26"/>
      <c r="B124" s="27" t="s">
        <v>81</v>
      </c>
      <c r="C124" s="27"/>
      <c r="D124" s="27"/>
      <c r="E124" s="27"/>
      <c r="F124" s="27"/>
      <c r="G124" s="27"/>
      <c r="H124" s="64">
        <f>+'Dec 03'!H126</f>
        <v>88</v>
      </c>
      <c r="I124" s="27"/>
      <c r="J124" s="84" t="s">
        <v>177</v>
      </c>
      <c r="K124" s="27"/>
      <c r="L124" s="64">
        <f>H124</f>
        <v>88</v>
      </c>
      <c r="M124" s="27"/>
      <c r="N124" s="6"/>
    </row>
    <row r="125" spans="1:14" ht="15.75">
      <c r="A125" s="26"/>
      <c r="B125" s="27" t="s">
        <v>82</v>
      </c>
      <c r="C125" s="27"/>
      <c r="D125" s="27"/>
      <c r="E125" s="27"/>
      <c r="F125" s="27"/>
      <c r="G125" s="27"/>
      <c r="H125" s="64">
        <v>169</v>
      </c>
      <c r="I125" s="27"/>
      <c r="J125" s="84" t="s">
        <v>177</v>
      </c>
      <c r="K125" s="27"/>
      <c r="L125" s="64">
        <f>H125</f>
        <v>169</v>
      </c>
      <c r="M125" s="27"/>
      <c r="N125" s="6"/>
    </row>
    <row r="126" spans="1:14" ht="15.75">
      <c r="A126" s="26"/>
      <c r="B126" s="27" t="s">
        <v>83</v>
      </c>
      <c r="C126" s="27"/>
      <c r="D126" s="27"/>
      <c r="E126" s="27"/>
      <c r="F126" s="27"/>
      <c r="G126" s="27"/>
      <c r="H126" s="64">
        <f>SUM(H124:H125)</f>
        <v>257</v>
      </c>
      <c r="I126" s="27"/>
      <c r="J126" s="84" t="s">
        <v>177</v>
      </c>
      <c r="K126" s="27"/>
      <c r="L126" s="64">
        <f>H126</f>
        <v>257</v>
      </c>
      <c r="M126" s="27"/>
      <c r="N126" s="6"/>
    </row>
    <row r="127" spans="1:14" ht="15.75">
      <c r="A127" s="26"/>
      <c r="B127" s="27" t="s">
        <v>84</v>
      </c>
      <c r="C127" s="27"/>
      <c r="D127" s="27"/>
      <c r="E127" s="27"/>
      <c r="F127" s="27"/>
      <c r="G127" s="27"/>
      <c r="H127" s="64">
        <v>0</v>
      </c>
      <c r="I127" s="27"/>
      <c r="J127" s="84" t="s">
        <v>177</v>
      </c>
      <c r="K127" s="27"/>
      <c r="L127" s="64">
        <f>H127</f>
        <v>0</v>
      </c>
      <c r="M127" s="27"/>
      <c r="N127" s="6"/>
    </row>
    <row r="128" spans="1:14" ht="15.75">
      <c r="A128" s="26"/>
      <c r="B128" s="27"/>
      <c r="C128" s="27"/>
      <c r="D128" s="27"/>
      <c r="E128" s="27"/>
      <c r="F128" s="27"/>
      <c r="G128" s="27"/>
      <c r="H128" s="27"/>
      <c r="I128" s="27"/>
      <c r="J128" s="27"/>
      <c r="K128" s="27"/>
      <c r="L128" s="27"/>
      <c r="M128" s="27"/>
      <c r="N128" s="6"/>
    </row>
    <row r="129" spans="1:14" ht="15.75">
      <c r="A129" s="26"/>
      <c r="B129" s="30"/>
      <c r="C129" s="30"/>
      <c r="D129" s="30"/>
      <c r="E129" s="30"/>
      <c r="F129" s="30"/>
      <c r="G129" s="30"/>
      <c r="H129" s="30"/>
      <c r="I129" s="30"/>
      <c r="J129" s="30"/>
      <c r="K129" s="30"/>
      <c r="L129" s="30"/>
      <c r="M129" s="30"/>
      <c r="N129" s="6"/>
    </row>
    <row r="130" spans="1:14" ht="15.75">
      <c r="A130" s="85"/>
      <c r="B130" s="61" t="s">
        <v>85</v>
      </c>
      <c r="C130" s="86"/>
      <c r="D130" s="86"/>
      <c r="E130" s="86"/>
      <c r="F130" s="86"/>
      <c r="G130" s="20"/>
      <c r="H130" s="20"/>
      <c r="I130" s="20"/>
      <c r="J130" s="20">
        <v>38077</v>
      </c>
      <c r="K130" s="16"/>
      <c r="L130" s="16"/>
      <c r="M130" s="9"/>
      <c r="N130" s="6"/>
    </row>
    <row r="131" spans="1:14" ht="15.75">
      <c r="A131" s="87"/>
      <c r="B131" s="88" t="s">
        <v>86</v>
      </c>
      <c r="C131" s="89"/>
      <c r="D131" s="89"/>
      <c r="E131" s="89"/>
      <c r="F131" s="89"/>
      <c r="G131" s="90"/>
      <c r="H131" s="90"/>
      <c r="I131" s="90"/>
      <c r="J131" s="91">
        <v>0.167</v>
      </c>
      <c r="K131" s="27"/>
      <c r="L131" s="27"/>
      <c r="M131" s="27"/>
      <c r="N131" s="6"/>
    </row>
    <row r="132" spans="1:14" ht="15.75">
      <c r="A132" s="87"/>
      <c r="B132" s="88" t="s">
        <v>87</v>
      </c>
      <c r="C132" s="89"/>
      <c r="D132" s="89"/>
      <c r="E132" s="89"/>
      <c r="F132" s="89"/>
      <c r="G132" s="90"/>
      <c r="H132" s="90"/>
      <c r="I132" s="90"/>
      <c r="J132" s="91">
        <v>0.0491</v>
      </c>
      <c r="K132" s="91"/>
      <c r="L132" s="27"/>
      <c r="M132" s="27"/>
      <c r="N132" s="6"/>
    </row>
    <row r="133" spans="1:14" ht="15.75">
      <c r="A133" s="87"/>
      <c r="B133" s="88" t="s">
        <v>88</v>
      </c>
      <c r="C133" s="89"/>
      <c r="D133" s="89"/>
      <c r="E133" s="89"/>
      <c r="F133" s="89"/>
      <c r="G133" s="90"/>
      <c r="H133" s="90"/>
      <c r="I133" s="90"/>
      <c r="J133" s="91">
        <f>J131-J132</f>
        <v>0.1179</v>
      </c>
      <c r="K133" s="27"/>
      <c r="L133" s="27"/>
      <c r="M133" s="27"/>
      <c r="N133" s="6"/>
    </row>
    <row r="134" spans="1:14" ht="15.75">
      <c r="A134" s="87"/>
      <c r="B134" s="88" t="s">
        <v>89</v>
      </c>
      <c r="C134" s="89"/>
      <c r="D134" s="89"/>
      <c r="E134" s="89"/>
      <c r="F134" s="89"/>
      <c r="G134" s="90"/>
      <c r="H134" s="90"/>
      <c r="I134" s="90"/>
      <c r="J134" s="91">
        <v>0.14</v>
      </c>
      <c r="K134" s="27"/>
      <c r="L134" s="27"/>
      <c r="M134" s="27"/>
      <c r="N134" s="6"/>
    </row>
    <row r="135" spans="1:14" ht="15.75">
      <c r="A135" s="87"/>
      <c r="B135" s="88" t="s">
        <v>90</v>
      </c>
      <c r="C135" s="89"/>
      <c r="D135" s="89"/>
      <c r="E135" s="89"/>
      <c r="F135" s="89"/>
      <c r="G135" s="90"/>
      <c r="H135" s="90"/>
      <c r="I135" s="90"/>
      <c r="J135" s="91">
        <f>L34</f>
        <v>0.0489437423375562</v>
      </c>
      <c r="K135" s="27"/>
      <c r="L135" s="27"/>
      <c r="M135" s="27"/>
      <c r="N135" s="6"/>
    </row>
    <row r="136" spans="1:14" ht="15.75">
      <c r="A136" s="87"/>
      <c r="B136" s="88" t="s">
        <v>91</v>
      </c>
      <c r="C136" s="89"/>
      <c r="D136" s="89"/>
      <c r="E136" s="89"/>
      <c r="F136" s="89"/>
      <c r="G136" s="90"/>
      <c r="H136" s="90"/>
      <c r="I136" s="90"/>
      <c r="J136" s="91">
        <f>J134-J135</f>
        <v>0.09105625766244382</v>
      </c>
      <c r="K136" s="27"/>
      <c r="L136" s="27"/>
      <c r="M136" s="27"/>
      <c r="N136" s="6"/>
    </row>
    <row r="137" spans="1:14" ht="15.75">
      <c r="A137" s="87"/>
      <c r="B137" s="88" t="s">
        <v>92</v>
      </c>
      <c r="C137" s="89"/>
      <c r="D137" s="89"/>
      <c r="E137" s="89"/>
      <c r="F137" s="89"/>
      <c r="G137" s="90"/>
      <c r="H137" s="90"/>
      <c r="I137" s="90"/>
      <c r="J137" s="91" t="s">
        <v>178</v>
      </c>
      <c r="K137" s="27"/>
      <c r="L137" s="27"/>
      <c r="M137" s="27"/>
      <c r="N137" s="6"/>
    </row>
    <row r="138" spans="1:14" ht="15.75">
      <c r="A138" s="87"/>
      <c r="B138" s="88" t="s">
        <v>93</v>
      </c>
      <c r="C138" s="89"/>
      <c r="D138" s="89"/>
      <c r="E138" s="89"/>
      <c r="F138" s="89"/>
      <c r="G138" s="90"/>
      <c r="H138" s="90"/>
      <c r="I138" s="90"/>
      <c r="J138" s="91" t="s">
        <v>179</v>
      </c>
      <c r="K138" s="27"/>
      <c r="L138" s="27"/>
      <c r="M138" s="27"/>
      <c r="N138" s="6"/>
    </row>
    <row r="139" spans="1:14" ht="15.75">
      <c r="A139" s="87"/>
      <c r="B139" s="88" t="s">
        <v>94</v>
      </c>
      <c r="C139" s="89"/>
      <c r="D139" s="89"/>
      <c r="E139" s="89"/>
      <c r="F139" s="89"/>
      <c r="G139" s="90"/>
      <c r="H139" s="90"/>
      <c r="I139" s="90"/>
      <c r="J139" s="91" t="s">
        <v>180</v>
      </c>
      <c r="K139" s="27"/>
      <c r="L139" s="27"/>
      <c r="M139" s="27"/>
      <c r="N139" s="6"/>
    </row>
    <row r="140" spans="1:14" ht="15.75">
      <c r="A140" s="87"/>
      <c r="B140" s="88" t="s">
        <v>95</v>
      </c>
      <c r="C140" s="89"/>
      <c r="D140" s="89"/>
      <c r="E140" s="89"/>
      <c r="F140" s="89"/>
      <c r="G140" s="90"/>
      <c r="H140" s="90"/>
      <c r="I140" s="90"/>
      <c r="J140" s="92">
        <v>11.56</v>
      </c>
      <c r="K140" s="27"/>
      <c r="L140" s="27"/>
      <c r="M140" s="27"/>
      <c r="N140" s="6"/>
    </row>
    <row r="141" spans="1:14" ht="15.75">
      <c r="A141" s="87"/>
      <c r="B141" s="88" t="s">
        <v>96</v>
      </c>
      <c r="C141" s="89"/>
      <c r="D141" s="89"/>
      <c r="E141" s="89"/>
      <c r="F141" s="89"/>
      <c r="G141" s="90"/>
      <c r="H141" s="90"/>
      <c r="I141" s="90"/>
      <c r="J141" s="92">
        <v>13.164</v>
      </c>
      <c r="K141" s="27"/>
      <c r="L141" s="27"/>
      <c r="M141" s="27"/>
      <c r="N141" s="6"/>
    </row>
    <row r="142" spans="1:14" ht="15.75">
      <c r="A142" s="87"/>
      <c r="B142" s="88" t="s">
        <v>97</v>
      </c>
      <c r="C142" s="89"/>
      <c r="D142" s="89"/>
      <c r="E142" s="89"/>
      <c r="F142" s="89"/>
      <c r="G142" s="90"/>
      <c r="H142" s="90"/>
      <c r="I142" s="90"/>
      <c r="J142" s="91">
        <v>0.0835</v>
      </c>
      <c r="K142" s="27"/>
      <c r="L142" s="27"/>
      <c r="M142" s="27"/>
      <c r="N142" s="6"/>
    </row>
    <row r="143" spans="1:14" ht="15.75">
      <c r="A143" s="87"/>
      <c r="B143" s="88" t="s">
        <v>98</v>
      </c>
      <c r="C143" s="89"/>
      <c r="D143" s="89"/>
      <c r="E143" s="89"/>
      <c r="F143" s="89"/>
      <c r="G143" s="90"/>
      <c r="H143" s="90"/>
      <c r="I143" s="90"/>
      <c r="J143" s="91">
        <v>0.2735</v>
      </c>
      <c r="K143" s="27"/>
      <c r="L143" s="27"/>
      <c r="M143" s="27"/>
      <c r="N143" s="6"/>
    </row>
    <row r="144" spans="1:14" ht="15.75">
      <c r="A144" s="87"/>
      <c r="B144" s="88"/>
      <c r="C144" s="88"/>
      <c r="D144" s="88"/>
      <c r="E144" s="88"/>
      <c r="F144" s="88"/>
      <c r="G144" s="27"/>
      <c r="H144" s="27"/>
      <c r="I144" s="34"/>
      <c r="J144" s="93"/>
      <c r="K144" s="27"/>
      <c r="L144" s="94"/>
      <c r="M144" s="27"/>
      <c r="N144" s="6"/>
    </row>
    <row r="145" spans="1:14" ht="15.75">
      <c r="A145" s="85"/>
      <c r="B145" s="95"/>
      <c r="C145" s="95"/>
      <c r="D145" s="95"/>
      <c r="E145" s="95"/>
      <c r="F145" s="95"/>
      <c r="G145" s="9"/>
      <c r="H145" s="9"/>
      <c r="I145" s="21"/>
      <c r="J145" s="96"/>
      <c r="K145" s="9"/>
      <c r="L145" s="97"/>
      <c r="M145" s="9"/>
      <c r="N145" s="6"/>
    </row>
    <row r="146" spans="1:14" ht="16.5" thickBot="1">
      <c r="A146" s="147"/>
      <c r="B146" s="142" t="str">
        <f>B98</f>
        <v>PPAF2 INVESTOR REPORT QUARTER ENDING MARCH 2004</v>
      </c>
      <c r="C146" s="148"/>
      <c r="D146" s="148"/>
      <c r="E146" s="148"/>
      <c r="F146" s="148"/>
      <c r="G146" s="143"/>
      <c r="H146" s="143"/>
      <c r="I146" s="149"/>
      <c r="J146" s="150"/>
      <c r="K146" s="143"/>
      <c r="L146" s="151"/>
      <c r="M146" s="145"/>
      <c r="N146" s="6"/>
    </row>
    <row r="147" spans="1:14" ht="15.75">
      <c r="A147" s="98"/>
      <c r="B147" s="99" t="s">
        <v>99</v>
      </c>
      <c r="C147" s="100"/>
      <c r="D147" s="101"/>
      <c r="E147" s="100"/>
      <c r="F147" s="101"/>
      <c r="G147" s="100"/>
      <c r="H147" s="101"/>
      <c r="I147" s="100" t="s">
        <v>138</v>
      </c>
      <c r="J147" s="101" t="s">
        <v>181</v>
      </c>
      <c r="K147" s="102"/>
      <c r="L147" s="102"/>
      <c r="M147" s="5"/>
      <c r="N147" s="6"/>
    </row>
    <row r="148" spans="1:14" ht="15.75">
      <c r="A148" s="103"/>
      <c r="B148" s="88" t="s">
        <v>100</v>
      </c>
      <c r="C148" s="65"/>
      <c r="D148" s="65"/>
      <c r="E148" s="65"/>
      <c r="F148" s="27"/>
      <c r="G148" s="27"/>
      <c r="H148" s="27"/>
      <c r="I148" s="27">
        <v>5005</v>
      </c>
      <c r="J148" s="64">
        <v>41346</v>
      </c>
      <c r="K148" s="64"/>
      <c r="L148" s="94"/>
      <c r="M148" s="104"/>
      <c r="N148" s="6"/>
    </row>
    <row r="149" spans="1:14" ht="15.75">
      <c r="A149" s="103"/>
      <c r="B149" s="88" t="s">
        <v>101</v>
      </c>
      <c r="C149" s="65"/>
      <c r="D149" s="65"/>
      <c r="E149" s="65"/>
      <c r="F149" s="27"/>
      <c r="G149" s="27"/>
      <c r="H149" s="27"/>
      <c r="I149" s="27">
        <v>5</v>
      </c>
      <c r="J149" s="64">
        <v>29</v>
      </c>
      <c r="K149" s="64"/>
      <c r="L149" s="94"/>
      <c r="M149" s="104"/>
      <c r="N149" s="6"/>
    </row>
    <row r="150" spans="1:14" ht="15.75">
      <c r="A150" s="103"/>
      <c r="B150" s="171" t="s">
        <v>102</v>
      </c>
      <c r="C150" s="65"/>
      <c r="D150" s="65"/>
      <c r="E150" s="65"/>
      <c r="F150" s="27"/>
      <c r="G150" s="27"/>
      <c r="H150" s="27"/>
      <c r="I150" s="27"/>
      <c r="J150" s="105">
        <v>0</v>
      </c>
      <c r="K150" s="27"/>
      <c r="L150" s="94"/>
      <c r="M150" s="104"/>
      <c r="N150" s="6"/>
    </row>
    <row r="151" spans="1:14" ht="15.75">
      <c r="A151" s="103"/>
      <c r="B151" s="171" t="s">
        <v>103</v>
      </c>
      <c r="C151" s="65"/>
      <c r="D151" s="65"/>
      <c r="E151" s="65"/>
      <c r="F151" s="27"/>
      <c r="G151" s="27"/>
      <c r="H151" s="27"/>
      <c r="I151" s="27"/>
      <c r="J151" s="64">
        <f>H69</f>
        <v>33093</v>
      </c>
      <c r="K151" s="27"/>
      <c r="L151" s="94"/>
      <c r="M151" s="104"/>
      <c r="N151" s="6"/>
    </row>
    <row r="152" spans="1:14" ht="15.75">
      <c r="A152" s="106"/>
      <c r="B152" s="171" t="s">
        <v>104</v>
      </c>
      <c r="C152" s="65"/>
      <c r="D152" s="88"/>
      <c r="E152" s="88"/>
      <c r="F152" s="88"/>
      <c r="G152" s="27"/>
      <c r="H152" s="27"/>
      <c r="I152" s="27"/>
      <c r="J152" s="107"/>
      <c r="K152" s="27"/>
      <c r="L152" s="94"/>
      <c r="M152" s="108"/>
      <c r="N152" s="6"/>
    </row>
    <row r="153" spans="1:14" ht="15.75">
      <c r="A153" s="103"/>
      <c r="B153" s="88" t="s">
        <v>105</v>
      </c>
      <c r="C153" s="65"/>
      <c r="D153" s="65"/>
      <c r="E153" s="65"/>
      <c r="F153" s="65"/>
      <c r="G153" s="27"/>
      <c r="H153" s="27"/>
      <c r="I153" s="27"/>
      <c r="J153" s="64">
        <f>L115</f>
        <v>1851</v>
      </c>
      <c r="K153" s="27"/>
      <c r="L153" s="94"/>
      <c r="M153" s="108"/>
      <c r="N153" s="6"/>
    </row>
    <row r="154" spans="1:14" ht="15.75">
      <c r="A154" s="103"/>
      <c r="B154" s="88" t="s">
        <v>106</v>
      </c>
      <c r="C154" s="65"/>
      <c r="D154" s="65"/>
      <c r="E154" s="65"/>
      <c r="F154" s="65"/>
      <c r="G154" s="27"/>
      <c r="H154" s="27"/>
      <c r="I154" s="27"/>
      <c r="J154" s="64">
        <f>'Dec 03'!J154+J153</f>
        <v>26867</v>
      </c>
      <c r="K154" s="27"/>
      <c r="L154" s="94"/>
      <c r="M154" s="108"/>
      <c r="N154" s="6"/>
    </row>
    <row r="155" spans="1:14" ht="15.75">
      <c r="A155" s="103"/>
      <c r="B155" s="88" t="s">
        <v>107</v>
      </c>
      <c r="C155" s="65"/>
      <c r="D155" s="65"/>
      <c r="E155" s="65"/>
      <c r="F155" s="65"/>
      <c r="G155" s="27"/>
      <c r="H155" s="27"/>
      <c r="I155" s="27"/>
      <c r="J155" s="64"/>
      <c r="K155" s="27"/>
      <c r="L155" s="94"/>
      <c r="M155" s="108"/>
      <c r="N155" s="6"/>
    </row>
    <row r="156" spans="1:14" ht="15.75">
      <c r="A156" s="103"/>
      <c r="B156" s="88"/>
      <c r="C156" s="65"/>
      <c r="D156" s="65"/>
      <c r="E156" s="65"/>
      <c r="F156" s="65"/>
      <c r="G156" s="27"/>
      <c r="H156" s="27"/>
      <c r="I156" s="27"/>
      <c r="J156" s="64"/>
      <c r="K156" s="27"/>
      <c r="L156" s="94"/>
      <c r="M156" s="108"/>
      <c r="N156" s="6"/>
    </row>
    <row r="157" spans="1:14" ht="15.75">
      <c r="A157" s="106"/>
      <c r="B157" s="171" t="s">
        <v>108</v>
      </c>
      <c r="C157" s="65"/>
      <c r="D157" s="88"/>
      <c r="E157" s="88"/>
      <c r="F157" s="88"/>
      <c r="G157" s="27"/>
      <c r="H157" s="27"/>
      <c r="I157" s="27"/>
      <c r="J157" s="84"/>
      <c r="K157" s="27"/>
      <c r="L157" s="94"/>
      <c r="M157" s="108"/>
      <c r="N157" s="6"/>
    </row>
    <row r="158" spans="1:14" ht="15.75">
      <c r="A158" s="106"/>
      <c r="B158" s="88" t="s">
        <v>109</v>
      </c>
      <c r="C158" s="65"/>
      <c r="D158" s="88"/>
      <c r="E158" s="88"/>
      <c r="F158" s="88"/>
      <c r="G158" s="27"/>
      <c r="H158" s="27"/>
      <c r="I158" s="27"/>
      <c r="J158" s="84">
        <v>0</v>
      </c>
      <c r="K158" s="27"/>
      <c r="L158" s="94"/>
      <c r="M158" s="108"/>
      <c r="N158" s="6"/>
    </row>
    <row r="159" spans="1:14" ht="15.75">
      <c r="A159" s="103"/>
      <c r="B159" s="88" t="s">
        <v>110</v>
      </c>
      <c r="C159" s="65"/>
      <c r="D159" s="109"/>
      <c r="E159" s="109"/>
      <c r="F159" s="110"/>
      <c r="G159" s="27"/>
      <c r="H159" s="27"/>
      <c r="I159" s="27"/>
      <c r="J159" s="84">
        <v>0</v>
      </c>
      <c r="K159" s="27"/>
      <c r="L159" s="94"/>
      <c r="M159" s="108"/>
      <c r="N159" s="6"/>
    </row>
    <row r="160" spans="1:14" ht="15.75">
      <c r="A160" s="103"/>
      <c r="B160" s="88" t="s">
        <v>111</v>
      </c>
      <c r="C160" s="65"/>
      <c r="D160" s="109"/>
      <c r="E160" s="109"/>
      <c r="F160" s="110"/>
      <c r="G160" s="27"/>
      <c r="H160" s="27"/>
      <c r="I160" s="27"/>
      <c r="J160" s="84">
        <v>0</v>
      </c>
      <c r="K160" s="27"/>
      <c r="L160" s="94"/>
      <c r="M160" s="108"/>
      <c r="N160" s="6"/>
    </row>
    <row r="161" spans="1:14" ht="15.75">
      <c r="A161" s="103"/>
      <c r="B161" s="88" t="s">
        <v>112</v>
      </c>
      <c r="C161" s="65"/>
      <c r="D161" s="111"/>
      <c r="E161" s="109"/>
      <c r="F161" s="110"/>
      <c r="G161" s="27"/>
      <c r="H161" s="27"/>
      <c r="I161" s="27"/>
      <c r="J161" s="84">
        <v>0</v>
      </c>
      <c r="K161" s="27"/>
      <c r="L161" s="94"/>
      <c r="M161" s="108"/>
      <c r="N161" s="6"/>
    </row>
    <row r="162" spans="1:14" ht="15.75">
      <c r="A162" s="103"/>
      <c r="B162" s="88"/>
      <c r="C162" s="65"/>
      <c r="D162" s="111"/>
      <c r="E162" s="109"/>
      <c r="F162" s="110"/>
      <c r="G162" s="27"/>
      <c r="H162" s="27"/>
      <c r="I162" s="27"/>
      <c r="J162" s="84"/>
      <c r="K162" s="27"/>
      <c r="L162" s="94"/>
      <c r="M162" s="108"/>
      <c r="N162" s="6"/>
    </row>
    <row r="163" spans="1:14" ht="15.75">
      <c r="A163" s="103"/>
      <c r="B163" s="171" t="s">
        <v>113</v>
      </c>
      <c r="C163" s="65"/>
      <c r="D163" s="65"/>
      <c r="E163" s="111"/>
      <c r="F163" s="109"/>
      <c r="G163" s="110"/>
      <c r="H163" s="27"/>
      <c r="I163" s="34"/>
      <c r="J163" s="34"/>
      <c r="K163" s="112"/>
      <c r="L163" s="34"/>
      <c r="M163" s="94"/>
      <c r="N163" s="6"/>
    </row>
    <row r="164" spans="1:14" ht="15.75">
      <c r="A164" s="103"/>
      <c r="B164" s="88" t="s">
        <v>114</v>
      </c>
      <c r="C164" s="65"/>
      <c r="D164" s="65"/>
      <c r="E164" s="111"/>
      <c r="F164" s="109"/>
      <c r="G164" s="110"/>
      <c r="H164" s="27"/>
      <c r="I164" s="34"/>
      <c r="J164" s="113">
        <v>63</v>
      </c>
      <c r="K164" s="113"/>
      <c r="L164" s="34"/>
      <c r="M164" s="94"/>
      <c r="N164" s="6"/>
    </row>
    <row r="165" spans="1:14" ht="15.75">
      <c r="A165" s="103"/>
      <c r="B165" s="88" t="s">
        <v>110</v>
      </c>
      <c r="C165" s="65"/>
      <c r="D165" s="65"/>
      <c r="E165" s="111"/>
      <c r="F165" s="109"/>
      <c r="G165" s="110"/>
      <c r="H165" s="27"/>
      <c r="I165" s="34"/>
      <c r="J165" s="113">
        <v>2.97</v>
      </c>
      <c r="K165" s="113"/>
      <c r="L165" s="34"/>
      <c r="M165" s="94"/>
      <c r="N165" s="6"/>
    </row>
    <row r="166" spans="1:14" ht="15.75">
      <c r="A166" s="103"/>
      <c r="B166" s="88" t="s">
        <v>115</v>
      </c>
      <c r="C166" s="65"/>
      <c r="D166" s="65"/>
      <c r="E166" s="111"/>
      <c r="F166" s="109"/>
      <c r="G166" s="110"/>
      <c r="H166" s="27"/>
      <c r="I166" s="34"/>
      <c r="J166" s="113">
        <v>43.16</v>
      </c>
      <c r="K166" s="113"/>
      <c r="L166" s="34"/>
      <c r="M166" s="94"/>
      <c r="N166" s="6"/>
    </row>
    <row r="167" spans="1:14" ht="15.75">
      <c r="A167" s="103"/>
      <c r="B167" s="88"/>
      <c r="C167" s="65"/>
      <c r="D167" s="111"/>
      <c r="E167" s="109"/>
      <c r="F167" s="110"/>
      <c r="G167" s="27"/>
      <c r="H167" s="27"/>
      <c r="I167" s="27"/>
      <c r="J167" s="84"/>
      <c r="K167" s="27"/>
      <c r="L167" s="94"/>
      <c r="M167" s="108"/>
      <c r="N167" s="6"/>
    </row>
    <row r="168" spans="1:14" ht="15.75">
      <c r="A168" s="26"/>
      <c r="B168" s="114" t="s">
        <v>116</v>
      </c>
      <c r="C168" s="115"/>
      <c r="D168" s="116"/>
      <c r="E168" s="115"/>
      <c r="F168" s="116"/>
      <c r="G168" s="115"/>
      <c r="H168" s="116"/>
      <c r="I168" s="115"/>
      <c r="J168" s="116"/>
      <c r="K168" s="115"/>
      <c r="L168" s="117"/>
      <c r="M168" s="108"/>
      <c r="N168" s="6"/>
    </row>
    <row r="169" spans="1:14" ht="15.75">
      <c r="A169" s="26"/>
      <c r="B169" s="31"/>
      <c r="C169" s="153"/>
      <c r="D169" s="114" t="s">
        <v>148</v>
      </c>
      <c r="E169" s="115"/>
      <c r="F169" s="116"/>
      <c r="G169" s="115"/>
      <c r="H169" s="114" t="s">
        <v>40</v>
      </c>
      <c r="I169" s="115"/>
      <c r="J169" s="116"/>
      <c r="K169" s="115"/>
      <c r="L169" s="117"/>
      <c r="M169" s="108"/>
      <c r="N169" s="6"/>
    </row>
    <row r="170" spans="1:14" ht="15.75">
      <c r="A170" s="26"/>
      <c r="B170" s="153"/>
      <c r="C170" s="116" t="s">
        <v>138</v>
      </c>
      <c r="D170" s="115" t="s">
        <v>149</v>
      </c>
      <c r="E170" s="116" t="s">
        <v>154</v>
      </c>
      <c r="F170" s="115" t="s">
        <v>149</v>
      </c>
      <c r="G170" s="115"/>
      <c r="H170" s="116" t="s">
        <v>138</v>
      </c>
      <c r="I170" s="115" t="s">
        <v>149</v>
      </c>
      <c r="J170" s="116" t="s">
        <v>154</v>
      </c>
      <c r="K170" s="115" t="s">
        <v>149</v>
      </c>
      <c r="L170" s="117"/>
      <c r="M170" s="108"/>
      <c r="N170" s="6"/>
    </row>
    <row r="171" spans="1:14" ht="15.75">
      <c r="A171" s="26"/>
      <c r="B171" s="65" t="s">
        <v>117</v>
      </c>
      <c r="C171" s="118">
        <v>12985</v>
      </c>
      <c r="D171" s="91">
        <f>C171/$C$175</f>
        <v>0.8738811494717007</v>
      </c>
      <c r="E171" s="118">
        <v>65436</v>
      </c>
      <c r="F171" s="91">
        <f>E171/$E$175</f>
        <v>0.8272148058252428</v>
      </c>
      <c r="G171" s="115"/>
      <c r="H171" s="118">
        <v>7991</v>
      </c>
      <c r="I171" s="91">
        <f>H171/$H$175</f>
        <v>0.9612654877902082</v>
      </c>
      <c r="J171" s="118">
        <v>6156</v>
      </c>
      <c r="K171" s="91">
        <f>J171/$J$175</f>
        <v>0.9374143444495203</v>
      </c>
      <c r="L171" s="117"/>
      <c r="M171" s="108"/>
      <c r="N171" s="6"/>
    </row>
    <row r="172" spans="1:17" ht="15.75">
      <c r="A172" s="26"/>
      <c r="B172" s="65" t="s">
        <v>118</v>
      </c>
      <c r="C172" s="118">
        <v>227</v>
      </c>
      <c r="D172" s="91">
        <f>C172/$C$175</f>
        <v>0.015276936536779057</v>
      </c>
      <c r="E172" s="118">
        <v>1557</v>
      </c>
      <c r="F172" s="91">
        <f>E172/$E$175</f>
        <v>0.019682949029126214</v>
      </c>
      <c r="G172" s="115"/>
      <c r="H172" s="118">
        <v>60</v>
      </c>
      <c r="I172" s="91">
        <f>H172/$H$175</f>
        <v>0.007217610970768676</v>
      </c>
      <c r="J172" s="118">
        <v>72</v>
      </c>
      <c r="K172" s="91">
        <f>J172/$J$175</f>
        <v>0.0109639104613979</v>
      </c>
      <c r="L172" s="117"/>
      <c r="M172" s="108"/>
      <c r="N172" s="6"/>
      <c r="Q172" s="69"/>
    </row>
    <row r="173" spans="1:17" ht="15.75">
      <c r="A173" s="26"/>
      <c r="B173" s="65" t="s">
        <v>119</v>
      </c>
      <c r="C173" s="118">
        <v>180</v>
      </c>
      <c r="D173" s="91">
        <f>C173/$C$175</f>
        <v>0.012113870381586917</v>
      </c>
      <c r="E173" s="118">
        <v>1284</v>
      </c>
      <c r="F173" s="91">
        <f>E173/$E$175</f>
        <v>0.016231796116504854</v>
      </c>
      <c r="G173" s="115"/>
      <c r="H173" s="118">
        <v>28</v>
      </c>
      <c r="I173" s="91">
        <f>H173/$H$175</f>
        <v>0.003368218453025382</v>
      </c>
      <c r="J173" s="118">
        <v>22</v>
      </c>
      <c r="K173" s="91">
        <f>J173/$J$175</f>
        <v>0.0033500837520938024</v>
      </c>
      <c r="L173" s="117"/>
      <c r="M173" s="108"/>
      <c r="N173" s="6"/>
      <c r="Q173" s="69"/>
    </row>
    <row r="174" spans="1:17" ht="15.75">
      <c r="A174" s="26"/>
      <c r="B174" s="65" t="s">
        <v>120</v>
      </c>
      <c r="C174" s="118">
        <v>1467</v>
      </c>
      <c r="D174" s="91">
        <f>C174/$C$175</f>
        <v>0.09872804360993337</v>
      </c>
      <c r="E174" s="118">
        <v>10827</v>
      </c>
      <c r="F174" s="91">
        <f>E174/$E$175</f>
        <v>0.1368704490291262</v>
      </c>
      <c r="G174" s="115"/>
      <c r="H174" s="118">
        <v>234</v>
      </c>
      <c r="I174" s="91">
        <f>H174/$H$175</f>
        <v>0.028148682785997834</v>
      </c>
      <c r="J174" s="118">
        <f>30+44+40+39+36+31+22+38+37</f>
        <v>317</v>
      </c>
      <c r="K174" s="91">
        <f>J174/$J$175</f>
        <v>0.04827166133698797</v>
      </c>
      <c r="L174" s="117"/>
      <c r="M174" s="108"/>
      <c r="N174" s="6"/>
      <c r="Q174" s="69"/>
    </row>
    <row r="175" spans="1:17" ht="15.75">
      <c r="A175" s="26"/>
      <c r="B175" s="65" t="s">
        <v>121</v>
      </c>
      <c r="C175" s="118">
        <f>SUM(C171:C174)</f>
        <v>14859</v>
      </c>
      <c r="D175" s="91">
        <f>SUM(D171:D174)</f>
        <v>1</v>
      </c>
      <c r="E175" s="118">
        <f>SUM(E171:E174)</f>
        <v>79104</v>
      </c>
      <c r="F175" s="91">
        <f>SUM(F171:F174)</f>
        <v>1</v>
      </c>
      <c r="G175" s="115"/>
      <c r="H175" s="118">
        <f>SUM(H171:H174)</f>
        <v>8313</v>
      </c>
      <c r="I175" s="91">
        <f>SUM(I171:I174)</f>
        <v>1</v>
      </c>
      <c r="J175" s="118">
        <f>SUM(J171:J174)</f>
        <v>6567</v>
      </c>
      <c r="K175" s="91">
        <f>SUM(K171:K174)</f>
        <v>1</v>
      </c>
      <c r="L175" s="117"/>
      <c r="M175" s="108"/>
      <c r="N175" s="6"/>
      <c r="Q175" s="69"/>
    </row>
    <row r="176" spans="1:17" ht="15.75">
      <c r="A176" s="26"/>
      <c r="B176" s="65" t="s">
        <v>122</v>
      </c>
      <c r="C176" s="118">
        <v>13536</v>
      </c>
      <c r="D176" s="119"/>
      <c r="E176" s="118">
        <v>109776</v>
      </c>
      <c r="F176" s="119"/>
      <c r="G176" s="115"/>
      <c r="H176" s="118">
        <v>187</v>
      </c>
      <c r="I176" s="119"/>
      <c r="J176" s="118">
        <v>293</v>
      </c>
      <c r="K176" s="119"/>
      <c r="L176" s="117"/>
      <c r="M176" s="108"/>
      <c r="N176" s="6"/>
      <c r="O176" s="69"/>
      <c r="Q176" s="69"/>
    </row>
    <row r="177" spans="1:15" ht="15.75">
      <c r="A177" s="26"/>
      <c r="B177" s="65" t="s">
        <v>123</v>
      </c>
      <c r="C177" s="118">
        <f>SUM(C175:C176)</f>
        <v>28395</v>
      </c>
      <c r="D177" s="153"/>
      <c r="E177" s="118">
        <f>SUM(E175:E176)</f>
        <v>188880</v>
      </c>
      <c r="F177" s="91"/>
      <c r="G177" s="153"/>
      <c r="H177" s="118">
        <f>SUM(H175:H176)</f>
        <v>8500</v>
      </c>
      <c r="I177" s="153"/>
      <c r="J177" s="118">
        <f>SUM(J175:J176)</f>
        <v>6860</v>
      </c>
      <c r="K177" s="153"/>
      <c r="L177" s="153"/>
      <c r="M177" s="108"/>
      <c r="N177" s="6"/>
      <c r="O177" s="69"/>
    </row>
    <row r="178" spans="1:14" ht="15.75">
      <c r="A178" s="26"/>
      <c r="B178" s="65"/>
      <c r="C178" s="118"/>
      <c r="D178" s="91"/>
      <c r="E178" s="118"/>
      <c r="F178" s="91"/>
      <c r="G178" s="115"/>
      <c r="H178" s="118"/>
      <c r="I178" s="91"/>
      <c r="J178" s="118"/>
      <c r="K178" s="91"/>
      <c r="L178" s="117"/>
      <c r="M178" s="108"/>
      <c r="N178" s="6"/>
    </row>
    <row r="179" spans="1:15" ht="15.75">
      <c r="A179" s="26"/>
      <c r="B179" s="65"/>
      <c r="C179" s="115"/>
      <c r="D179" s="114" t="s">
        <v>41</v>
      </c>
      <c r="E179" s="115"/>
      <c r="F179" s="136"/>
      <c r="G179" s="115"/>
      <c r="H179" s="114" t="s">
        <v>42</v>
      </c>
      <c r="I179" s="115"/>
      <c r="J179" s="116"/>
      <c r="K179" s="115"/>
      <c r="L179" s="117"/>
      <c r="M179" s="108"/>
      <c r="N179" s="6"/>
      <c r="O179" s="69"/>
    </row>
    <row r="180" spans="1:14" ht="15.75">
      <c r="A180" s="26"/>
      <c r="B180" s="153"/>
      <c r="C180" s="116" t="s">
        <v>138</v>
      </c>
      <c r="D180" s="115" t="s">
        <v>149</v>
      </c>
      <c r="E180" s="116" t="s">
        <v>154</v>
      </c>
      <c r="F180" s="115" t="s">
        <v>149</v>
      </c>
      <c r="G180" s="115"/>
      <c r="H180" s="116" t="s">
        <v>138</v>
      </c>
      <c r="I180" s="115" t="s">
        <v>149</v>
      </c>
      <c r="J180" s="116" t="s">
        <v>154</v>
      </c>
      <c r="K180" s="115" t="s">
        <v>149</v>
      </c>
      <c r="L180" s="117"/>
      <c r="M180" s="108"/>
      <c r="N180" s="6"/>
    </row>
    <row r="181" spans="1:14" ht="15.75">
      <c r="A181" s="26"/>
      <c r="B181" s="65" t="s">
        <v>117</v>
      </c>
      <c r="C181" s="118">
        <v>4243</v>
      </c>
      <c r="D181" s="91">
        <f>C181/$C$185</f>
        <v>0.9621315192743765</v>
      </c>
      <c r="E181" s="118">
        <v>98712</v>
      </c>
      <c r="F181" s="91">
        <f>E181/$E$185</f>
        <v>0.9612901340968185</v>
      </c>
      <c r="G181" s="115"/>
      <c r="H181" s="118">
        <v>8339</v>
      </c>
      <c r="I181" s="91">
        <f>H181/$H$185</f>
        <v>0.983952802359882</v>
      </c>
      <c r="J181" s="118">
        <v>40209</v>
      </c>
      <c r="K181" s="91">
        <f>J181/$J$185</f>
        <v>0.9774412329533024</v>
      </c>
      <c r="L181" s="117"/>
      <c r="M181" s="108"/>
      <c r="N181" s="6"/>
    </row>
    <row r="182" spans="1:14" ht="15.75">
      <c r="A182" s="26"/>
      <c r="B182" s="65" t="s">
        <v>118</v>
      </c>
      <c r="C182" s="118">
        <v>78</v>
      </c>
      <c r="D182" s="91">
        <f>C182/$C$185</f>
        <v>0.017687074829931974</v>
      </c>
      <c r="E182" s="118">
        <v>1979</v>
      </c>
      <c r="F182" s="91">
        <f>E182/$E$185</f>
        <v>0.01927215713770974</v>
      </c>
      <c r="G182" s="115"/>
      <c r="H182" s="118">
        <v>58</v>
      </c>
      <c r="I182" s="91">
        <f>H182/$H$185</f>
        <v>0.006843657817109145</v>
      </c>
      <c r="J182" s="118">
        <v>422</v>
      </c>
      <c r="K182" s="91">
        <f>J182/$J$185</f>
        <v>0.01025840484235603</v>
      </c>
      <c r="L182" s="117"/>
      <c r="M182" s="108"/>
      <c r="N182" s="6"/>
    </row>
    <row r="183" spans="1:14" ht="15.75">
      <c r="A183" s="26"/>
      <c r="B183" s="65" t="s">
        <v>119</v>
      </c>
      <c r="C183" s="118">
        <v>39</v>
      </c>
      <c r="D183" s="91">
        <f>C183/$C$185</f>
        <v>0.008843537414965987</v>
      </c>
      <c r="E183" s="118">
        <v>853</v>
      </c>
      <c r="F183" s="91">
        <f>E183/$E$185</f>
        <v>0.008306796381236183</v>
      </c>
      <c r="G183" s="115"/>
      <c r="H183" s="118">
        <v>12</v>
      </c>
      <c r="I183" s="91">
        <f>H183/$H$185</f>
        <v>0.001415929203539823</v>
      </c>
      <c r="J183" s="118">
        <v>51</v>
      </c>
      <c r="K183" s="91">
        <f>J183/$J$185</f>
        <v>0.0012397598269198045</v>
      </c>
      <c r="L183" s="117"/>
      <c r="M183" s="108"/>
      <c r="N183" s="6"/>
    </row>
    <row r="184" spans="1:14" ht="15.75">
      <c r="A184" s="26"/>
      <c r="B184" s="65" t="s">
        <v>120</v>
      </c>
      <c r="C184" s="118">
        <f>16+14+3+6+2+2+1+4+2</f>
        <v>50</v>
      </c>
      <c r="D184" s="91">
        <f>C184/$C$185</f>
        <v>0.011337868480725623</v>
      </c>
      <c r="E184" s="118">
        <f>361+288+63+155+64+28+12+92+80</f>
        <v>1143</v>
      </c>
      <c r="F184" s="91">
        <f>E184/$E$185</f>
        <v>0.01113091238423559</v>
      </c>
      <c r="G184" s="115"/>
      <c r="H184" s="118">
        <v>66</v>
      </c>
      <c r="I184" s="91">
        <f>H184/$H$185</f>
        <v>0.007787610619469027</v>
      </c>
      <c r="J184" s="118">
        <f>103+70+74+56+64+16+19+42+11</f>
        <v>455</v>
      </c>
      <c r="K184" s="91">
        <f>J184/$J$185</f>
        <v>0.011060602377421786</v>
      </c>
      <c r="L184" s="117"/>
      <c r="M184" s="108"/>
      <c r="N184" s="6"/>
    </row>
    <row r="185" spans="1:14" ht="15.75">
      <c r="A185" s="26"/>
      <c r="B185" s="65" t="str">
        <f>B175</f>
        <v>Total Performing  Assets</v>
      </c>
      <c r="C185" s="118">
        <f>SUM(C181:C184)</f>
        <v>4410</v>
      </c>
      <c r="D185" s="91">
        <f>SUM(D181:D184)</f>
        <v>1</v>
      </c>
      <c r="E185" s="118">
        <f>SUM(E181:E184)</f>
        <v>102687</v>
      </c>
      <c r="F185" s="91">
        <f>SUM(F181:F184)</f>
        <v>1</v>
      </c>
      <c r="G185" s="115"/>
      <c r="H185" s="118">
        <f>SUM(H181:H184)</f>
        <v>8475</v>
      </c>
      <c r="I185" s="91">
        <f>SUM(I181:I184)</f>
        <v>1</v>
      </c>
      <c r="J185" s="118">
        <f>SUM(J181:J184)</f>
        <v>41137</v>
      </c>
      <c r="K185" s="91">
        <f>SUM(K181:K184)</f>
        <v>1</v>
      </c>
      <c r="L185" s="117"/>
      <c r="M185" s="108"/>
      <c r="N185" s="6"/>
    </row>
    <row r="186" spans="1:14" ht="15.75">
      <c r="A186" s="26"/>
      <c r="B186" s="65" t="s">
        <v>122</v>
      </c>
      <c r="C186" s="118">
        <v>9</v>
      </c>
      <c r="D186" s="121"/>
      <c r="E186" s="118">
        <v>84</v>
      </c>
      <c r="F186" s="119"/>
      <c r="G186" s="115"/>
      <c r="H186" s="118">
        <v>32</v>
      </c>
      <c r="I186" s="121"/>
      <c r="J186" s="118">
        <v>274</v>
      </c>
      <c r="K186" s="121"/>
      <c r="L186" s="117"/>
      <c r="M186" s="108"/>
      <c r="N186" s="6"/>
    </row>
    <row r="187" spans="1:14" ht="15.75">
      <c r="A187" s="26"/>
      <c r="B187" s="65" t="s">
        <v>123</v>
      </c>
      <c r="C187" s="118">
        <f>SUM(C185:C186)</f>
        <v>4419</v>
      </c>
      <c r="D187" s="153"/>
      <c r="E187" s="118">
        <f>SUM(E185:E186)</f>
        <v>102771</v>
      </c>
      <c r="F187" s="120"/>
      <c r="G187" s="153"/>
      <c r="H187" s="118">
        <f>SUM(H185:H186)</f>
        <v>8507</v>
      </c>
      <c r="I187" s="153"/>
      <c r="J187" s="118">
        <f>SUM(J185:J186)</f>
        <v>41411</v>
      </c>
      <c r="K187" s="153"/>
      <c r="L187" s="153"/>
      <c r="M187" s="155"/>
      <c r="N187" s="139"/>
    </row>
    <row r="188" spans="1:14" ht="15.75">
      <c r="A188" s="26"/>
      <c r="B188" s="65"/>
      <c r="C188" s="115"/>
      <c r="D188" s="116"/>
      <c r="E188" s="115"/>
      <c r="F188" s="116"/>
      <c r="G188" s="115"/>
      <c r="H188" s="122"/>
      <c r="I188" s="115"/>
      <c r="J188" s="118"/>
      <c r="K188" s="115"/>
      <c r="L188" s="117"/>
      <c r="M188" s="108"/>
      <c r="N188" s="6"/>
    </row>
    <row r="189" spans="1:14" ht="15.75">
      <c r="A189" s="26"/>
      <c r="B189" s="65" t="s">
        <v>123</v>
      </c>
      <c r="C189" s="115"/>
      <c r="D189" s="116"/>
      <c r="E189" s="116"/>
      <c r="F189" s="116"/>
      <c r="G189" s="115"/>
      <c r="H189" s="122"/>
      <c r="I189" s="121"/>
      <c r="J189" s="118">
        <f>E177+J177+E187+J187</f>
        <v>339922</v>
      </c>
      <c r="K189" s="120"/>
      <c r="L189" s="117"/>
      <c r="M189" s="108"/>
      <c r="N189" s="6"/>
    </row>
    <row r="190" spans="1:14" ht="15.75">
      <c r="A190" s="26"/>
      <c r="B190" s="65"/>
      <c r="C190" s="115"/>
      <c r="D190" s="116"/>
      <c r="E190" s="115"/>
      <c r="F190" s="116"/>
      <c r="G190" s="115"/>
      <c r="H190" s="116"/>
      <c r="I190" s="115"/>
      <c r="J190" s="118"/>
      <c r="K190" s="121"/>
      <c r="L190" s="117"/>
      <c r="M190" s="108"/>
      <c r="N190" s="6"/>
    </row>
    <row r="191" spans="1:14" ht="15.75">
      <c r="A191" s="26"/>
      <c r="B191" s="123" t="s">
        <v>124</v>
      </c>
      <c r="C191" s="115"/>
      <c r="D191" s="116"/>
      <c r="E191" s="115"/>
      <c r="F191" s="116"/>
      <c r="G191" s="115"/>
      <c r="H191" s="116"/>
      <c r="I191" s="115"/>
      <c r="J191" s="118"/>
      <c r="K191" s="115"/>
      <c r="L191" s="117"/>
      <c r="M191" s="108"/>
      <c r="N191" s="6"/>
    </row>
    <row r="192" spans="1:14" ht="15.75">
      <c r="A192" s="26"/>
      <c r="B192" s="65"/>
      <c r="C192" s="115"/>
      <c r="D192" s="116"/>
      <c r="E192" s="115"/>
      <c r="F192" s="116"/>
      <c r="G192" s="115"/>
      <c r="H192" s="116"/>
      <c r="I192" s="115"/>
      <c r="J192" s="118"/>
      <c r="K192" s="115"/>
      <c r="L192" s="117"/>
      <c r="M192" s="108"/>
      <c r="N192" s="6"/>
    </row>
    <row r="193" spans="1:14" ht="15.75">
      <c r="A193" s="26"/>
      <c r="B193" s="65" t="s">
        <v>125</v>
      </c>
      <c r="C193" s="115"/>
      <c r="D193" s="116"/>
      <c r="E193" s="115"/>
      <c r="F193" s="116"/>
      <c r="G193" s="115"/>
      <c r="H193" s="116"/>
      <c r="I193" s="116"/>
      <c r="J193" s="118">
        <f>+E175+J175+E185+J185</f>
        <v>229495</v>
      </c>
      <c r="K193" s="115"/>
      <c r="L193" s="117"/>
      <c r="M193" s="108"/>
      <c r="N193" s="6"/>
    </row>
    <row r="194" spans="1:15" ht="15.75">
      <c r="A194" s="26"/>
      <c r="B194" s="65" t="s">
        <v>126</v>
      </c>
      <c r="C194" s="115"/>
      <c r="D194" s="116"/>
      <c r="E194" s="115"/>
      <c r="F194" s="116"/>
      <c r="G194" s="115"/>
      <c r="H194" s="116"/>
      <c r="I194" s="115"/>
      <c r="J194" s="118">
        <f>L94</f>
        <v>37473</v>
      </c>
      <c r="K194" s="115"/>
      <c r="L194" s="117"/>
      <c r="M194" s="108"/>
      <c r="N194" s="124"/>
      <c r="O194" s="69"/>
    </row>
    <row r="195" spans="1:14" ht="15.75">
      <c r="A195" s="26"/>
      <c r="B195" s="65" t="s">
        <v>127</v>
      </c>
      <c r="C195" s="115"/>
      <c r="D195" s="116"/>
      <c r="E195" s="115"/>
      <c r="F195" s="116"/>
      <c r="G195" s="115"/>
      <c r="H195" s="116"/>
      <c r="I195" s="115"/>
      <c r="J195" s="118">
        <v>-22268</v>
      </c>
      <c r="K195" s="115"/>
      <c r="L195" s="117"/>
      <c r="M195" s="108"/>
      <c r="N195" s="125"/>
    </row>
    <row r="196" spans="1:15" ht="15.75">
      <c r="A196" s="26"/>
      <c r="B196" s="65" t="s">
        <v>128</v>
      </c>
      <c r="C196" s="115"/>
      <c r="D196" s="116"/>
      <c r="E196" s="115"/>
      <c r="F196" s="116"/>
      <c r="G196" s="115"/>
      <c r="H196" s="116"/>
      <c r="I196" s="115"/>
      <c r="J196" s="118">
        <f>SUM(J193:J195)</f>
        <v>244700</v>
      </c>
      <c r="K196" s="115"/>
      <c r="L196" s="117"/>
      <c r="M196" s="108"/>
      <c r="N196" s="6"/>
      <c r="O196" s="138"/>
    </row>
    <row r="197" spans="1:14" ht="15.75">
      <c r="A197" s="26"/>
      <c r="B197" s="65"/>
      <c r="C197" s="115"/>
      <c r="D197" s="116"/>
      <c r="E197" s="115"/>
      <c r="F197" s="116"/>
      <c r="G197" s="115"/>
      <c r="H197" s="116"/>
      <c r="I197" s="115"/>
      <c r="J197" s="118"/>
      <c r="K197" s="115"/>
      <c r="L197" s="117"/>
      <c r="M197" s="108"/>
      <c r="N197" s="6"/>
    </row>
    <row r="198" spans="1:14" ht="15.75">
      <c r="A198" s="26"/>
      <c r="B198" s="65" t="s">
        <v>129</v>
      </c>
      <c r="C198" s="115"/>
      <c r="D198" s="116"/>
      <c r="E198" s="115"/>
      <c r="F198" s="116"/>
      <c r="G198" s="115"/>
      <c r="H198" s="116"/>
      <c r="I198" s="115"/>
      <c r="J198" s="118">
        <f>L32</f>
        <v>244700</v>
      </c>
      <c r="K198" s="115"/>
      <c r="L198" s="117"/>
      <c r="M198" s="108"/>
      <c r="N198" s="6"/>
    </row>
    <row r="199" spans="1:14" ht="15.75">
      <c r="A199" s="26"/>
      <c r="B199" s="65"/>
      <c r="C199" s="115"/>
      <c r="D199" s="116"/>
      <c r="E199" s="115"/>
      <c r="F199" s="116"/>
      <c r="G199" s="115"/>
      <c r="H199" s="116"/>
      <c r="I199" s="115"/>
      <c r="J199" s="118"/>
      <c r="K199" s="115"/>
      <c r="L199" s="117"/>
      <c r="M199" s="108"/>
      <c r="N199" s="6"/>
    </row>
    <row r="200" spans="1:14" ht="15.75">
      <c r="A200" s="26"/>
      <c r="B200" s="65" t="s">
        <v>130</v>
      </c>
      <c r="C200" s="115"/>
      <c r="D200" s="116"/>
      <c r="E200" s="115"/>
      <c r="F200" s="116"/>
      <c r="G200" s="115"/>
      <c r="H200" s="116"/>
      <c r="I200" s="115"/>
      <c r="J200" s="118">
        <f>J196/J198</f>
        <v>1</v>
      </c>
      <c r="K200" s="115"/>
      <c r="L200" s="117"/>
      <c r="M200" s="108"/>
      <c r="N200" s="6"/>
    </row>
    <row r="201" spans="1:14" ht="15.75">
      <c r="A201" s="26"/>
      <c r="B201" s="27"/>
      <c r="C201" s="27"/>
      <c r="D201" s="34"/>
      <c r="E201" s="27"/>
      <c r="F201" s="27"/>
      <c r="G201" s="27"/>
      <c r="H201" s="63"/>
      <c r="I201" s="126"/>
      <c r="J201" s="64"/>
      <c r="K201" s="126"/>
      <c r="L201" s="94"/>
      <c r="M201" s="27"/>
      <c r="N201" s="6"/>
    </row>
    <row r="202" spans="1:14" ht="15.75">
      <c r="A202" s="127"/>
      <c r="B202" s="31" t="s">
        <v>131</v>
      </c>
      <c r="C202" s="128"/>
      <c r="D202" s="115" t="s">
        <v>150</v>
      </c>
      <c r="E202" s="117"/>
      <c r="F202" s="31" t="s">
        <v>163</v>
      </c>
      <c r="G202" s="129"/>
      <c r="H202" s="129"/>
      <c r="I202" s="129"/>
      <c r="J202" s="130"/>
      <c r="K202" s="30"/>
      <c r="L202" s="30"/>
      <c r="M202" s="30"/>
      <c r="N202" s="6"/>
    </row>
    <row r="203" spans="1:14" ht="15.75">
      <c r="A203" s="131"/>
      <c r="B203" s="14" t="s">
        <v>132</v>
      </c>
      <c r="C203" s="132"/>
      <c r="D203" s="133" t="s">
        <v>151</v>
      </c>
      <c r="E203" s="14"/>
      <c r="F203" s="14" t="s">
        <v>164</v>
      </c>
      <c r="G203" s="132"/>
      <c r="H203" s="132"/>
      <c r="I203" s="13"/>
      <c r="J203" s="13"/>
      <c r="K203" s="13"/>
      <c r="L203" s="13"/>
      <c r="M203" s="13"/>
      <c r="N203" s="6"/>
    </row>
    <row r="204" spans="1:14" ht="15.75">
      <c r="A204" s="131"/>
      <c r="B204" s="14" t="s">
        <v>133</v>
      </c>
      <c r="C204" s="132"/>
      <c r="D204" s="133" t="s">
        <v>152</v>
      </c>
      <c r="E204" s="14"/>
      <c r="F204" s="14" t="s">
        <v>165</v>
      </c>
      <c r="G204" s="132"/>
      <c r="H204" s="132"/>
      <c r="I204" s="13"/>
      <c r="J204" s="13"/>
      <c r="K204" s="13"/>
      <c r="L204" s="13"/>
      <c r="M204" s="13"/>
      <c r="N204" s="6"/>
    </row>
    <row r="205" spans="1:14" ht="15.75">
      <c r="A205" s="131"/>
      <c r="B205" s="14"/>
      <c r="C205" s="132"/>
      <c r="D205" s="133"/>
      <c r="E205" s="14"/>
      <c r="F205" s="14"/>
      <c r="G205" s="132"/>
      <c r="H205" s="132"/>
      <c r="I205" s="13"/>
      <c r="J205" s="13"/>
      <c r="K205" s="13"/>
      <c r="L205" s="13"/>
      <c r="M205" s="13"/>
      <c r="N205" s="6"/>
    </row>
    <row r="206" spans="1:14" ht="15.75">
      <c r="A206" s="131"/>
      <c r="B206" s="14"/>
      <c r="C206" s="132"/>
      <c r="D206" s="133"/>
      <c r="E206" s="14"/>
      <c r="F206" s="14"/>
      <c r="G206" s="132"/>
      <c r="H206" s="132"/>
      <c r="I206" s="13"/>
      <c r="J206" s="13"/>
      <c r="K206" s="13"/>
      <c r="L206" s="13"/>
      <c r="M206" s="13"/>
      <c r="N206" s="6"/>
    </row>
    <row r="207" spans="1:14" ht="15.75">
      <c r="A207" s="131"/>
      <c r="B207" s="14" t="str">
        <f>B146</f>
        <v>PPAF2 INVESTOR REPORT QUARTER ENDING MARCH 2004</v>
      </c>
      <c r="C207" s="132"/>
      <c r="D207" s="133"/>
      <c r="E207" s="14"/>
      <c r="F207" s="14"/>
      <c r="G207" s="132"/>
      <c r="H207" s="132"/>
      <c r="I207" s="13"/>
      <c r="J207" s="13"/>
      <c r="K207" s="13"/>
      <c r="L207" s="13"/>
      <c r="M207" s="13"/>
      <c r="N207" s="6"/>
    </row>
    <row r="208" spans="1:13" ht="15">
      <c r="A208" s="134"/>
      <c r="B208" s="134"/>
      <c r="C208" s="134"/>
      <c r="D208" s="134"/>
      <c r="E208" s="134"/>
      <c r="F208" s="134"/>
      <c r="G208" s="134"/>
      <c r="H208" s="134"/>
      <c r="I208" s="134"/>
      <c r="J208" s="134"/>
      <c r="K208" s="134"/>
      <c r="L208" s="134"/>
      <c r="M208" s="134"/>
    </row>
  </sheetData>
  <printOptions horizontalCentered="1" verticalCentered="1"/>
  <pageMargins left="0.2362204724409449" right="0.4330708661417323" top="0.2362204724409449" bottom="0.7480314960629921" header="0" footer="0"/>
  <pageSetup horizontalDpi="600" verticalDpi="600" orientation="landscape" scale="50" r:id="rId2"/>
  <rowBreaks count="4" manualBreakCount="4">
    <brk id="52" max="255" man="1"/>
    <brk id="98" max="255" man="1"/>
    <brk id="146" max="255" man="1"/>
    <brk id="213" max="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